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mc:AlternateContent xmlns:mc="http://schemas.openxmlformats.org/markup-compatibility/2006">
    <mc:Choice Requires="x15">
      <x15ac:absPath xmlns:x15ac="http://schemas.microsoft.com/office/spreadsheetml/2010/11/ac" url="\\vmware-host\Shared Folders\Desktop\"/>
    </mc:Choice>
  </mc:AlternateContent>
  <xr:revisionPtr revIDLastSave="0" documentId="13_ncr:1_{7A21318A-B7D1-454D-90A9-2A56295141AF}" xr6:coauthVersionLast="34" xr6:coauthVersionMax="34" xr10:uidLastSave="{00000000-0000-0000-0000-000000000000}"/>
  <bookViews>
    <workbookView xWindow="1260" yWindow="465" windowWidth="49935" windowHeight="28335" activeTab="5" xr2:uid="{BCDB7034-B65E-4357-BCDC-F8B8F344BA90}"/>
  </bookViews>
  <sheets>
    <sheet name="VOI_Parameters" sheetId="2" r:id="rId1"/>
    <sheet name="VOI" sheetId="5" state="hidden" r:id="rId2"/>
    <sheet name="PSA" sheetId="4" r:id="rId3"/>
    <sheet name="Regression" sheetId="7" state="hidden" r:id="rId4"/>
    <sheet name="OWSA" sheetId="3" state="hidden" r:id="rId5"/>
    <sheet name="Breast_Ovarian" sheetId="1" r:id="rId6"/>
  </sheets>
  <definedNames>
    <definedName name="adherence">VOI_Parameters!$C$26:$C$33</definedName>
    <definedName name="adherence2">VOI_Parameters!$L$26:$L$33</definedName>
    <definedName name="adherence3">VOI_Parameters!$N$26:$N$33</definedName>
    <definedName name="age">VOI_Parameters!$C$7</definedName>
    <definedName name="avoid_loss">VOI_Parameters!$C$56</definedName>
    <definedName name="avoidance">VOI_Parameters!$C$56:$C$57</definedName>
    <definedName name="avoidance2">VOI_Parameters!$L$56:$L$57</definedName>
    <definedName name="avoidance3">VOI_Parameters!$N$56:$N$57</definedName>
    <definedName name="boc_aff_bc">Breast_Ovarian!$C$42</definedName>
    <definedName name="boc_cost_bc_cont_64">Breast_Ovarian!$C$80</definedName>
    <definedName name="boc_cost_bc_cont_65">Breast_Ovarian!$C$87</definedName>
    <definedName name="boc_cost_bc_initial_64">Breast_Ovarian!$C$79</definedName>
    <definedName name="boc_cost_bc_initial_65">Breast_Ovarian!$C$86</definedName>
    <definedName name="boc_cost_bc_last_64">Breast_Ovarian!$C$81</definedName>
    <definedName name="boc_cost_bc_last_65">Breast_Ovarian!$C$88</definedName>
    <definedName name="boc_cost_mast">Breast_Ovarian!$C$74</definedName>
    <definedName name="boc_cost_oc_cont_64">Breast_Ovarian!$C$83</definedName>
    <definedName name="boc_cost_oc_cont_65">Breast_Ovarian!$C$90</definedName>
    <definedName name="boc_cost_oc_initial_64">Breast_Ovarian!$C$82</definedName>
    <definedName name="boc_cost_oc_initial_65">Breast_Ovarian!$C$89</definedName>
    <definedName name="boc_cost_oc_last_64">Breast_Ovarian!$C$84</definedName>
    <definedName name="boc_cost_oc_last_65">Breast_Ovarian!$C$91</definedName>
    <definedName name="boc_cost_ooph">Breast_Ovarian!$C$75</definedName>
    <definedName name="boc_cost_postc">VOI_Parameters!$C$22</definedName>
    <definedName name="boc_disutil_know">Breast_Ovarian!$C$71</definedName>
    <definedName name="boc_disutil_mast">Breast_Ovarian!$C$69</definedName>
    <definedName name="boc_disutil_ooph">Breast_Ovarian!$C$70</definedName>
    <definedName name="boc_hr_bc_mast_1">Breast_Ovarian!$C$47</definedName>
    <definedName name="boc_hr_bc_mast_2">Breast_Ovarian!$C$48</definedName>
    <definedName name="boc_hr_bc_ooph_1">Breast_Ovarian!$C$50</definedName>
    <definedName name="boc_hr_bc_ooph_2">Breast_Ovarian!$C$51</definedName>
    <definedName name="boc_hr_oc_mast_1">Breast_Ovarian!$C$53</definedName>
    <definedName name="boc_hr_oc_mast_2">Breast_Ovarian!$C$54</definedName>
    <definedName name="boc_hr_oc_ooph_1">Breast_Ovarian!$C$56</definedName>
    <definedName name="boc_hr_oc_ooph_2">Breast_Ovarian!$C$57</definedName>
    <definedName name="boc_inc">Breast_Ovarian!$CX$8:$DN$108</definedName>
    <definedName name="boc_inc_upt">Breast_Ovarian!$CX$8:$EL$108</definedName>
    <definedName name="boc_known">Breast_Ovarian!$C$43</definedName>
    <definedName name="boc_mort">Breast_Ovarian!$CX$8:$CY$108</definedName>
    <definedName name="boc_mort_bc">Breast_Ovarian!$FH$8:$FP$12</definedName>
    <definedName name="boc_mort_oc">Breast_Ovarian!$FH$15:$FP$19</definedName>
    <definedName name="boc_mort_pc">Breast_Ovarian!$CX$8:$DB$108</definedName>
    <definedName name="boc_mut_brca1">Breast_Ovarian!$C$36</definedName>
    <definedName name="boc_mut_brca2">Breast_Ovarian!$C$37</definedName>
    <definedName name="boc_mut_other">Breast_Ovarian!$C$38</definedName>
    <definedName name="boc_notest_cost">Breast_Ovarian!$F$6</definedName>
    <definedName name="boc_notest_qalys">Breast_Ovarian!$G$6</definedName>
    <definedName name="boc_psa_incr_costs">PSA!$BI$16:OFFSET(PSA!$BI$16,sims,0)</definedName>
    <definedName name="boc_psa_incr_qalys">PSA!$BJ$16:OFFSET(PSA!$BJ$16,sims,0)</definedName>
    <definedName name="boc_psa_test_cost">PSA!$BE$16:OFFSET(PSA!$BE$16,outer,0)</definedName>
    <definedName name="boc_test_cost">Breast_Ovarian!$F$5</definedName>
    <definedName name="boc_test_qalys">Breast_Ovarian!$G$5</definedName>
    <definedName name="boc_unaff">Breast_Ovarian!$C$41</definedName>
    <definedName name="boc_unkn_mast">Breast_Ovarian!$C$60</definedName>
    <definedName name="boc_unkn_ooph">Breast_Ovarian!$C$61</definedName>
    <definedName name="boc_uptake">Breast_Ovarian!$CX$8:$DZ$108</definedName>
    <definedName name="boc_util_bc">Breast_Ovarian!$C$65</definedName>
    <definedName name="boc_util_oc">Breast_Ovarian!$C$66</definedName>
    <definedName name="boc_util_pc_bc">Breast_Ovarian!$C$67</definedName>
    <definedName name="boc_util_pc_oc">Breast_Ovarian!$C$68</definedName>
    <definedName name="cohort">VOI_Parameters!$C$6</definedName>
    <definedName name="cost_assay">VOI_Parameters!$C$20</definedName>
    <definedName name="cost_couns">VOI_Parameters!$C$21</definedName>
    <definedName name="cost_review">VOI_Parameters!$C$23</definedName>
    <definedName name="discount">VOI_Parameters!$C$8</definedName>
    <definedName name="eff_pop">VOI!$N$17</definedName>
    <definedName name="evsi_n">VOI_Parameters!$C$14</definedName>
    <definedName name="horizon">VOI_Parameters!$C$9</definedName>
    <definedName name="inner">VOI_Parameters!$C$13</definedName>
    <definedName name="outer">VOI_Parameters!$C$12</definedName>
    <definedName name="over_notest_cost">VOI_Parameters!$I$8</definedName>
    <definedName name="over_notest_qalys">VOI_Parameters!$J$8</definedName>
    <definedName name="over_test_cost">VOI_Parameters!$I$6</definedName>
    <definedName name="over_test_qalys">VOI_Parameters!$J$6</definedName>
    <definedName name="owsa">VOI_Parameters!$C$10</definedName>
    <definedName name="owsa_boc">Breast_Ovarian!$N$4</definedName>
    <definedName name="owsa_high">FALSE</definedName>
    <definedName name="owsa_low">FALSE</definedName>
    <definedName name="pen_arvc">VOI_Parameters!$C$36</definedName>
    <definedName name="pen_bc">VOI_Parameters!$C$38</definedName>
    <definedName name="pen_fh">VOI_Parameters!$C$37</definedName>
    <definedName name="pen_hc">VOI_Parameters!$C$39</definedName>
    <definedName name="pen_longQT">VOI_Parameters!$C$40</definedName>
    <definedName name="pen_ls">VOI_Parameters!$C$41</definedName>
    <definedName name="pen_mhyp">VOI_Parameters!$C$42</definedName>
    <definedName name="pen_rare">VOI_Parameters!$C$43</definedName>
    <definedName name="penetrance">VOI_Parameters!$C$36:$C$43</definedName>
    <definedName name="penetrance2">VOI_Parameters!$L$36:$L$43</definedName>
    <definedName name="penetrance3">VOI_Parameters!$N$36:$N$43</definedName>
    <definedName name="ppn_avoid">VOI_Parameters!$C$57</definedName>
    <definedName name="ppn_util_arvc">VOI_Parameters!$C$26</definedName>
    <definedName name="ppn_util_bc">VOI_Parameters!$C$28</definedName>
    <definedName name="ppn_util_fh">VOI_Parameters!$C$27</definedName>
    <definedName name="ppn_util_hc">VOI_Parameters!$C$29</definedName>
    <definedName name="ppn_util_LQTS">VOI_Parameters!$C$30</definedName>
    <definedName name="ppn_util_ls">VOI_Parameters!$C$31</definedName>
    <definedName name="ppn_util_mhyp">VOI_Parameters!$C$32</definedName>
    <definedName name="ppn_util_rare">VOI_Parameters!$C$33</definedName>
    <definedName name="prev_arvc">VOI_Parameters!$C$46</definedName>
    <definedName name="prev_bc">VOI_Parameters!$C$48</definedName>
    <definedName name="prev_fh">VOI_Parameters!$C$47</definedName>
    <definedName name="prev_hc">VOI_Parameters!$C$49</definedName>
    <definedName name="prev_LQTS">VOI_Parameters!$C$50</definedName>
    <definedName name="prev_ls">VOI_Parameters!$C$51</definedName>
    <definedName name="prev_mhyp">VOI_Parameters!$C$52</definedName>
    <definedName name="prev_rare">VOI_Parameters!$C$53</definedName>
    <definedName name="prevalence">VOI_Parameters!$C$46:$C$53</definedName>
    <definedName name="prevalence2">VOI_Parameters!$L$46:$L$53</definedName>
    <definedName name="prevalence3">VOI_Parameters!$N$46:$N$53</definedName>
    <definedName name="psa">VOI_Parameters!$C$11</definedName>
    <definedName name="psa_2">VOI_Parameters!$D$11</definedName>
    <definedName name="util_well">Breast_Ovarian!$C$64</definedName>
    <definedName name="wtp">PSA!$J$14</definedName>
    <definedName name="z">NORMSINV(1-((1-0.95)/2))</definedName>
  </definedNames>
  <calcPr calcId="17902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2" l="1"/>
  <c r="FL51" i="1"/>
  <c r="FM51" i="1"/>
  <c r="FO51" i="1"/>
  <c r="FP48" i="1"/>
  <c r="FM49" i="1"/>
  <c r="FO49" i="1"/>
  <c r="FP49" i="1"/>
  <c r="FL45" i="1"/>
  <c r="FL47" i="1"/>
  <c r="FL50" i="1"/>
  <c r="FM47" i="1"/>
  <c r="FM50" i="1"/>
  <c r="FO47" i="1"/>
  <c r="FO50" i="1"/>
  <c r="FP50" i="1"/>
  <c r="E36" i="1"/>
  <c r="E37" i="1"/>
  <c r="D36" i="1"/>
  <c r="G36" i="1"/>
  <c r="F36" i="1"/>
  <c r="H36" i="1"/>
  <c r="I36" i="1"/>
  <c r="J36" i="1"/>
  <c r="C36" i="1"/>
  <c r="ET8" i="1"/>
  <c r="EU8" i="1"/>
  <c r="EV8" i="1"/>
  <c r="EW8" i="1"/>
  <c r="ET9" i="1"/>
  <c r="EU9" i="1"/>
  <c r="EV9" i="1"/>
  <c r="EW9" i="1"/>
  <c r="ET10" i="1"/>
  <c r="EU10" i="1"/>
  <c r="EV10" i="1"/>
  <c r="EW10" i="1"/>
  <c r="ET11" i="1"/>
  <c r="EU11" i="1"/>
  <c r="EV11" i="1"/>
  <c r="EW11" i="1"/>
  <c r="ET12" i="1"/>
  <c r="EU12" i="1"/>
  <c r="EV12" i="1"/>
  <c r="EW12" i="1"/>
  <c r="DI48" i="1"/>
  <c r="ET13" i="1"/>
  <c r="EU13" i="1"/>
  <c r="EV13" i="1"/>
  <c r="EW13" i="1"/>
  <c r="DI58" i="1"/>
  <c r="DI49" i="1"/>
  <c r="DI50" i="1"/>
  <c r="DI51" i="1"/>
  <c r="DI52" i="1"/>
  <c r="DI53" i="1"/>
  <c r="D37" i="1"/>
  <c r="G37" i="1"/>
  <c r="F37" i="1"/>
  <c r="H37" i="1"/>
  <c r="I37" i="1"/>
  <c r="J37" i="1"/>
  <c r="C37" i="1"/>
  <c r="ET22" i="1"/>
  <c r="EU22" i="1"/>
  <c r="EV22" i="1"/>
  <c r="EW22" i="1"/>
  <c r="ET23" i="1"/>
  <c r="EU23" i="1"/>
  <c r="EV23" i="1"/>
  <c r="EW23" i="1"/>
  <c r="ET24" i="1"/>
  <c r="EU24" i="1"/>
  <c r="EV24" i="1"/>
  <c r="EW24" i="1"/>
  <c r="ET25" i="1"/>
  <c r="EU25" i="1"/>
  <c r="EV25" i="1"/>
  <c r="EW25" i="1"/>
  <c r="ET26" i="1"/>
  <c r="EU26" i="1"/>
  <c r="EV26" i="1"/>
  <c r="EW26" i="1"/>
  <c r="DJ48" i="1"/>
  <c r="ET27" i="1"/>
  <c r="EU27" i="1"/>
  <c r="EV27" i="1"/>
  <c r="EW27" i="1"/>
  <c r="DJ58" i="1"/>
  <c r="DJ49" i="1"/>
  <c r="DJ50" i="1"/>
  <c r="DJ51" i="1"/>
  <c r="DJ52" i="1"/>
  <c r="DJ53" i="1"/>
  <c r="DK53" i="1"/>
  <c r="ET36" i="1"/>
  <c r="EU36" i="1"/>
  <c r="EV36" i="1"/>
  <c r="EW36" i="1"/>
  <c r="ET37" i="1"/>
  <c r="EU37" i="1"/>
  <c r="EV37" i="1"/>
  <c r="EW37" i="1"/>
  <c r="ET38" i="1"/>
  <c r="EU38" i="1"/>
  <c r="EV38" i="1"/>
  <c r="EW38" i="1"/>
  <c r="ET39" i="1"/>
  <c r="EU39" i="1"/>
  <c r="EV39" i="1"/>
  <c r="EW39" i="1"/>
  <c r="ET40" i="1"/>
  <c r="EU40" i="1"/>
  <c r="EV40" i="1"/>
  <c r="EW40" i="1"/>
  <c r="DL48" i="1"/>
  <c r="ET41" i="1"/>
  <c r="EU41" i="1"/>
  <c r="EV41" i="1"/>
  <c r="EW41" i="1"/>
  <c r="DL58" i="1"/>
  <c r="DL49" i="1"/>
  <c r="DL50" i="1"/>
  <c r="DL51" i="1"/>
  <c r="DL52" i="1"/>
  <c r="DL53" i="1"/>
  <c r="ET50" i="1"/>
  <c r="EU50" i="1"/>
  <c r="EV50" i="1"/>
  <c r="EW50" i="1"/>
  <c r="ET51" i="1"/>
  <c r="EU51" i="1"/>
  <c r="EV51" i="1"/>
  <c r="EW51" i="1"/>
  <c r="ET52" i="1"/>
  <c r="EU52" i="1"/>
  <c r="EV52" i="1"/>
  <c r="EW52" i="1"/>
  <c r="ET53" i="1"/>
  <c r="EU53" i="1"/>
  <c r="EV53" i="1"/>
  <c r="EW53" i="1"/>
  <c r="ET54" i="1"/>
  <c r="EU54" i="1"/>
  <c r="EV54" i="1"/>
  <c r="EW54" i="1"/>
  <c r="DM48" i="1"/>
  <c r="ET55" i="1"/>
  <c r="EU55" i="1"/>
  <c r="EV55" i="1"/>
  <c r="EW55" i="1"/>
  <c r="DM58" i="1"/>
  <c r="DM49" i="1"/>
  <c r="DM50" i="1"/>
  <c r="DM51" i="1"/>
  <c r="DM52" i="1"/>
  <c r="DM53" i="1"/>
  <c r="DN53" i="1"/>
  <c r="C7" i="2"/>
  <c r="C42" i="1"/>
  <c r="AW6" i="1"/>
  <c r="BF6" i="1"/>
  <c r="FM9" i="1"/>
  <c r="FL9" i="1"/>
  <c r="FN9" i="1"/>
  <c r="FO9" i="1"/>
  <c r="FP9" i="1"/>
  <c r="FJ31" i="1"/>
  <c r="FK31" i="1"/>
  <c r="FL31" i="1"/>
  <c r="FM31" i="1"/>
  <c r="DA54" i="1"/>
  <c r="AW7" i="1"/>
  <c r="BF7" i="1"/>
  <c r="G67" i="1"/>
  <c r="F67" i="1"/>
  <c r="H67" i="1"/>
  <c r="I67" i="1"/>
  <c r="J67" i="1"/>
  <c r="C67" i="1"/>
  <c r="BH6" i="1"/>
  <c r="FM16" i="1"/>
  <c r="FL16" i="1"/>
  <c r="FN16" i="1"/>
  <c r="FO16" i="1"/>
  <c r="FP16" i="1"/>
  <c r="FN31" i="1"/>
  <c r="FO31" i="1"/>
  <c r="FP31" i="1"/>
  <c r="DB54" i="1"/>
  <c r="BH7" i="1"/>
  <c r="G68" i="1"/>
  <c r="F68" i="1"/>
  <c r="H68" i="1"/>
  <c r="I68" i="1"/>
  <c r="J68" i="1"/>
  <c r="C68" i="1"/>
  <c r="C8" i="2"/>
  <c r="BV7" i="1"/>
  <c r="DA55" i="1"/>
  <c r="C41" i="1"/>
  <c r="G43" i="1"/>
  <c r="F43" i="1"/>
  <c r="H43" i="1"/>
  <c r="I43" i="1"/>
  <c r="J43" i="1"/>
  <c r="C43" i="1"/>
  <c r="FB9" i="1"/>
  <c r="FA9" i="1"/>
  <c r="FC9" i="1"/>
  <c r="FD9" i="1"/>
  <c r="FE9" i="1"/>
  <c r="FF9" i="1"/>
  <c r="FB10" i="1"/>
  <c r="FA10" i="1"/>
  <c r="FC10" i="1"/>
  <c r="FD10" i="1"/>
  <c r="FE10" i="1"/>
  <c r="FF10" i="1"/>
  <c r="FB11" i="1"/>
  <c r="FA11" i="1"/>
  <c r="FC11" i="1"/>
  <c r="FD11" i="1"/>
  <c r="FE11" i="1"/>
  <c r="FF11" i="1"/>
  <c r="FB12" i="1"/>
  <c r="FA12" i="1"/>
  <c r="FC12" i="1"/>
  <c r="FD12" i="1"/>
  <c r="FE12" i="1"/>
  <c r="FF12" i="1"/>
  <c r="FB13" i="1"/>
  <c r="FA13" i="1"/>
  <c r="FC13" i="1"/>
  <c r="FD13" i="1"/>
  <c r="FE13" i="1"/>
  <c r="FF13" i="1"/>
  <c r="FB14" i="1"/>
  <c r="FA14" i="1"/>
  <c r="FC14" i="1"/>
  <c r="FD14" i="1"/>
  <c r="FE14" i="1"/>
  <c r="FF14" i="1"/>
  <c r="FB15" i="1"/>
  <c r="FA15" i="1"/>
  <c r="FC15" i="1"/>
  <c r="FD15" i="1"/>
  <c r="FE15" i="1"/>
  <c r="FF15" i="1"/>
  <c r="FB16" i="1"/>
  <c r="FA16" i="1"/>
  <c r="FC16" i="1"/>
  <c r="FD16" i="1"/>
  <c r="FE16" i="1"/>
  <c r="FF16" i="1"/>
  <c r="FB17" i="1"/>
  <c r="FA17" i="1"/>
  <c r="FC17" i="1"/>
  <c r="FD17" i="1"/>
  <c r="FE17" i="1"/>
  <c r="FF17" i="1"/>
  <c r="DU53" i="1"/>
  <c r="FB33" i="1"/>
  <c r="FA33" i="1"/>
  <c r="FC33" i="1"/>
  <c r="FD33" i="1"/>
  <c r="FE33" i="1"/>
  <c r="FF33" i="1"/>
  <c r="FB34" i="1"/>
  <c r="FA34" i="1"/>
  <c r="FC34" i="1"/>
  <c r="FD34" i="1"/>
  <c r="FE34" i="1"/>
  <c r="FF34" i="1"/>
  <c r="FB35" i="1"/>
  <c r="FA35" i="1"/>
  <c r="FC35" i="1"/>
  <c r="FD35" i="1"/>
  <c r="FE35" i="1"/>
  <c r="FF35" i="1"/>
  <c r="FB36" i="1"/>
  <c r="FA36" i="1"/>
  <c r="FC36" i="1"/>
  <c r="FD36" i="1"/>
  <c r="FE36" i="1"/>
  <c r="FF36" i="1"/>
  <c r="FB37" i="1"/>
  <c r="FA37" i="1"/>
  <c r="FC37" i="1"/>
  <c r="FD37" i="1"/>
  <c r="FE37" i="1"/>
  <c r="FF37" i="1"/>
  <c r="FB38" i="1"/>
  <c r="FA38" i="1"/>
  <c r="FC38" i="1"/>
  <c r="FD38" i="1"/>
  <c r="FE38" i="1"/>
  <c r="FF38" i="1"/>
  <c r="FB39" i="1"/>
  <c r="FA39" i="1"/>
  <c r="FC39" i="1"/>
  <c r="FD39" i="1"/>
  <c r="FE39" i="1"/>
  <c r="FF39" i="1"/>
  <c r="FB40" i="1"/>
  <c r="FA40" i="1"/>
  <c r="FC40" i="1"/>
  <c r="FD40" i="1"/>
  <c r="FE40" i="1"/>
  <c r="FF40" i="1"/>
  <c r="FB41" i="1"/>
  <c r="FA41" i="1"/>
  <c r="FC41" i="1"/>
  <c r="FD41" i="1"/>
  <c r="FE41" i="1"/>
  <c r="FF41" i="1"/>
  <c r="DV53" i="1"/>
  <c r="DW53" i="1"/>
  <c r="FB57" i="1"/>
  <c r="FA57" i="1"/>
  <c r="FC57" i="1"/>
  <c r="FD57" i="1"/>
  <c r="FE57" i="1"/>
  <c r="FF57" i="1"/>
  <c r="FB58" i="1"/>
  <c r="FA58" i="1"/>
  <c r="FC58" i="1"/>
  <c r="FD58" i="1"/>
  <c r="FE58" i="1"/>
  <c r="FF58" i="1"/>
  <c r="FB59" i="1"/>
  <c r="FA59" i="1"/>
  <c r="FC59" i="1"/>
  <c r="FD59" i="1"/>
  <c r="FE59" i="1"/>
  <c r="FF59" i="1"/>
  <c r="FB60" i="1"/>
  <c r="FA60" i="1"/>
  <c r="FC60" i="1"/>
  <c r="FD60" i="1"/>
  <c r="FE60" i="1"/>
  <c r="FF60" i="1"/>
  <c r="FB61" i="1"/>
  <c r="FA61" i="1"/>
  <c r="FC61" i="1"/>
  <c r="FD61" i="1"/>
  <c r="FE61" i="1"/>
  <c r="FF61" i="1"/>
  <c r="FB62" i="1"/>
  <c r="FA62" i="1"/>
  <c r="FC62" i="1"/>
  <c r="FD62" i="1"/>
  <c r="FE62" i="1"/>
  <c r="FF62" i="1"/>
  <c r="FB63" i="1"/>
  <c r="FA63" i="1"/>
  <c r="FC63" i="1"/>
  <c r="FD63" i="1"/>
  <c r="FE63" i="1"/>
  <c r="FF63" i="1"/>
  <c r="FB64" i="1"/>
  <c r="FA64" i="1"/>
  <c r="FC64" i="1"/>
  <c r="FD64" i="1"/>
  <c r="FE64" i="1"/>
  <c r="FF64" i="1"/>
  <c r="FB65" i="1"/>
  <c r="FA65" i="1"/>
  <c r="FC65" i="1"/>
  <c r="FD65" i="1"/>
  <c r="FE65" i="1"/>
  <c r="FF65" i="1"/>
  <c r="DX53" i="1"/>
  <c r="FB81" i="1"/>
  <c r="FA81" i="1"/>
  <c r="FC81" i="1"/>
  <c r="FD81" i="1"/>
  <c r="FE81" i="1"/>
  <c r="FF81" i="1"/>
  <c r="FB82" i="1"/>
  <c r="FA82" i="1"/>
  <c r="FC82" i="1"/>
  <c r="FD82" i="1"/>
  <c r="FE82" i="1"/>
  <c r="FF82" i="1"/>
  <c r="FB83" i="1"/>
  <c r="FA83" i="1"/>
  <c r="FC83" i="1"/>
  <c r="FD83" i="1"/>
  <c r="FE83" i="1"/>
  <c r="FF83" i="1"/>
  <c r="FB84" i="1"/>
  <c r="FA84" i="1"/>
  <c r="FC84" i="1"/>
  <c r="FD84" i="1"/>
  <c r="FE84" i="1"/>
  <c r="FF84" i="1"/>
  <c r="FB85" i="1"/>
  <c r="FA85" i="1"/>
  <c r="FC85" i="1"/>
  <c r="FD85" i="1"/>
  <c r="FE85" i="1"/>
  <c r="FF85" i="1"/>
  <c r="FB86" i="1"/>
  <c r="FA86" i="1"/>
  <c r="FC86" i="1"/>
  <c r="FD86" i="1"/>
  <c r="FE86" i="1"/>
  <c r="FF86" i="1"/>
  <c r="FB87" i="1"/>
  <c r="FA87" i="1"/>
  <c r="FC87" i="1"/>
  <c r="FD87" i="1"/>
  <c r="FE87" i="1"/>
  <c r="FF87" i="1"/>
  <c r="FB88" i="1"/>
  <c r="FA88" i="1"/>
  <c r="FC88" i="1"/>
  <c r="FD88" i="1"/>
  <c r="FE88" i="1"/>
  <c r="FF88" i="1"/>
  <c r="FB89" i="1"/>
  <c r="FA89" i="1"/>
  <c r="FC89" i="1"/>
  <c r="FD89" i="1"/>
  <c r="FE89" i="1"/>
  <c r="FF89" i="1"/>
  <c r="DY53" i="1"/>
  <c r="DZ53" i="1"/>
  <c r="AX6" i="1"/>
  <c r="ET69" i="1"/>
  <c r="EU69" i="1"/>
  <c r="EV69" i="1"/>
  <c r="EW69" i="1"/>
  <c r="DC54" i="1"/>
  <c r="ET82" i="1"/>
  <c r="EU82" i="1"/>
  <c r="EV82" i="1"/>
  <c r="EW82" i="1"/>
  <c r="DD54" i="1"/>
  <c r="DE54" i="1"/>
  <c r="BA6" i="1"/>
  <c r="C10" i="2"/>
  <c r="G47" i="1"/>
  <c r="F47" i="1"/>
  <c r="H47" i="1"/>
  <c r="J47" i="1"/>
  <c r="C47" i="1"/>
  <c r="EA54" i="1"/>
  <c r="G48" i="1"/>
  <c r="F48" i="1"/>
  <c r="H48" i="1"/>
  <c r="J48" i="1"/>
  <c r="C48" i="1"/>
  <c r="EB54" i="1"/>
  <c r="EC54" i="1"/>
  <c r="BB6" i="1"/>
  <c r="FM8" i="1"/>
  <c r="FL8" i="1"/>
  <c r="FN8" i="1"/>
  <c r="FO8" i="1"/>
  <c r="FP8" i="1"/>
  <c r="FJ22" i="1"/>
  <c r="FK22" i="1"/>
  <c r="FL22" i="1"/>
  <c r="FM22" i="1"/>
  <c r="DA8" i="1"/>
  <c r="FM15" i="1"/>
  <c r="FL15" i="1"/>
  <c r="FN15" i="1"/>
  <c r="FO15" i="1"/>
  <c r="FP15" i="1"/>
  <c r="FN22" i="1"/>
  <c r="FO22" i="1"/>
  <c r="FP22" i="1"/>
  <c r="DB8" i="1"/>
  <c r="ET64" i="1"/>
  <c r="EU64" i="1"/>
  <c r="EV64" i="1"/>
  <c r="EW64" i="1"/>
  <c r="DC8" i="1"/>
  <c r="ET78" i="1"/>
  <c r="EU78" i="1"/>
  <c r="EV78" i="1"/>
  <c r="EW78" i="1"/>
  <c r="DD8" i="1"/>
  <c r="DE8" i="1"/>
  <c r="ET92" i="1"/>
  <c r="EU92" i="1"/>
  <c r="EV92" i="1"/>
  <c r="EW92" i="1"/>
  <c r="DF8" i="1"/>
  <c r="ET106" i="1"/>
  <c r="EU106" i="1"/>
  <c r="EV106" i="1"/>
  <c r="EW106" i="1"/>
  <c r="DG8" i="1"/>
  <c r="DH8" i="1"/>
  <c r="DI8" i="1"/>
  <c r="DJ8" i="1"/>
  <c r="DK8" i="1"/>
  <c r="DL8" i="1"/>
  <c r="DM8" i="1"/>
  <c r="DN8" i="1"/>
  <c r="DQ8" i="1"/>
  <c r="DT8" i="1"/>
  <c r="DU8" i="1"/>
  <c r="DV8" i="1"/>
  <c r="DW8" i="1"/>
  <c r="DX8" i="1"/>
  <c r="DY8" i="1"/>
  <c r="DZ8" i="1"/>
  <c r="EA8" i="1"/>
  <c r="EB8" i="1"/>
  <c r="EC8" i="1"/>
  <c r="H50" i="1"/>
  <c r="J50" i="1"/>
  <c r="C50" i="1"/>
  <c r="ED8" i="1"/>
  <c r="H51" i="1"/>
  <c r="J51" i="1"/>
  <c r="C51" i="1"/>
  <c r="EE8" i="1"/>
  <c r="EF8" i="1"/>
  <c r="G53" i="1"/>
  <c r="F53" i="1"/>
  <c r="H53" i="1"/>
  <c r="J53" i="1"/>
  <c r="C53" i="1"/>
  <c r="EG8" i="1"/>
  <c r="G54" i="1"/>
  <c r="F54" i="1"/>
  <c r="H54" i="1"/>
  <c r="J54" i="1"/>
  <c r="C54" i="1"/>
  <c r="EH8" i="1"/>
  <c r="EI8" i="1"/>
  <c r="H56" i="1"/>
  <c r="J56" i="1"/>
  <c r="C56" i="1"/>
  <c r="EJ8" i="1"/>
  <c r="G57" i="1"/>
  <c r="F57" i="1"/>
  <c r="H57" i="1"/>
  <c r="J57" i="1"/>
  <c r="C57" i="1"/>
  <c r="EK8" i="1"/>
  <c r="EL8" i="1"/>
  <c r="DA9" i="1"/>
  <c r="DB9" i="1"/>
  <c r="ET65" i="1"/>
  <c r="EU65" i="1"/>
  <c r="EV65" i="1"/>
  <c r="EW65" i="1"/>
  <c r="DC9" i="1"/>
  <c r="DD9" i="1"/>
  <c r="DE9" i="1"/>
  <c r="DF9" i="1"/>
  <c r="DG9" i="1"/>
  <c r="DH9" i="1"/>
  <c r="DI18" i="1"/>
  <c r="DI9" i="1"/>
  <c r="DJ18" i="1"/>
  <c r="DJ9" i="1"/>
  <c r="DK9" i="1"/>
  <c r="DL18" i="1"/>
  <c r="DL9" i="1"/>
  <c r="DM18" i="1"/>
  <c r="DM9" i="1"/>
  <c r="DN9" i="1"/>
  <c r="DU13" i="1"/>
  <c r="DU9" i="1"/>
  <c r="DO9" i="1"/>
  <c r="DV13" i="1"/>
  <c r="DV9" i="1"/>
  <c r="DP9" i="1"/>
  <c r="DQ9" i="1"/>
  <c r="DX13" i="1"/>
  <c r="DX9" i="1"/>
  <c r="DR9" i="1"/>
  <c r="DY13" i="1"/>
  <c r="DY9" i="1"/>
  <c r="DS9" i="1"/>
  <c r="DT9" i="1"/>
  <c r="DW9" i="1"/>
  <c r="DZ9" i="1"/>
  <c r="EA9" i="1"/>
  <c r="EB9" i="1"/>
  <c r="EC9" i="1"/>
  <c r="ED9" i="1"/>
  <c r="EE9" i="1"/>
  <c r="EF9" i="1"/>
  <c r="EG9" i="1"/>
  <c r="EH9" i="1"/>
  <c r="EI9" i="1"/>
  <c r="EJ9" i="1"/>
  <c r="EK9" i="1"/>
  <c r="EL9" i="1"/>
  <c r="DA10" i="1"/>
  <c r="DB10" i="1"/>
  <c r="DC10" i="1"/>
  <c r="DD10" i="1"/>
  <c r="DE10" i="1"/>
  <c r="DF10" i="1"/>
  <c r="DG10" i="1"/>
  <c r="DH10" i="1"/>
  <c r="DI10" i="1"/>
  <c r="DJ10" i="1"/>
  <c r="DK10" i="1"/>
  <c r="DL10" i="1"/>
  <c r="DM10" i="1"/>
  <c r="DN10" i="1"/>
  <c r="DU10" i="1"/>
  <c r="DO10" i="1"/>
  <c r="DV10" i="1"/>
  <c r="DP10" i="1"/>
  <c r="DQ10" i="1"/>
  <c r="DX10" i="1"/>
  <c r="DR10" i="1"/>
  <c r="DY10" i="1"/>
  <c r="DS10" i="1"/>
  <c r="DT10" i="1"/>
  <c r="DW10" i="1"/>
  <c r="DZ10" i="1"/>
  <c r="EA10" i="1"/>
  <c r="EB10" i="1"/>
  <c r="EC10" i="1"/>
  <c r="ED10" i="1"/>
  <c r="EE10" i="1"/>
  <c r="EF10" i="1"/>
  <c r="EG10" i="1"/>
  <c r="EH10" i="1"/>
  <c r="EI10" i="1"/>
  <c r="EJ10" i="1"/>
  <c r="EK10" i="1"/>
  <c r="EL10" i="1"/>
  <c r="DA11" i="1"/>
  <c r="DB11" i="1"/>
  <c r="DC11" i="1"/>
  <c r="DD11" i="1"/>
  <c r="DE11" i="1"/>
  <c r="DF11" i="1"/>
  <c r="DG11" i="1"/>
  <c r="DH11" i="1"/>
  <c r="DI11" i="1"/>
  <c r="DJ11" i="1"/>
  <c r="DK11" i="1"/>
  <c r="DL11" i="1"/>
  <c r="DM11" i="1"/>
  <c r="DN11" i="1"/>
  <c r="DU11" i="1"/>
  <c r="DO11" i="1"/>
  <c r="DV11" i="1"/>
  <c r="DP11" i="1"/>
  <c r="DQ11" i="1"/>
  <c r="DX11" i="1"/>
  <c r="DR11" i="1"/>
  <c r="DY11" i="1"/>
  <c r="DS11" i="1"/>
  <c r="DT11" i="1"/>
  <c r="DW11" i="1"/>
  <c r="DZ11" i="1"/>
  <c r="EA11" i="1"/>
  <c r="EB11" i="1"/>
  <c r="EC11" i="1"/>
  <c r="ED11" i="1"/>
  <c r="EE11" i="1"/>
  <c r="EF11" i="1"/>
  <c r="EG11" i="1"/>
  <c r="EH11" i="1"/>
  <c r="EI11" i="1"/>
  <c r="EJ11" i="1"/>
  <c r="EK11" i="1"/>
  <c r="EL11" i="1"/>
  <c r="DA12" i="1"/>
  <c r="DB12" i="1"/>
  <c r="DC12" i="1"/>
  <c r="DD12" i="1"/>
  <c r="DE12" i="1"/>
  <c r="DF12" i="1"/>
  <c r="DG12" i="1"/>
  <c r="DH12" i="1"/>
  <c r="DI12" i="1"/>
  <c r="DJ12" i="1"/>
  <c r="DK12" i="1"/>
  <c r="DL12" i="1"/>
  <c r="DM12" i="1"/>
  <c r="DN12" i="1"/>
  <c r="DU12" i="1"/>
  <c r="DO12" i="1"/>
  <c r="DV12" i="1"/>
  <c r="DP12" i="1"/>
  <c r="DQ12" i="1"/>
  <c r="DX12" i="1"/>
  <c r="DR12" i="1"/>
  <c r="DY12" i="1"/>
  <c r="DS12" i="1"/>
  <c r="DT12" i="1"/>
  <c r="DW12" i="1"/>
  <c r="DZ12" i="1"/>
  <c r="EA12" i="1"/>
  <c r="EB12" i="1"/>
  <c r="EC12" i="1"/>
  <c r="ED12" i="1"/>
  <c r="EE12" i="1"/>
  <c r="EF12" i="1"/>
  <c r="EG12" i="1"/>
  <c r="EH12" i="1"/>
  <c r="EI12" i="1"/>
  <c r="EJ12" i="1"/>
  <c r="EK12" i="1"/>
  <c r="EL12" i="1"/>
  <c r="FJ23" i="1"/>
  <c r="FK23" i="1"/>
  <c r="FL23" i="1"/>
  <c r="FM23" i="1"/>
  <c r="DA13" i="1"/>
  <c r="FN23" i="1"/>
  <c r="FO23" i="1"/>
  <c r="FP23" i="1"/>
  <c r="DB13" i="1"/>
  <c r="DC13" i="1"/>
  <c r="DD13" i="1"/>
  <c r="DE13" i="1"/>
  <c r="DF13" i="1"/>
  <c r="DG13" i="1"/>
  <c r="DH13" i="1"/>
  <c r="DI13" i="1"/>
  <c r="DJ13" i="1"/>
  <c r="DK13" i="1"/>
  <c r="DL13" i="1"/>
  <c r="DM13" i="1"/>
  <c r="DN13" i="1"/>
  <c r="DO13" i="1"/>
  <c r="DP13" i="1"/>
  <c r="DQ13" i="1"/>
  <c r="DR13" i="1"/>
  <c r="DS13" i="1"/>
  <c r="DT13" i="1"/>
  <c r="DW13" i="1"/>
  <c r="DZ13" i="1"/>
  <c r="EA13" i="1"/>
  <c r="EB13" i="1"/>
  <c r="EC13" i="1"/>
  <c r="ED13" i="1"/>
  <c r="EE13" i="1"/>
  <c r="EF13" i="1"/>
  <c r="EG13" i="1"/>
  <c r="EH13" i="1"/>
  <c r="EI13" i="1"/>
  <c r="EJ13" i="1"/>
  <c r="EK13" i="1"/>
  <c r="EL13" i="1"/>
  <c r="DA14" i="1"/>
  <c r="DB14" i="1"/>
  <c r="DC14" i="1"/>
  <c r="DD14" i="1"/>
  <c r="DE14" i="1"/>
  <c r="DF14" i="1"/>
  <c r="DG14" i="1"/>
  <c r="DH14" i="1"/>
  <c r="DI14" i="1"/>
  <c r="DJ14" i="1"/>
  <c r="DK14" i="1"/>
  <c r="DL14" i="1"/>
  <c r="DM14" i="1"/>
  <c r="DN14" i="1"/>
  <c r="DU18" i="1"/>
  <c r="DU14" i="1"/>
  <c r="DO14" i="1"/>
  <c r="DV18" i="1"/>
  <c r="DV14" i="1"/>
  <c r="DP14" i="1"/>
  <c r="DQ14" i="1"/>
  <c r="DX18" i="1"/>
  <c r="DX14" i="1"/>
  <c r="DR14" i="1"/>
  <c r="DY18" i="1"/>
  <c r="DY14" i="1"/>
  <c r="DS14" i="1"/>
  <c r="DT14" i="1"/>
  <c r="DW14" i="1"/>
  <c r="DZ14" i="1"/>
  <c r="EA14" i="1"/>
  <c r="EB14" i="1"/>
  <c r="EC14" i="1"/>
  <c r="ED14" i="1"/>
  <c r="EE14" i="1"/>
  <c r="EF14" i="1"/>
  <c r="EG14" i="1"/>
  <c r="EH14" i="1"/>
  <c r="EI14" i="1"/>
  <c r="EJ14" i="1"/>
  <c r="EK14" i="1"/>
  <c r="EL14" i="1"/>
  <c r="DA15" i="1"/>
  <c r="DB15" i="1"/>
  <c r="DC15" i="1"/>
  <c r="DD15" i="1"/>
  <c r="DE15" i="1"/>
  <c r="DF15" i="1"/>
  <c r="DG15" i="1"/>
  <c r="DH15" i="1"/>
  <c r="DI15" i="1"/>
  <c r="DJ15" i="1"/>
  <c r="DK15" i="1"/>
  <c r="DL15" i="1"/>
  <c r="DM15" i="1"/>
  <c r="DN15" i="1"/>
  <c r="DU15" i="1"/>
  <c r="DO15" i="1"/>
  <c r="DV15" i="1"/>
  <c r="DP15" i="1"/>
  <c r="DQ15" i="1"/>
  <c r="DX15" i="1"/>
  <c r="DR15" i="1"/>
  <c r="DY15" i="1"/>
  <c r="DS15" i="1"/>
  <c r="DT15" i="1"/>
  <c r="DW15" i="1"/>
  <c r="DZ15" i="1"/>
  <c r="EA15" i="1"/>
  <c r="EB15" i="1"/>
  <c r="EC15" i="1"/>
  <c r="ED15" i="1"/>
  <c r="EE15" i="1"/>
  <c r="EF15" i="1"/>
  <c r="EG15" i="1"/>
  <c r="EH15" i="1"/>
  <c r="EI15" i="1"/>
  <c r="EJ15" i="1"/>
  <c r="EK15" i="1"/>
  <c r="EL15" i="1"/>
  <c r="DA16" i="1"/>
  <c r="DB16" i="1"/>
  <c r="DC16" i="1"/>
  <c r="DD16" i="1"/>
  <c r="DE16" i="1"/>
  <c r="DF16" i="1"/>
  <c r="DG16" i="1"/>
  <c r="DH16" i="1"/>
  <c r="DI16" i="1"/>
  <c r="DJ16" i="1"/>
  <c r="DK16" i="1"/>
  <c r="DL16" i="1"/>
  <c r="DM16" i="1"/>
  <c r="DN16" i="1"/>
  <c r="DU16" i="1"/>
  <c r="DO16" i="1"/>
  <c r="DV16" i="1"/>
  <c r="DP16" i="1"/>
  <c r="DQ16" i="1"/>
  <c r="DX16" i="1"/>
  <c r="DR16" i="1"/>
  <c r="DY16" i="1"/>
  <c r="DS16" i="1"/>
  <c r="DT16" i="1"/>
  <c r="DW16" i="1"/>
  <c r="DZ16" i="1"/>
  <c r="EA16" i="1"/>
  <c r="EB16" i="1"/>
  <c r="EC16" i="1"/>
  <c r="ED16" i="1"/>
  <c r="EE16" i="1"/>
  <c r="EF16" i="1"/>
  <c r="EG16" i="1"/>
  <c r="EH16" i="1"/>
  <c r="EI16" i="1"/>
  <c r="EJ16" i="1"/>
  <c r="EK16" i="1"/>
  <c r="EL16" i="1"/>
  <c r="DA17" i="1"/>
  <c r="DB17" i="1"/>
  <c r="DC17" i="1"/>
  <c r="DD17" i="1"/>
  <c r="DE17" i="1"/>
  <c r="DF17" i="1"/>
  <c r="DG17" i="1"/>
  <c r="DH17" i="1"/>
  <c r="DI17" i="1"/>
  <c r="DJ17" i="1"/>
  <c r="DK17" i="1"/>
  <c r="DL17" i="1"/>
  <c r="DM17" i="1"/>
  <c r="DN17" i="1"/>
  <c r="DU17" i="1"/>
  <c r="DO17" i="1"/>
  <c r="DV17" i="1"/>
  <c r="DP17" i="1"/>
  <c r="DQ17" i="1"/>
  <c r="DX17" i="1"/>
  <c r="DR17" i="1"/>
  <c r="DY17" i="1"/>
  <c r="DS17" i="1"/>
  <c r="DT17" i="1"/>
  <c r="DW17" i="1"/>
  <c r="DZ17" i="1"/>
  <c r="EA17" i="1"/>
  <c r="EB17" i="1"/>
  <c r="EC17" i="1"/>
  <c r="ED17" i="1"/>
  <c r="EE17" i="1"/>
  <c r="EF17" i="1"/>
  <c r="EG17" i="1"/>
  <c r="EH17" i="1"/>
  <c r="EI17" i="1"/>
  <c r="EJ17" i="1"/>
  <c r="EK17" i="1"/>
  <c r="EL17" i="1"/>
  <c r="FJ24" i="1"/>
  <c r="FK24" i="1"/>
  <c r="FL24" i="1"/>
  <c r="FM24" i="1"/>
  <c r="DA18" i="1"/>
  <c r="FN24" i="1"/>
  <c r="FO24" i="1"/>
  <c r="FP24" i="1"/>
  <c r="DB18" i="1"/>
  <c r="DC18" i="1"/>
  <c r="ET79" i="1"/>
  <c r="EU79" i="1"/>
  <c r="EV79" i="1"/>
  <c r="EW79" i="1"/>
  <c r="DD18" i="1"/>
  <c r="DE18" i="1"/>
  <c r="ET93" i="1"/>
  <c r="EU93" i="1"/>
  <c r="EV93" i="1"/>
  <c r="EW93" i="1"/>
  <c r="DF18" i="1"/>
  <c r="ET107" i="1"/>
  <c r="EU107" i="1"/>
  <c r="EV107" i="1"/>
  <c r="EW107" i="1"/>
  <c r="DG18" i="1"/>
  <c r="DH18" i="1"/>
  <c r="DK18" i="1"/>
  <c r="DN18" i="1"/>
  <c r="DO18" i="1"/>
  <c r="DP18" i="1"/>
  <c r="DQ18" i="1"/>
  <c r="DR18" i="1"/>
  <c r="DS18" i="1"/>
  <c r="DT18" i="1"/>
  <c r="DW18" i="1"/>
  <c r="DZ18" i="1"/>
  <c r="EA18" i="1"/>
  <c r="EB18" i="1"/>
  <c r="EC18" i="1"/>
  <c r="ED18" i="1"/>
  <c r="EE18" i="1"/>
  <c r="EF18" i="1"/>
  <c r="EG18" i="1"/>
  <c r="EH18" i="1"/>
  <c r="EI18" i="1"/>
  <c r="EJ18" i="1"/>
  <c r="EK18" i="1"/>
  <c r="EL18" i="1"/>
  <c r="DA19" i="1"/>
  <c r="DB19" i="1"/>
  <c r="ET66" i="1"/>
  <c r="EU66" i="1"/>
  <c r="EV66" i="1"/>
  <c r="EW66" i="1"/>
  <c r="DC19" i="1"/>
  <c r="DD19" i="1"/>
  <c r="DE19" i="1"/>
  <c r="DF19" i="1"/>
  <c r="DG19" i="1"/>
  <c r="DH19" i="1"/>
  <c r="DI28" i="1"/>
  <c r="DI19" i="1"/>
  <c r="DJ28" i="1"/>
  <c r="DJ19" i="1"/>
  <c r="DK19" i="1"/>
  <c r="DL28" i="1"/>
  <c r="DL19" i="1"/>
  <c r="DM28" i="1"/>
  <c r="DM19" i="1"/>
  <c r="DN19" i="1"/>
  <c r="DU23" i="1"/>
  <c r="DU19" i="1"/>
  <c r="DO19" i="1"/>
  <c r="DV23" i="1"/>
  <c r="DV19" i="1"/>
  <c r="DP19" i="1"/>
  <c r="DQ19" i="1"/>
  <c r="DX23" i="1"/>
  <c r="DX19" i="1"/>
  <c r="DR19" i="1"/>
  <c r="DY23" i="1"/>
  <c r="DY19" i="1"/>
  <c r="DS19" i="1"/>
  <c r="DT19" i="1"/>
  <c r="DW19" i="1"/>
  <c r="DZ19" i="1"/>
  <c r="EA19" i="1"/>
  <c r="EB19" i="1"/>
  <c r="EC19" i="1"/>
  <c r="ED19" i="1"/>
  <c r="EE19" i="1"/>
  <c r="EF19" i="1"/>
  <c r="EG19" i="1"/>
  <c r="EH19" i="1"/>
  <c r="EI19" i="1"/>
  <c r="EJ19" i="1"/>
  <c r="EK19" i="1"/>
  <c r="EL19" i="1"/>
  <c r="DA20" i="1"/>
  <c r="DB20" i="1"/>
  <c r="DC20" i="1"/>
  <c r="DD20" i="1"/>
  <c r="DE20" i="1"/>
  <c r="DF20" i="1"/>
  <c r="DG20" i="1"/>
  <c r="DH20" i="1"/>
  <c r="DI20" i="1"/>
  <c r="DJ20" i="1"/>
  <c r="DK20" i="1"/>
  <c r="DL20" i="1"/>
  <c r="DM20" i="1"/>
  <c r="DN20" i="1"/>
  <c r="DU20" i="1"/>
  <c r="DO20" i="1"/>
  <c r="DV20" i="1"/>
  <c r="DP20" i="1"/>
  <c r="DQ20" i="1"/>
  <c r="DX20" i="1"/>
  <c r="DR20" i="1"/>
  <c r="DY20" i="1"/>
  <c r="DS20" i="1"/>
  <c r="DT20" i="1"/>
  <c r="DW20" i="1"/>
  <c r="DZ20" i="1"/>
  <c r="EA20" i="1"/>
  <c r="EB20" i="1"/>
  <c r="EC20" i="1"/>
  <c r="ED20" i="1"/>
  <c r="EE20" i="1"/>
  <c r="EF20" i="1"/>
  <c r="EG20" i="1"/>
  <c r="EH20" i="1"/>
  <c r="EI20" i="1"/>
  <c r="EJ20" i="1"/>
  <c r="EK20" i="1"/>
  <c r="EL20" i="1"/>
  <c r="DA21" i="1"/>
  <c r="DB21" i="1"/>
  <c r="DC21" i="1"/>
  <c r="DD21" i="1"/>
  <c r="DE21" i="1"/>
  <c r="DF21" i="1"/>
  <c r="DG21" i="1"/>
  <c r="DH21" i="1"/>
  <c r="DI21" i="1"/>
  <c r="DJ21" i="1"/>
  <c r="DK21" i="1"/>
  <c r="DL21" i="1"/>
  <c r="DM21" i="1"/>
  <c r="DN21" i="1"/>
  <c r="DU21" i="1"/>
  <c r="DO21" i="1"/>
  <c r="DV21" i="1"/>
  <c r="DP21" i="1"/>
  <c r="DQ21" i="1"/>
  <c r="DX21" i="1"/>
  <c r="DR21" i="1"/>
  <c r="DY21" i="1"/>
  <c r="DS21" i="1"/>
  <c r="DT21" i="1"/>
  <c r="DW21" i="1"/>
  <c r="DZ21" i="1"/>
  <c r="EA21" i="1"/>
  <c r="EB21" i="1"/>
  <c r="EC21" i="1"/>
  <c r="ED21" i="1"/>
  <c r="EE21" i="1"/>
  <c r="EF21" i="1"/>
  <c r="EG21" i="1"/>
  <c r="EH21" i="1"/>
  <c r="EI21" i="1"/>
  <c r="EJ21" i="1"/>
  <c r="EK21" i="1"/>
  <c r="EL21" i="1"/>
  <c r="DA22" i="1"/>
  <c r="DB22" i="1"/>
  <c r="DC22" i="1"/>
  <c r="DD22" i="1"/>
  <c r="DE22" i="1"/>
  <c r="DF22" i="1"/>
  <c r="DG22" i="1"/>
  <c r="DH22" i="1"/>
  <c r="DI22" i="1"/>
  <c r="DJ22" i="1"/>
  <c r="DK22" i="1"/>
  <c r="DL22" i="1"/>
  <c r="DM22" i="1"/>
  <c r="DN22" i="1"/>
  <c r="DU22" i="1"/>
  <c r="DO22" i="1"/>
  <c r="DV22" i="1"/>
  <c r="DP22" i="1"/>
  <c r="DQ22" i="1"/>
  <c r="DX22" i="1"/>
  <c r="DR22" i="1"/>
  <c r="DY22" i="1"/>
  <c r="DS22" i="1"/>
  <c r="DT22" i="1"/>
  <c r="DW22" i="1"/>
  <c r="DZ22" i="1"/>
  <c r="EA22" i="1"/>
  <c r="EB22" i="1"/>
  <c r="EC22" i="1"/>
  <c r="ED22" i="1"/>
  <c r="EE22" i="1"/>
  <c r="EF22" i="1"/>
  <c r="EG22" i="1"/>
  <c r="EH22" i="1"/>
  <c r="EI22" i="1"/>
  <c r="EJ22" i="1"/>
  <c r="EK22" i="1"/>
  <c r="EL22" i="1"/>
  <c r="FJ25" i="1"/>
  <c r="FK25" i="1"/>
  <c r="FL25" i="1"/>
  <c r="FM25" i="1"/>
  <c r="DA23" i="1"/>
  <c r="FN25" i="1"/>
  <c r="FO25" i="1"/>
  <c r="FP25" i="1"/>
  <c r="DB23" i="1"/>
  <c r="DC23" i="1"/>
  <c r="DD23" i="1"/>
  <c r="DE23" i="1"/>
  <c r="DF23" i="1"/>
  <c r="DG23" i="1"/>
  <c r="DH23" i="1"/>
  <c r="DI23" i="1"/>
  <c r="DJ23" i="1"/>
  <c r="DK23" i="1"/>
  <c r="DL23" i="1"/>
  <c r="DM23" i="1"/>
  <c r="DN23" i="1"/>
  <c r="DO23" i="1"/>
  <c r="DP23" i="1"/>
  <c r="DQ23" i="1"/>
  <c r="DR23" i="1"/>
  <c r="DS23" i="1"/>
  <c r="DT23" i="1"/>
  <c r="DW23" i="1"/>
  <c r="DZ23" i="1"/>
  <c r="EA23" i="1"/>
  <c r="EB23" i="1"/>
  <c r="EC23" i="1"/>
  <c r="ED23" i="1"/>
  <c r="EE23" i="1"/>
  <c r="EF23" i="1"/>
  <c r="EG23" i="1"/>
  <c r="EH23" i="1"/>
  <c r="EI23" i="1"/>
  <c r="EJ23" i="1"/>
  <c r="EK23" i="1"/>
  <c r="EL23" i="1"/>
  <c r="DA24" i="1"/>
  <c r="DB24" i="1"/>
  <c r="DC24" i="1"/>
  <c r="DD24" i="1"/>
  <c r="DE24" i="1"/>
  <c r="DF24" i="1"/>
  <c r="DG24" i="1"/>
  <c r="DH24" i="1"/>
  <c r="DI24" i="1"/>
  <c r="DJ24" i="1"/>
  <c r="DK24" i="1"/>
  <c r="DL24" i="1"/>
  <c r="DM24" i="1"/>
  <c r="DN24" i="1"/>
  <c r="DU28" i="1"/>
  <c r="DU24" i="1"/>
  <c r="DO24" i="1"/>
  <c r="DV28" i="1"/>
  <c r="DV24" i="1"/>
  <c r="DP24" i="1"/>
  <c r="DQ24" i="1"/>
  <c r="DX28" i="1"/>
  <c r="DX24" i="1"/>
  <c r="DR24" i="1"/>
  <c r="DY28" i="1"/>
  <c r="DY24" i="1"/>
  <c r="DS24" i="1"/>
  <c r="DT24" i="1"/>
  <c r="DW24" i="1"/>
  <c r="DZ24" i="1"/>
  <c r="EA24" i="1"/>
  <c r="EB24" i="1"/>
  <c r="EC24" i="1"/>
  <c r="ED24" i="1"/>
  <c r="EE24" i="1"/>
  <c r="EF24" i="1"/>
  <c r="EG24" i="1"/>
  <c r="EH24" i="1"/>
  <c r="EI24" i="1"/>
  <c r="EJ24" i="1"/>
  <c r="EK24" i="1"/>
  <c r="EL24" i="1"/>
  <c r="DA25" i="1"/>
  <c r="DB25" i="1"/>
  <c r="DC25" i="1"/>
  <c r="DD25" i="1"/>
  <c r="DE25" i="1"/>
  <c r="DF25" i="1"/>
  <c r="DG25" i="1"/>
  <c r="DH25" i="1"/>
  <c r="DI25" i="1"/>
  <c r="DJ25" i="1"/>
  <c r="DK25" i="1"/>
  <c r="DL25" i="1"/>
  <c r="DM25" i="1"/>
  <c r="DN25" i="1"/>
  <c r="DU25" i="1"/>
  <c r="DO25" i="1"/>
  <c r="DV25" i="1"/>
  <c r="DP25" i="1"/>
  <c r="DQ25" i="1"/>
  <c r="DX25" i="1"/>
  <c r="DR25" i="1"/>
  <c r="DY25" i="1"/>
  <c r="DS25" i="1"/>
  <c r="DT25" i="1"/>
  <c r="DW25" i="1"/>
  <c r="DZ25" i="1"/>
  <c r="EA25" i="1"/>
  <c r="EB25" i="1"/>
  <c r="EC25" i="1"/>
  <c r="ED25" i="1"/>
  <c r="EE25" i="1"/>
  <c r="EF25" i="1"/>
  <c r="EG25" i="1"/>
  <c r="EH25" i="1"/>
  <c r="EI25" i="1"/>
  <c r="EJ25" i="1"/>
  <c r="EK25" i="1"/>
  <c r="EL25" i="1"/>
  <c r="DA26" i="1"/>
  <c r="DB26" i="1"/>
  <c r="DC26" i="1"/>
  <c r="DD26" i="1"/>
  <c r="DE26" i="1"/>
  <c r="DF26" i="1"/>
  <c r="DG26" i="1"/>
  <c r="DH26" i="1"/>
  <c r="DI26" i="1"/>
  <c r="DJ26" i="1"/>
  <c r="DK26" i="1"/>
  <c r="DL26" i="1"/>
  <c r="DM26" i="1"/>
  <c r="DN26" i="1"/>
  <c r="DU26" i="1"/>
  <c r="DO26" i="1"/>
  <c r="DV26" i="1"/>
  <c r="DP26" i="1"/>
  <c r="DQ26" i="1"/>
  <c r="DX26" i="1"/>
  <c r="DR26" i="1"/>
  <c r="DY26" i="1"/>
  <c r="DS26" i="1"/>
  <c r="DT26" i="1"/>
  <c r="DW26" i="1"/>
  <c r="DZ26" i="1"/>
  <c r="EA26" i="1"/>
  <c r="EB26" i="1"/>
  <c r="EC26" i="1"/>
  <c r="ED26" i="1"/>
  <c r="EE26" i="1"/>
  <c r="EF26" i="1"/>
  <c r="EG26" i="1"/>
  <c r="EH26" i="1"/>
  <c r="EI26" i="1"/>
  <c r="EJ26" i="1"/>
  <c r="EK26" i="1"/>
  <c r="EL26" i="1"/>
  <c r="DA27" i="1"/>
  <c r="DB27" i="1"/>
  <c r="DC27" i="1"/>
  <c r="DD27" i="1"/>
  <c r="DE27" i="1"/>
  <c r="DF27" i="1"/>
  <c r="DG27" i="1"/>
  <c r="DH27" i="1"/>
  <c r="DI27" i="1"/>
  <c r="DJ27" i="1"/>
  <c r="DK27" i="1"/>
  <c r="DL27" i="1"/>
  <c r="DM27" i="1"/>
  <c r="DN27" i="1"/>
  <c r="DU27" i="1"/>
  <c r="DO27" i="1"/>
  <c r="DV27" i="1"/>
  <c r="DP27" i="1"/>
  <c r="DQ27" i="1"/>
  <c r="DX27" i="1"/>
  <c r="DR27" i="1"/>
  <c r="DY27" i="1"/>
  <c r="DS27" i="1"/>
  <c r="DT27" i="1"/>
  <c r="DW27" i="1"/>
  <c r="DZ27" i="1"/>
  <c r="EA27" i="1"/>
  <c r="EB27" i="1"/>
  <c r="EC27" i="1"/>
  <c r="ED27" i="1"/>
  <c r="EE27" i="1"/>
  <c r="EF27" i="1"/>
  <c r="EG27" i="1"/>
  <c r="EH27" i="1"/>
  <c r="EI27" i="1"/>
  <c r="EJ27" i="1"/>
  <c r="EK27" i="1"/>
  <c r="EL27" i="1"/>
  <c r="FJ26" i="1"/>
  <c r="FK26" i="1"/>
  <c r="FL26" i="1"/>
  <c r="FM26" i="1"/>
  <c r="DA28" i="1"/>
  <c r="FN26" i="1"/>
  <c r="FO26" i="1"/>
  <c r="FP26" i="1"/>
  <c r="DB28" i="1"/>
  <c r="DC28" i="1"/>
  <c r="ET80" i="1"/>
  <c r="EU80" i="1"/>
  <c r="EV80" i="1"/>
  <c r="EW80" i="1"/>
  <c r="DD28" i="1"/>
  <c r="DE28" i="1"/>
  <c r="ET94" i="1"/>
  <c r="EU94" i="1"/>
  <c r="EV94" i="1"/>
  <c r="EW94" i="1"/>
  <c r="DF28" i="1"/>
  <c r="ET108" i="1"/>
  <c r="EU108" i="1"/>
  <c r="EV108" i="1"/>
  <c r="EW108" i="1"/>
  <c r="DG28" i="1"/>
  <c r="DH28" i="1"/>
  <c r="DK28" i="1"/>
  <c r="DN28" i="1"/>
  <c r="DO28" i="1"/>
  <c r="DP28" i="1"/>
  <c r="DQ28" i="1"/>
  <c r="DR28" i="1"/>
  <c r="DS28" i="1"/>
  <c r="DT28" i="1"/>
  <c r="DW28" i="1"/>
  <c r="DZ28" i="1"/>
  <c r="EA28" i="1"/>
  <c r="EB28" i="1"/>
  <c r="EC28" i="1"/>
  <c r="ED28" i="1"/>
  <c r="EE28" i="1"/>
  <c r="EF28" i="1"/>
  <c r="EG28" i="1"/>
  <c r="EH28" i="1"/>
  <c r="EI28" i="1"/>
  <c r="EJ28" i="1"/>
  <c r="EK28" i="1"/>
  <c r="EL28" i="1"/>
  <c r="DA29" i="1"/>
  <c r="DB29" i="1"/>
  <c r="ET67" i="1"/>
  <c r="EU67" i="1"/>
  <c r="EV67" i="1"/>
  <c r="EW67" i="1"/>
  <c r="DC29" i="1"/>
  <c r="DD29" i="1"/>
  <c r="DE29" i="1"/>
  <c r="DF29" i="1"/>
  <c r="DG29" i="1"/>
  <c r="DH29" i="1"/>
  <c r="DI38" i="1"/>
  <c r="DI29" i="1"/>
  <c r="DJ38" i="1"/>
  <c r="DJ29" i="1"/>
  <c r="DK29" i="1"/>
  <c r="DL38" i="1"/>
  <c r="DL29" i="1"/>
  <c r="DM38" i="1"/>
  <c r="DM29" i="1"/>
  <c r="DN29" i="1"/>
  <c r="DU33" i="1"/>
  <c r="DU29" i="1"/>
  <c r="DO29" i="1"/>
  <c r="DV33" i="1"/>
  <c r="DV29" i="1"/>
  <c r="DP29" i="1"/>
  <c r="DQ29" i="1"/>
  <c r="DX33" i="1"/>
  <c r="DX29" i="1"/>
  <c r="DR29" i="1"/>
  <c r="DY33" i="1"/>
  <c r="DY29" i="1"/>
  <c r="DS29" i="1"/>
  <c r="DT29" i="1"/>
  <c r="DW29" i="1"/>
  <c r="DZ29" i="1"/>
  <c r="EA29" i="1"/>
  <c r="EB29" i="1"/>
  <c r="EC29" i="1"/>
  <c r="ED29" i="1"/>
  <c r="EE29" i="1"/>
  <c r="EF29" i="1"/>
  <c r="EG29" i="1"/>
  <c r="EH29" i="1"/>
  <c r="EI29" i="1"/>
  <c r="EJ29" i="1"/>
  <c r="EK29" i="1"/>
  <c r="EL29" i="1"/>
  <c r="DA30" i="1"/>
  <c r="DB30" i="1"/>
  <c r="DC30" i="1"/>
  <c r="DD30" i="1"/>
  <c r="DE30" i="1"/>
  <c r="DF30" i="1"/>
  <c r="DG30" i="1"/>
  <c r="DH30" i="1"/>
  <c r="DI30" i="1"/>
  <c r="DJ30" i="1"/>
  <c r="DK30" i="1"/>
  <c r="DL30" i="1"/>
  <c r="DM30" i="1"/>
  <c r="DN30" i="1"/>
  <c r="DU30" i="1"/>
  <c r="DO30" i="1"/>
  <c r="DV30" i="1"/>
  <c r="DP30" i="1"/>
  <c r="DQ30" i="1"/>
  <c r="DX30" i="1"/>
  <c r="DR30" i="1"/>
  <c r="DY30" i="1"/>
  <c r="DS30" i="1"/>
  <c r="DT30" i="1"/>
  <c r="DW30" i="1"/>
  <c r="DZ30" i="1"/>
  <c r="EA30" i="1"/>
  <c r="EB30" i="1"/>
  <c r="EC30" i="1"/>
  <c r="ED30" i="1"/>
  <c r="EE30" i="1"/>
  <c r="EF30" i="1"/>
  <c r="EG30" i="1"/>
  <c r="EH30" i="1"/>
  <c r="EI30" i="1"/>
  <c r="EJ30" i="1"/>
  <c r="EK30" i="1"/>
  <c r="EL30" i="1"/>
  <c r="DA31" i="1"/>
  <c r="DB31" i="1"/>
  <c r="DC31" i="1"/>
  <c r="DD31" i="1"/>
  <c r="DE31" i="1"/>
  <c r="DF31" i="1"/>
  <c r="DG31" i="1"/>
  <c r="DH31" i="1"/>
  <c r="DI31" i="1"/>
  <c r="DJ31" i="1"/>
  <c r="DK31" i="1"/>
  <c r="DL31" i="1"/>
  <c r="DM31" i="1"/>
  <c r="DN31" i="1"/>
  <c r="DU31" i="1"/>
  <c r="DO31" i="1"/>
  <c r="DV31" i="1"/>
  <c r="DP31" i="1"/>
  <c r="DQ31" i="1"/>
  <c r="DX31" i="1"/>
  <c r="DR31" i="1"/>
  <c r="DY31" i="1"/>
  <c r="DS31" i="1"/>
  <c r="DT31" i="1"/>
  <c r="DW31" i="1"/>
  <c r="DZ31" i="1"/>
  <c r="EA31" i="1"/>
  <c r="EB31" i="1"/>
  <c r="EC31" i="1"/>
  <c r="ED31" i="1"/>
  <c r="EE31" i="1"/>
  <c r="EF31" i="1"/>
  <c r="EG31" i="1"/>
  <c r="EH31" i="1"/>
  <c r="EI31" i="1"/>
  <c r="EJ31" i="1"/>
  <c r="EK31" i="1"/>
  <c r="EL31" i="1"/>
  <c r="DA32" i="1"/>
  <c r="DB32" i="1"/>
  <c r="DC32" i="1"/>
  <c r="DD32" i="1"/>
  <c r="DE32" i="1"/>
  <c r="DF32" i="1"/>
  <c r="DG32" i="1"/>
  <c r="DH32" i="1"/>
  <c r="DI32" i="1"/>
  <c r="DJ32" i="1"/>
  <c r="DK32" i="1"/>
  <c r="DL32" i="1"/>
  <c r="DM32" i="1"/>
  <c r="DN32" i="1"/>
  <c r="DU32" i="1"/>
  <c r="DO32" i="1"/>
  <c r="DV32" i="1"/>
  <c r="DP32" i="1"/>
  <c r="DQ32" i="1"/>
  <c r="DX32" i="1"/>
  <c r="DR32" i="1"/>
  <c r="DY32" i="1"/>
  <c r="DS32" i="1"/>
  <c r="DT32" i="1"/>
  <c r="DW32" i="1"/>
  <c r="DZ32" i="1"/>
  <c r="EA32" i="1"/>
  <c r="EB32" i="1"/>
  <c r="EC32" i="1"/>
  <c r="ED32" i="1"/>
  <c r="EE32" i="1"/>
  <c r="EF32" i="1"/>
  <c r="EG32" i="1"/>
  <c r="EH32" i="1"/>
  <c r="EI32" i="1"/>
  <c r="EJ32" i="1"/>
  <c r="EK32" i="1"/>
  <c r="EL32" i="1"/>
  <c r="FJ27" i="1"/>
  <c r="FK27" i="1"/>
  <c r="FL27" i="1"/>
  <c r="FM27" i="1"/>
  <c r="DA33" i="1"/>
  <c r="FN27" i="1"/>
  <c r="FO27" i="1"/>
  <c r="FP27" i="1"/>
  <c r="DB33" i="1"/>
  <c r="DC33" i="1"/>
  <c r="DD33" i="1"/>
  <c r="DE33" i="1"/>
  <c r="DF33" i="1"/>
  <c r="DG33" i="1"/>
  <c r="DH33" i="1"/>
  <c r="DI33" i="1"/>
  <c r="DJ33" i="1"/>
  <c r="DK33" i="1"/>
  <c r="DL33" i="1"/>
  <c r="DM33" i="1"/>
  <c r="DN33" i="1"/>
  <c r="DO33" i="1"/>
  <c r="DP33" i="1"/>
  <c r="DQ33" i="1"/>
  <c r="DR33" i="1"/>
  <c r="DS33" i="1"/>
  <c r="DT33" i="1"/>
  <c r="DW33" i="1"/>
  <c r="DZ33" i="1"/>
  <c r="EA33" i="1"/>
  <c r="EB33" i="1"/>
  <c r="EC33" i="1"/>
  <c r="ED33" i="1"/>
  <c r="EE33" i="1"/>
  <c r="EF33" i="1"/>
  <c r="EG33" i="1"/>
  <c r="EH33" i="1"/>
  <c r="EI33" i="1"/>
  <c r="EJ33" i="1"/>
  <c r="EK33" i="1"/>
  <c r="EL33" i="1"/>
  <c r="DA34" i="1"/>
  <c r="DB34" i="1"/>
  <c r="DC34" i="1"/>
  <c r="DD34" i="1"/>
  <c r="DE34" i="1"/>
  <c r="DF34" i="1"/>
  <c r="DG34" i="1"/>
  <c r="DH34" i="1"/>
  <c r="DI34" i="1"/>
  <c r="DJ34" i="1"/>
  <c r="DK34" i="1"/>
  <c r="DL34" i="1"/>
  <c r="DM34" i="1"/>
  <c r="DN34" i="1"/>
  <c r="DU38" i="1"/>
  <c r="DU34" i="1"/>
  <c r="DO34" i="1"/>
  <c r="DV38" i="1"/>
  <c r="DV34" i="1"/>
  <c r="DP34" i="1"/>
  <c r="DQ34" i="1"/>
  <c r="DX38" i="1"/>
  <c r="DX34" i="1"/>
  <c r="DR34" i="1"/>
  <c r="DY38" i="1"/>
  <c r="DY34" i="1"/>
  <c r="DS34" i="1"/>
  <c r="DT34" i="1"/>
  <c r="DW34" i="1"/>
  <c r="DZ34" i="1"/>
  <c r="EA34" i="1"/>
  <c r="EB34" i="1"/>
  <c r="EC34" i="1"/>
  <c r="ED34" i="1"/>
  <c r="EE34" i="1"/>
  <c r="EF34" i="1"/>
  <c r="EG34" i="1"/>
  <c r="EH34" i="1"/>
  <c r="EI34" i="1"/>
  <c r="EJ34" i="1"/>
  <c r="EK34" i="1"/>
  <c r="EL34" i="1"/>
  <c r="DA35" i="1"/>
  <c r="DB35" i="1"/>
  <c r="DC35" i="1"/>
  <c r="DD35" i="1"/>
  <c r="DE35" i="1"/>
  <c r="DF35" i="1"/>
  <c r="DG35" i="1"/>
  <c r="DH35" i="1"/>
  <c r="DI35" i="1"/>
  <c r="DJ35" i="1"/>
  <c r="DK35" i="1"/>
  <c r="DL35" i="1"/>
  <c r="DM35" i="1"/>
  <c r="DN35" i="1"/>
  <c r="DU35" i="1"/>
  <c r="DO35" i="1"/>
  <c r="DV35" i="1"/>
  <c r="DP35" i="1"/>
  <c r="DQ35" i="1"/>
  <c r="DX35" i="1"/>
  <c r="DR35" i="1"/>
  <c r="DY35" i="1"/>
  <c r="DS35" i="1"/>
  <c r="DT35" i="1"/>
  <c r="DW35" i="1"/>
  <c r="DZ35" i="1"/>
  <c r="EA35" i="1"/>
  <c r="EB35" i="1"/>
  <c r="EC35" i="1"/>
  <c r="ED35" i="1"/>
  <c r="EE35" i="1"/>
  <c r="EF35" i="1"/>
  <c r="EG35" i="1"/>
  <c r="EH35" i="1"/>
  <c r="EI35" i="1"/>
  <c r="EJ35" i="1"/>
  <c r="EK35" i="1"/>
  <c r="EL35" i="1"/>
  <c r="DA36" i="1"/>
  <c r="DB36" i="1"/>
  <c r="DC36" i="1"/>
  <c r="DD36" i="1"/>
  <c r="DE36" i="1"/>
  <c r="DF36" i="1"/>
  <c r="DG36" i="1"/>
  <c r="DH36" i="1"/>
  <c r="DI36" i="1"/>
  <c r="DJ36" i="1"/>
  <c r="DK36" i="1"/>
  <c r="DL36" i="1"/>
  <c r="DM36" i="1"/>
  <c r="DN36" i="1"/>
  <c r="DU36" i="1"/>
  <c r="DO36" i="1"/>
  <c r="DV36" i="1"/>
  <c r="DP36" i="1"/>
  <c r="DQ36" i="1"/>
  <c r="DX36" i="1"/>
  <c r="DR36" i="1"/>
  <c r="DY36" i="1"/>
  <c r="DS36" i="1"/>
  <c r="DT36" i="1"/>
  <c r="DW36" i="1"/>
  <c r="DZ36" i="1"/>
  <c r="EA36" i="1"/>
  <c r="EB36" i="1"/>
  <c r="EC36" i="1"/>
  <c r="ED36" i="1"/>
  <c r="EE36" i="1"/>
  <c r="EF36" i="1"/>
  <c r="EG36" i="1"/>
  <c r="EH36" i="1"/>
  <c r="EI36" i="1"/>
  <c r="EJ36" i="1"/>
  <c r="EK36" i="1"/>
  <c r="EL36" i="1"/>
  <c r="DA37" i="1"/>
  <c r="DB37" i="1"/>
  <c r="DC37" i="1"/>
  <c r="DD37" i="1"/>
  <c r="DE37" i="1"/>
  <c r="DF37" i="1"/>
  <c r="DG37" i="1"/>
  <c r="DH37" i="1"/>
  <c r="DI37" i="1"/>
  <c r="DJ37" i="1"/>
  <c r="DK37" i="1"/>
  <c r="DL37" i="1"/>
  <c r="DM37" i="1"/>
  <c r="DN37" i="1"/>
  <c r="DU37" i="1"/>
  <c r="DO37" i="1"/>
  <c r="DV37" i="1"/>
  <c r="DP37" i="1"/>
  <c r="DQ37" i="1"/>
  <c r="DX37" i="1"/>
  <c r="DR37" i="1"/>
  <c r="DY37" i="1"/>
  <c r="DS37" i="1"/>
  <c r="DT37" i="1"/>
  <c r="DW37" i="1"/>
  <c r="DZ37" i="1"/>
  <c r="EA37" i="1"/>
  <c r="EB37" i="1"/>
  <c r="EC37" i="1"/>
  <c r="ED37" i="1"/>
  <c r="EE37" i="1"/>
  <c r="EF37" i="1"/>
  <c r="EG37" i="1"/>
  <c r="EH37" i="1"/>
  <c r="EI37" i="1"/>
  <c r="EJ37" i="1"/>
  <c r="EK37" i="1"/>
  <c r="EL37" i="1"/>
  <c r="FJ28" i="1"/>
  <c r="FK28" i="1"/>
  <c r="FL28" i="1"/>
  <c r="FM28" i="1"/>
  <c r="DA38" i="1"/>
  <c r="FN28" i="1"/>
  <c r="FO28" i="1"/>
  <c r="FP28" i="1"/>
  <c r="DB38" i="1"/>
  <c r="DC38" i="1"/>
  <c r="ET81" i="1"/>
  <c r="EU81" i="1"/>
  <c r="EV81" i="1"/>
  <c r="EW81" i="1"/>
  <c r="DD38" i="1"/>
  <c r="DE38" i="1"/>
  <c r="ET95" i="1"/>
  <c r="EU95" i="1"/>
  <c r="EV95" i="1"/>
  <c r="EW95" i="1"/>
  <c r="DF38" i="1"/>
  <c r="ET109" i="1"/>
  <c r="EU109" i="1"/>
  <c r="EV109" i="1"/>
  <c r="EW109" i="1"/>
  <c r="DG38" i="1"/>
  <c r="DH38" i="1"/>
  <c r="DK38" i="1"/>
  <c r="DN38" i="1"/>
  <c r="DO38" i="1"/>
  <c r="DP38" i="1"/>
  <c r="DQ38" i="1"/>
  <c r="DR38" i="1"/>
  <c r="DS38" i="1"/>
  <c r="DT38" i="1"/>
  <c r="DW38" i="1"/>
  <c r="DZ38" i="1"/>
  <c r="EA38" i="1"/>
  <c r="EB38" i="1"/>
  <c r="EC38" i="1"/>
  <c r="ED38" i="1"/>
  <c r="EE38" i="1"/>
  <c r="EF38" i="1"/>
  <c r="EG38" i="1"/>
  <c r="EH38" i="1"/>
  <c r="EI38" i="1"/>
  <c r="EJ38" i="1"/>
  <c r="EK38" i="1"/>
  <c r="EL38" i="1"/>
  <c r="DA39" i="1"/>
  <c r="DB39" i="1"/>
  <c r="ET68" i="1"/>
  <c r="EU68" i="1"/>
  <c r="EV68" i="1"/>
  <c r="EW68" i="1"/>
  <c r="DC39" i="1"/>
  <c r="DD39" i="1"/>
  <c r="DE39" i="1"/>
  <c r="DF39" i="1"/>
  <c r="DG39" i="1"/>
  <c r="DH39" i="1"/>
  <c r="DI39" i="1"/>
  <c r="DJ39" i="1"/>
  <c r="DK39" i="1"/>
  <c r="DL39" i="1"/>
  <c r="DM39" i="1"/>
  <c r="DN39" i="1"/>
  <c r="DU43" i="1"/>
  <c r="DU39" i="1"/>
  <c r="DO39" i="1"/>
  <c r="DV43" i="1"/>
  <c r="DV39" i="1"/>
  <c r="DP39" i="1"/>
  <c r="DQ39" i="1"/>
  <c r="DX43" i="1"/>
  <c r="DX39" i="1"/>
  <c r="DR39" i="1"/>
  <c r="DY43" i="1"/>
  <c r="DY39" i="1"/>
  <c r="DS39" i="1"/>
  <c r="DT39" i="1"/>
  <c r="DW39" i="1"/>
  <c r="DZ39" i="1"/>
  <c r="EA39" i="1"/>
  <c r="EB39" i="1"/>
  <c r="EC39" i="1"/>
  <c r="ED39" i="1"/>
  <c r="EE39" i="1"/>
  <c r="EF39" i="1"/>
  <c r="EG39" i="1"/>
  <c r="EH39" i="1"/>
  <c r="EI39" i="1"/>
  <c r="EJ39" i="1"/>
  <c r="EK39" i="1"/>
  <c r="EL39" i="1"/>
  <c r="DA40" i="1"/>
  <c r="DB40" i="1"/>
  <c r="DC40" i="1"/>
  <c r="DD40" i="1"/>
  <c r="DE40" i="1"/>
  <c r="DF40" i="1"/>
  <c r="DG40" i="1"/>
  <c r="DH40" i="1"/>
  <c r="DI40" i="1"/>
  <c r="DJ40" i="1"/>
  <c r="DK40" i="1"/>
  <c r="DL40" i="1"/>
  <c r="DM40" i="1"/>
  <c r="DN40" i="1"/>
  <c r="DU40" i="1"/>
  <c r="DO40" i="1"/>
  <c r="DV40" i="1"/>
  <c r="DP40" i="1"/>
  <c r="DQ40" i="1"/>
  <c r="DX40" i="1"/>
  <c r="DR40" i="1"/>
  <c r="DY40" i="1"/>
  <c r="DS40" i="1"/>
  <c r="DT40" i="1"/>
  <c r="DW40" i="1"/>
  <c r="DZ40" i="1"/>
  <c r="EA40" i="1"/>
  <c r="EB40" i="1"/>
  <c r="EC40" i="1"/>
  <c r="ED40" i="1"/>
  <c r="EE40" i="1"/>
  <c r="EF40" i="1"/>
  <c r="EG40" i="1"/>
  <c r="EH40" i="1"/>
  <c r="EI40" i="1"/>
  <c r="EJ40" i="1"/>
  <c r="EK40" i="1"/>
  <c r="EL40" i="1"/>
  <c r="DA41" i="1"/>
  <c r="DB41" i="1"/>
  <c r="DC41" i="1"/>
  <c r="DD41" i="1"/>
  <c r="DE41" i="1"/>
  <c r="DF41" i="1"/>
  <c r="DG41" i="1"/>
  <c r="DH41" i="1"/>
  <c r="DI41" i="1"/>
  <c r="DJ41" i="1"/>
  <c r="DK41" i="1"/>
  <c r="DL41" i="1"/>
  <c r="DM41" i="1"/>
  <c r="DN41" i="1"/>
  <c r="DU41" i="1"/>
  <c r="DO41" i="1"/>
  <c r="DV41" i="1"/>
  <c r="DP41" i="1"/>
  <c r="DQ41" i="1"/>
  <c r="DX41" i="1"/>
  <c r="DR41" i="1"/>
  <c r="DY41" i="1"/>
  <c r="DS41" i="1"/>
  <c r="DT41" i="1"/>
  <c r="DW41" i="1"/>
  <c r="DZ41" i="1"/>
  <c r="EA41" i="1"/>
  <c r="EB41" i="1"/>
  <c r="EC41" i="1"/>
  <c r="ED41" i="1"/>
  <c r="EE41" i="1"/>
  <c r="EF41" i="1"/>
  <c r="EG41" i="1"/>
  <c r="EH41" i="1"/>
  <c r="EI41" i="1"/>
  <c r="EJ41" i="1"/>
  <c r="EK41" i="1"/>
  <c r="EL41" i="1"/>
  <c r="DA42" i="1"/>
  <c r="DB42" i="1"/>
  <c r="DC42" i="1"/>
  <c r="DD42" i="1"/>
  <c r="DE42" i="1"/>
  <c r="DF42" i="1"/>
  <c r="DG42" i="1"/>
  <c r="DH42" i="1"/>
  <c r="DI42" i="1"/>
  <c r="DJ42" i="1"/>
  <c r="DK42" i="1"/>
  <c r="DL42" i="1"/>
  <c r="DM42" i="1"/>
  <c r="DN42" i="1"/>
  <c r="DU42" i="1"/>
  <c r="DO42" i="1"/>
  <c r="DV42" i="1"/>
  <c r="DP42" i="1"/>
  <c r="DQ42" i="1"/>
  <c r="DX42" i="1"/>
  <c r="DR42" i="1"/>
  <c r="DY42" i="1"/>
  <c r="DS42" i="1"/>
  <c r="DT42" i="1"/>
  <c r="DW42" i="1"/>
  <c r="DZ42" i="1"/>
  <c r="EA42" i="1"/>
  <c r="EB42" i="1"/>
  <c r="EC42" i="1"/>
  <c r="ED42" i="1"/>
  <c r="EE42" i="1"/>
  <c r="EF42" i="1"/>
  <c r="EG42" i="1"/>
  <c r="EH42" i="1"/>
  <c r="EI42" i="1"/>
  <c r="EJ42" i="1"/>
  <c r="EK42" i="1"/>
  <c r="EL42" i="1"/>
  <c r="FJ29" i="1"/>
  <c r="FK29" i="1"/>
  <c r="FL29" i="1"/>
  <c r="FM29" i="1"/>
  <c r="DA43" i="1"/>
  <c r="FN29" i="1"/>
  <c r="FO29" i="1"/>
  <c r="FP29" i="1"/>
  <c r="DB43" i="1"/>
  <c r="DC43" i="1"/>
  <c r="DD43" i="1"/>
  <c r="DE43" i="1"/>
  <c r="DF43" i="1"/>
  <c r="DG43" i="1"/>
  <c r="DH43" i="1"/>
  <c r="DI43" i="1"/>
  <c r="DJ43" i="1"/>
  <c r="DK43" i="1"/>
  <c r="DL43" i="1"/>
  <c r="DM43" i="1"/>
  <c r="DN43" i="1"/>
  <c r="DO43" i="1"/>
  <c r="DP43" i="1"/>
  <c r="DQ43" i="1"/>
  <c r="DR43" i="1"/>
  <c r="DS43" i="1"/>
  <c r="DT43" i="1"/>
  <c r="DW43" i="1"/>
  <c r="DZ43" i="1"/>
  <c r="EA43" i="1"/>
  <c r="EB43" i="1"/>
  <c r="EC43" i="1"/>
  <c r="ED43" i="1"/>
  <c r="EE43" i="1"/>
  <c r="EF43" i="1"/>
  <c r="EG43" i="1"/>
  <c r="EH43" i="1"/>
  <c r="EI43" i="1"/>
  <c r="EJ43" i="1"/>
  <c r="EK43" i="1"/>
  <c r="EL43" i="1"/>
  <c r="DA44" i="1"/>
  <c r="DB44" i="1"/>
  <c r="DC44" i="1"/>
  <c r="DD44" i="1"/>
  <c r="DE44" i="1"/>
  <c r="DF44" i="1"/>
  <c r="DG44" i="1"/>
  <c r="DH44" i="1"/>
  <c r="DI44" i="1"/>
  <c r="DJ44" i="1"/>
  <c r="DK44" i="1"/>
  <c r="DL44" i="1"/>
  <c r="DM44" i="1"/>
  <c r="DN44" i="1"/>
  <c r="DU48" i="1"/>
  <c r="DU44" i="1"/>
  <c r="DO44" i="1"/>
  <c r="DV48" i="1"/>
  <c r="DV44" i="1"/>
  <c r="DP44" i="1"/>
  <c r="DQ44" i="1"/>
  <c r="DX48" i="1"/>
  <c r="DX44" i="1"/>
  <c r="DR44" i="1"/>
  <c r="DY48" i="1"/>
  <c r="DY44" i="1"/>
  <c r="DS44" i="1"/>
  <c r="DT44" i="1"/>
  <c r="DW44" i="1"/>
  <c r="DZ44" i="1"/>
  <c r="EA44" i="1"/>
  <c r="EB44" i="1"/>
  <c r="EC44" i="1"/>
  <c r="ED44" i="1"/>
  <c r="EE44" i="1"/>
  <c r="EF44" i="1"/>
  <c r="EG44" i="1"/>
  <c r="EH44" i="1"/>
  <c r="EI44" i="1"/>
  <c r="EJ44" i="1"/>
  <c r="EK44" i="1"/>
  <c r="EL44" i="1"/>
  <c r="DA45" i="1"/>
  <c r="DB45" i="1"/>
  <c r="DC45" i="1"/>
  <c r="DD45" i="1"/>
  <c r="DE45" i="1"/>
  <c r="DF45" i="1"/>
  <c r="DG45" i="1"/>
  <c r="DH45" i="1"/>
  <c r="DI45" i="1"/>
  <c r="DJ45" i="1"/>
  <c r="DK45" i="1"/>
  <c r="DL45" i="1"/>
  <c r="DM45" i="1"/>
  <c r="DN45" i="1"/>
  <c r="DU45" i="1"/>
  <c r="DO45" i="1"/>
  <c r="DV45" i="1"/>
  <c r="DP45" i="1"/>
  <c r="DQ45" i="1"/>
  <c r="DX45" i="1"/>
  <c r="DR45" i="1"/>
  <c r="DY45" i="1"/>
  <c r="DS45" i="1"/>
  <c r="DT45" i="1"/>
  <c r="DW45" i="1"/>
  <c r="DZ45" i="1"/>
  <c r="EA45" i="1"/>
  <c r="EB45" i="1"/>
  <c r="EC45" i="1"/>
  <c r="ED45" i="1"/>
  <c r="EE45" i="1"/>
  <c r="EF45" i="1"/>
  <c r="EG45" i="1"/>
  <c r="EH45" i="1"/>
  <c r="EI45" i="1"/>
  <c r="EJ45" i="1"/>
  <c r="EK45" i="1"/>
  <c r="EL45" i="1"/>
  <c r="DA46" i="1"/>
  <c r="DB46" i="1"/>
  <c r="DC46" i="1"/>
  <c r="DD46" i="1"/>
  <c r="DE46" i="1"/>
  <c r="DF46" i="1"/>
  <c r="DG46" i="1"/>
  <c r="DH46" i="1"/>
  <c r="DI46" i="1"/>
  <c r="DJ46" i="1"/>
  <c r="DK46" i="1"/>
  <c r="DL46" i="1"/>
  <c r="DM46" i="1"/>
  <c r="DN46" i="1"/>
  <c r="DU46" i="1"/>
  <c r="DO46" i="1"/>
  <c r="DV46" i="1"/>
  <c r="DP46" i="1"/>
  <c r="DQ46" i="1"/>
  <c r="DX46" i="1"/>
  <c r="DR46" i="1"/>
  <c r="DY46" i="1"/>
  <c r="DS46" i="1"/>
  <c r="DT46" i="1"/>
  <c r="DW46" i="1"/>
  <c r="DZ46" i="1"/>
  <c r="EA46" i="1"/>
  <c r="EB46" i="1"/>
  <c r="EC46" i="1"/>
  <c r="ED46" i="1"/>
  <c r="EE46" i="1"/>
  <c r="EF46" i="1"/>
  <c r="EG46" i="1"/>
  <c r="EH46" i="1"/>
  <c r="EI46" i="1"/>
  <c r="EJ46" i="1"/>
  <c r="EK46" i="1"/>
  <c r="EL46" i="1"/>
  <c r="DA47" i="1"/>
  <c r="DB47" i="1"/>
  <c r="DC47" i="1"/>
  <c r="DD47" i="1"/>
  <c r="DE47" i="1"/>
  <c r="DF47" i="1"/>
  <c r="DG47" i="1"/>
  <c r="DH47" i="1"/>
  <c r="DI47" i="1"/>
  <c r="DJ47" i="1"/>
  <c r="DK47" i="1"/>
  <c r="DL47" i="1"/>
  <c r="DM47" i="1"/>
  <c r="DN47" i="1"/>
  <c r="DU47" i="1"/>
  <c r="DO47" i="1"/>
  <c r="DV47" i="1"/>
  <c r="DP47" i="1"/>
  <c r="DQ47" i="1"/>
  <c r="DX47" i="1"/>
  <c r="DR47" i="1"/>
  <c r="DY47" i="1"/>
  <c r="DS47" i="1"/>
  <c r="DT47" i="1"/>
  <c r="DW47" i="1"/>
  <c r="DZ47" i="1"/>
  <c r="EA47" i="1"/>
  <c r="EB47" i="1"/>
  <c r="EC47" i="1"/>
  <c r="ED47" i="1"/>
  <c r="EE47" i="1"/>
  <c r="EF47" i="1"/>
  <c r="EG47" i="1"/>
  <c r="EH47" i="1"/>
  <c r="EI47" i="1"/>
  <c r="EJ47" i="1"/>
  <c r="EK47" i="1"/>
  <c r="EL47" i="1"/>
  <c r="FJ30" i="1"/>
  <c r="FK30" i="1"/>
  <c r="FL30" i="1"/>
  <c r="FM30" i="1"/>
  <c r="DA48" i="1"/>
  <c r="FN30" i="1"/>
  <c r="FO30" i="1"/>
  <c r="FP30" i="1"/>
  <c r="DB48" i="1"/>
  <c r="DC48" i="1"/>
  <c r="DD48" i="1"/>
  <c r="DE48" i="1"/>
  <c r="ET96" i="1"/>
  <c r="EU96" i="1"/>
  <c r="EV96" i="1"/>
  <c r="EW96" i="1"/>
  <c r="DF48" i="1"/>
  <c r="ET110" i="1"/>
  <c r="EU110" i="1"/>
  <c r="EV110" i="1"/>
  <c r="EW110" i="1"/>
  <c r="DG48" i="1"/>
  <c r="DH48" i="1"/>
  <c r="DK48" i="1"/>
  <c r="DN48" i="1"/>
  <c r="DO48" i="1"/>
  <c r="DP48" i="1"/>
  <c r="DQ48" i="1"/>
  <c r="DR48" i="1"/>
  <c r="DS48" i="1"/>
  <c r="DT48" i="1"/>
  <c r="DW48" i="1"/>
  <c r="DZ48" i="1"/>
  <c r="EA48" i="1"/>
  <c r="EB48" i="1"/>
  <c r="EC48" i="1"/>
  <c r="ED48" i="1"/>
  <c r="EE48" i="1"/>
  <c r="EF48" i="1"/>
  <c r="EG48" i="1"/>
  <c r="EH48" i="1"/>
  <c r="EI48" i="1"/>
  <c r="EJ48" i="1"/>
  <c r="EK48" i="1"/>
  <c r="EL48" i="1"/>
  <c r="DA49" i="1"/>
  <c r="DB49" i="1"/>
  <c r="DC49" i="1"/>
  <c r="DD49" i="1"/>
  <c r="DE49" i="1"/>
  <c r="DF49" i="1"/>
  <c r="DG49" i="1"/>
  <c r="DH49" i="1"/>
  <c r="DK49" i="1"/>
  <c r="DN49" i="1"/>
  <c r="DU49" i="1"/>
  <c r="DO49" i="1"/>
  <c r="DV49" i="1"/>
  <c r="DP49" i="1"/>
  <c r="DQ49" i="1"/>
  <c r="DX49" i="1"/>
  <c r="DR49" i="1"/>
  <c r="DY49" i="1"/>
  <c r="DS49" i="1"/>
  <c r="DT49" i="1"/>
  <c r="DW49" i="1"/>
  <c r="DZ49" i="1"/>
  <c r="EA49" i="1"/>
  <c r="EB49" i="1"/>
  <c r="EC49" i="1"/>
  <c r="ED49" i="1"/>
  <c r="EE49" i="1"/>
  <c r="EF49" i="1"/>
  <c r="EG49" i="1"/>
  <c r="EH49" i="1"/>
  <c r="EI49" i="1"/>
  <c r="EJ49" i="1"/>
  <c r="EK49" i="1"/>
  <c r="EL49" i="1"/>
  <c r="DA50" i="1"/>
  <c r="DB50" i="1"/>
  <c r="DC50" i="1"/>
  <c r="DD50" i="1"/>
  <c r="DE50" i="1"/>
  <c r="DF50" i="1"/>
  <c r="DG50" i="1"/>
  <c r="DH50" i="1"/>
  <c r="DK50" i="1"/>
  <c r="DN50" i="1"/>
  <c r="DU50" i="1"/>
  <c r="DO50" i="1"/>
  <c r="DV50" i="1"/>
  <c r="DP50" i="1"/>
  <c r="DQ50" i="1"/>
  <c r="DX50" i="1"/>
  <c r="DR50" i="1"/>
  <c r="DY50" i="1"/>
  <c r="DS50" i="1"/>
  <c r="DT50" i="1"/>
  <c r="DW50" i="1"/>
  <c r="DZ50" i="1"/>
  <c r="EA50" i="1"/>
  <c r="EB50" i="1"/>
  <c r="EC50" i="1"/>
  <c r="ED50" i="1"/>
  <c r="EE50" i="1"/>
  <c r="EF50" i="1"/>
  <c r="EG50" i="1"/>
  <c r="EH50" i="1"/>
  <c r="EI50" i="1"/>
  <c r="EJ50" i="1"/>
  <c r="EK50" i="1"/>
  <c r="EL50" i="1"/>
  <c r="DA51" i="1"/>
  <c r="DB51" i="1"/>
  <c r="DC51" i="1"/>
  <c r="DD51" i="1"/>
  <c r="DE51" i="1"/>
  <c r="DF51" i="1"/>
  <c r="DG51" i="1"/>
  <c r="DH51" i="1"/>
  <c r="DK51" i="1"/>
  <c r="DN51" i="1"/>
  <c r="DU51" i="1"/>
  <c r="DO51" i="1"/>
  <c r="DV51" i="1"/>
  <c r="DP51" i="1"/>
  <c r="DQ51" i="1"/>
  <c r="DX51" i="1"/>
  <c r="DR51" i="1"/>
  <c r="DY51" i="1"/>
  <c r="DS51" i="1"/>
  <c r="DT51" i="1"/>
  <c r="DW51" i="1"/>
  <c r="DZ51" i="1"/>
  <c r="EA51" i="1"/>
  <c r="EB51" i="1"/>
  <c r="EC51" i="1"/>
  <c r="ED51" i="1"/>
  <c r="EE51" i="1"/>
  <c r="EF51" i="1"/>
  <c r="EG51" i="1"/>
  <c r="EH51" i="1"/>
  <c r="EI51" i="1"/>
  <c r="EJ51" i="1"/>
  <c r="EK51" i="1"/>
  <c r="EL51" i="1"/>
  <c r="DA52" i="1"/>
  <c r="DB52" i="1"/>
  <c r="DC52" i="1"/>
  <c r="DD52" i="1"/>
  <c r="DE52" i="1"/>
  <c r="DF52" i="1"/>
  <c r="DG52" i="1"/>
  <c r="DH52" i="1"/>
  <c r="DK52" i="1"/>
  <c r="DN52" i="1"/>
  <c r="DU52" i="1"/>
  <c r="DO52" i="1"/>
  <c r="DV52" i="1"/>
  <c r="DP52" i="1"/>
  <c r="DQ52" i="1"/>
  <c r="DX52" i="1"/>
  <c r="DR52" i="1"/>
  <c r="DY52" i="1"/>
  <c r="DS52" i="1"/>
  <c r="DT52" i="1"/>
  <c r="DW52" i="1"/>
  <c r="DZ52" i="1"/>
  <c r="EA52" i="1"/>
  <c r="EB52" i="1"/>
  <c r="EC52" i="1"/>
  <c r="ED52" i="1"/>
  <c r="EE52" i="1"/>
  <c r="EF52" i="1"/>
  <c r="EG52" i="1"/>
  <c r="EH52" i="1"/>
  <c r="EI52" i="1"/>
  <c r="EJ52" i="1"/>
  <c r="EK52" i="1"/>
  <c r="EL52" i="1"/>
  <c r="DA53" i="1"/>
  <c r="DB53" i="1"/>
  <c r="DC53" i="1"/>
  <c r="DD53" i="1"/>
  <c r="DE53" i="1"/>
  <c r="DF53" i="1"/>
  <c r="DG53" i="1"/>
  <c r="DH53" i="1"/>
  <c r="DO53" i="1"/>
  <c r="DP53" i="1"/>
  <c r="DQ53" i="1"/>
  <c r="DR53" i="1"/>
  <c r="DS53" i="1"/>
  <c r="DT53" i="1"/>
  <c r="EA53" i="1"/>
  <c r="EB53" i="1"/>
  <c r="EC53" i="1"/>
  <c r="ED53" i="1"/>
  <c r="EE53" i="1"/>
  <c r="EF53" i="1"/>
  <c r="EG53" i="1"/>
  <c r="EH53" i="1"/>
  <c r="EI53" i="1"/>
  <c r="EJ53" i="1"/>
  <c r="EK53" i="1"/>
  <c r="EL53" i="1"/>
  <c r="DF54" i="1"/>
  <c r="DG54" i="1"/>
  <c r="DH54" i="1"/>
  <c r="DI54" i="1"/>
  <c r="DJ54" i="1"/>
  <c r="DK54" i="1"/>
  <c r="DL54" i="1"/>
  <c r="DM54" i="1"/>
  <c r="DN54" i="1"/>
  <c r="FB18" i="1"/>
  <c r="FA18" i="1"/>
  <c r="FC18" i="1"/>
  <c r="FD18" i="1"/>
  <c r="FE18" i="1"/>
  <c r="FF18" i="1"/>
  <c r="DU58" i="1"/>
  <c r="DU54" i="1"/>
  <c r="DO54" i="1"/>
  <c r="FB42" i="1"/>
  <c r="FA42" i="1"/>
  <c r="FC42" i="1"/>
  <c r="FD42" i="1"/>
  <c r="FE42" i="1"/>
  <c r="FF42" i="1"/>
  <c r="DV58" i="1"/>
  <c r="DV54" i="1"/>
  <c r="DP54" i="1"/>
  <c r="DQ54" i="1"/>
  <c r="FB66" i="1"/>
  <c r="FA66" i="1"/>
  <c r="FC66" i="1"/>
  <c r="FD66" i="1"/>
  <c r="FE66" i="1"/>
  <c r="FF66" i="1"/>
  <c r="DX58" i="1"/>
  <c r="DX54" i="1"/>
  <c r="DR54" i="1"/>
  <c r="FB90" i="1"/>
  <c r="FA90" i="1"/>
  <c r="FC90" i="1"/>
  <c r="FD90" i="1"/>
  <c r="FE90" i="1"/>
  <c r="FF90" i="1"/>
  <c r="DY58" i="1"/>
  <c r="DY54" i="1"/>
  <c r="DS54" i="1"/>
  <c r="DT54" i="1"/>
  <c r="DW54" i="1"/>
  <c r="DZ54" i="1"/>
  <c r="ED54" i="1"/>
  <c r="EE54" i="1"/>
  <c r="EF54" i="1"/>
  <c r="EG54" i="1"/>
  <c r="EH54" i="1"/>
  <c r="EI54" i="1"/>
  <c r="EJ54" i="1"/>
  <c r="EK54" i="1"/>
  <c r="EL54" i="1"/>
  <c r="DB55" i="1"/>
  <c r="DC55" i="1"/>
  <c r="DD55" i="1"/>
  <c r="DE55" i="1"/>
  <c r="DF55" i="1"/>
  <c r="DG55" i="1"/>
  <c r="DH55" i="1"/>
  <c r="DI55" i="1"/>
  <c r="DJ55" i="1"/>
  <c r="DK55" i="1"/>
  <c r="DL55" i="1"/>
  <c r="DM55" i="1"/>
  <c r="DN55" i="1"/>
  <c r="DU55" i="1"/>
  <c r="DO55" i="1"/>
  <c r="DV55" i="1"/>
  <c r="DP55" i="1"/>
  <c r="DQ55" i="1"/>
  <c r="DX55" i="1"/>
  <c r="DR55" i="1"/>
  <c r="DY55" i="1"/>
  <c r="DS55" i="1"/>
  <c r="DT55" i="1"/>
  <c r="DW55" i="1"/>
  <c r="DZ55" i="1"/>
  <c r="EA55" i="1"/>
  <c r="EB55" i="1"/>
  <c r="EC55" i="1"/>
  <c r="ED55" i="1"/>
  <c r="EE55" i="1"/>
  <c r="EF55" i="1"/>
  <c r="EG55" i="1"/>
  <c r="EH55" i="1"/>
  <c r="EI55" i="1"/>
  <c r="EJ55" i="1"/>
  <c r="EK55" i="1"/>
  <c r="EL55" i="1"/>
  <c r="DA56" i="1"/>
  <c r="DB56" i="1"/>
  <c r="DC56" i="1"/>
  <c r="DD56" i="1"/>
  <c r="DE56" i="1"/>
  <c r="DF56" i="1"/>
  <c r="DG56" i="1"/>
  <c r="DH56" i="1"/>
  <c r="DI56" i="1"/>
  <c r="DJ56" i="1"/>
  <c r="DK56" i="1"/>
  <c r="DL56" i="1"/>
  <c r="DM56" i="1"/>
  <c r="DN56" i="1"/>
  <c r="DU56" i="1"/>
  <c r="DO56" i="1"/>
  <c r="DV56" i="1"/>
  <c r="DP56" i="1"/>
  <c r="DQ56" i="1"/>
  <c r="DX56" i="1"/>
  <c r="DR56" i="1"/>
  <c r="DY56" i="1"/>
  <c r="DS56" i="1"/>
  <c r="DT56" i="1"/>
  <c r="DW56" i="1"/>
  <c r="DZ56" i="1"/>
  <c r="EA56" i="1"/>
  <c r="EB56" i="1"/>
  <c r="EC56" i="1"/>
  <c r="ED56" i="1"/>
  <c r="EE56" i="1"/>
  <c r="EF56" i="1"/>
  <c r="EG56" i="1"/>
  <c r="EH56" i="1"/>
  <c r="EI56" i="1"/>
  <c r="EJ56" i="1"/>
  <c r="EK56" i="1"/>
  <c r="EL56" i="1"/>
  <c r="DA57" i="1"/>
  <c r="DB57" i="1"/>
  <c r="DC57" i="1"/>
  <c r="DD57" i="1"/>
  <c r="DE57" i="1"/>
  <c r="DF57" i="1"/>
  <c r="DG57" i="1"/>
  <c r="DH57" i="1"/>
  <c r="DI57" i="1"/>
  <c r="DJ57" i="1"/>
  <c r="DK57" i="1"/>
  <c r="DL57" i="1"/>
  <c r="DM57" i="1"/>
  <c r="DN57" i="1"/>
  <c r="DU57" i="1"/>
  <c r="DO57" i="1"/>
  <c r="DV57" i="1"/>
  <c r="DP57" i="1"/>
  <c r="DQ57" i="1"/>
  <c r="DX57" i="1"/>
  <c r="DR57" i="1"/>
  <c r="DY57" i="1"/>
  <c r="DS57" i="1"/>
  <c r="DT57" i="1"/>
  <c r="DW57" i="1"/>
  <c r="DZ57" i="1"/>
  <c r="EA57" i="1"/>
  <c r="EB57" i="1"/>
  <c r="EC57" i="1"/>
  <c r="ED57" i="1"/>
  <c r="EE57" i="1"/>
  <c r="EF57" i="1"/>
  <c r="EG57" i="1"/>
  <c r="EH57" i="1"/>
  <c r="EI57" i="1"/>
  <c r="EJ57" i="1"/>
  <c r="EK57" i="1"/>
  <c r="EL57" i="1"/>
  <c r="FJ32" i="1"/>
  <c r="FK32" i="1"/>
  <c r="FL32" i="1"/>
  <c r="FM32" i="1"/>
  <c r="DA58" i="1"/>
  <c r="FN32" i="1"/>
  <c r="FO32" i="1"/>
  <c r="FP32" i="1"/>
  <c r="DB58" i="1"/>
  <c r="DC58" i="1"/>
  <c r="ET83" i="1"/>
  <c r="EU83" i="1"/>
  <c r="EV83" i="1"/>
  <c r="EW83" i="1"/>
  <c r="DD58" i="1"/>
  <c r="DE58" i="1"/>
  <c r="ET97" i="1"/>
  <c r="EU97" i="1"/>
  <c r="EV97" i="1"/>
  <c r="EW97" i="1"/>
  <c r="DF58" i="1"/>
  <c r="ET111" i="1"/>
  <c r="EU111" i="1"/>
  <c r="EV111" i="1"/>
  <c r="EW111" i="1"/>
  <c r="DG58" i="1"/>
  <c r="DH58" i="1"/>
  <c r="DK58" i="1"/>
  <c r="DN58" i="1"/>
  <c r="DO58" i="1"/>
  <c r="DP58" i="1"/>
  <c r="DQ58" i="1"/>
  <c r="DR58" i="1"/>
  <c r="DS58" i="1"/>
  <c r="DT58" i="1"/>
  <c r="DW58" i="1"/>
  <c r="DZ58" i="1"/>
  <c r="EA58" i="1"/>
  <c r="EB58" i="1"/>
  <c r="EC58" i="1"/>
  <c r="ED58" i="1"/>
  <c r="EE58" i="1"/>
  <c r="EF58" i="1"/>
  <c r="EG58" i="1"/>
  <c r="EH58" i="1"/>
  <c r="EI58" i="1"/>
  <c r="EJ58" i="1"/>
  <c r="EK58" i="1"/>
  <c r="EL58" i="1"/>
  <c r="DA59" i="1"/>
  <c r="DB59" i="1"/>
  <c r="ET70" i="1"/>
  <c r="EU70" i="1"/>
  <c r="EV70" i="1"/>
  <c r="EW70" i="1"/>
  <c r="DC59" i="1"/>
  <c r="DD59" i="1"/>
  <c r="DE59" i="1"/>
  <c r="DF59" i="1"/>
  <c r="DG59" i="1"/>
  <c r="DH59" i="1"/>
  <c r="ET14" i="1"/>
  <c r="EU14" i="1"/>
  <c r="EV14" i="1"/>
  <c r="EW14" i="1"/>
  <c r="DI68" i="1"/>
  <c r="DI59" i="1"/>
  <c r="ET28" i="1"/>
  <c r="EU28" i="1"/>
  <c r="EV28" i="1"/>
  <c r="EW28" i="1"/>
  <c r="DJ68" i="1"/>
  <c r="DJ59" i="1"/>
  <c r="DK59" i="1"/>
  <c r="ET42" i="1"/>
  <c r="EU42" i="1"/>
  <c r="EV42" i="1"/>
  <c r="EW42" i="1"/>
  <c r="DL68" i="1"/>
  <c r="DL59" i="1"/>
  <c r="ET56" i="1"/>
  <c r="EU56" i="1"/>
  <c r="EV56" i="1"/>
  <c r="EW56" i="1"/>
  <c r="DM68" i="1"/>
  <c r="DM59" i="1"/>
  <c r="DN59" i="1"/>
  <c r="FB19" i="1"/>
  <c r="FA19" i="1"/>
  <c r="FC19" i="1"/>
  <c r="FD19" i="1"/>
  <c r="FE19" i="1"/>
  <c r="FF19" i="1"/>
  <c r="DU63" i="1"/>
  <c r="DU59" i="1"/>
  <c r="DO59" i="1"/>
  <c r="FB43" i="1"/>
  <c r="FA43" i="1"/>
  <c r="FC43" i="1"/>
  <c r="FD43" i="1"/>
  <c r="FE43" i="1"/>
  <c r="FF43" i="1"/>
  <c r="DV63" i="1"/>
  <c r="DV59" i="1"/>
  <c r="DP59" i="1"/>
  <c r="DQ59" i="1"/>
  <c r="FB67" i="1"/>
  <c r="FA67" i="1"/>
  <c r="FC67" i="1"/>
  <c r="FD67" i="1"/>
  <c r="FE67" i="1"/>
  <c r="FF67" i="1"/>
  <c r="DX63" i="1"/>
  <c r="DX59" i="1"/>
  <c r="DR59" i="1"/>
  <c r="FB91" i="1"/>
  <c r="FA91" i="1"/>
  <c r="FC91" i="1"/>
  <c r="FD91" i="1"/>
  <c r="FE91" i="1"/>
  <c r="FF91" i="1"/>
  <c r="DY63" i="1"/>
  <c r="DY59" i="1"/>
  <c r="DS59" i="1"/>
  <c r="DT59" i="1"/>
  <c r="DW59" i="1"/>
  <c r="DZ59" i="1"/>
  <c r="EA59" i="1"/>
  <c r="EB59" i="1"/>
  <c r="EC59" i="1"/>
  <c r="ED59" i="1"/>
  <c r="EE59" i="1"/>
  <c r="EF59" i="1"/>
  <c r="EG59" i="1"/>
  <c r="EH59" i="1"/>
  <c r="EI59" i="1"/>
  <c r="EJ59" i="1"/>
  <c r="EK59" i="1"/>
  <c r="EL59" i="1"/>
  <c r="DA60" i="1"/>
  <c r="DB60" i="1"/>
  <c r="DC60" i="1"/>
  <c r="DD60" i="1"/>
  <c r="DE60" i="1"/>
  <c r="DF60" i="1"/>
  <c r="DG60" i="1"/>
  <c r="DH60" i="1"/>
  <c r="DI60" i="1"/>
  <c r="DJ60" i="1"/>
  <c r="DK60" i="1"/>
  <c r="DL60" i="1"/>
  <c r="DM60" i="1"/>
  <c r="DN60" i="1"/>
  <c r="DU60" i="1"/>
  <c r="DO60" i="1"/>
  <c r="DV60" i="1"/>
  <c r="DP60" i="1"/>
  <c r="DQ60" i="1"/>
  <c r="DX60" i="1"/>
  <c r="DR60" i="1"/>
  <c r="DY60" i="1"/>
  <c r="DS60" i="1"/>
  <c r="DT60" i="1"/>
  <c r="DW60" i="1"/>
  <c r="DZ60" i="1"/>
  <c r="EA60" i="1"/>
  <c r="EB60" i="1"/>
  <c r="EC60" i="1"/>
  <c r="ED60" i="1"/>
  <c r="EE60" i="1"/>
  <c r="EF60" i="1"/>
  <c r="EG60" i="1"/>
  <c r="EH60" i="1"/>
  <c r="EI60" i="1"/>
  <c r="EJ60" i="1"/>
  <c r="EK60" i="1"/>
  <c r="EL60" i="1"/>
  <c r="DA61" i="1"/>
  <c r="DB61" i="1"/>
  <c r="DC61" i="1"/>
  <c r="DD61" i="1"/>
  <c r="DE61" i="1"/>
  <c r="DF61" i="1"/>
  <c r="DG61" i="1"/>
  <c r="DH61" i="1"/>
  <c r="DI61" i="1"/>
  <c r="DJ61" i="1"/>
  <c r="DK61" i="1"/>
  <c r="DL61" i="1"/>
  <c r="DM61" i="1"/>
  <c r="DN61" i="1"/>
  <c r="DU61" i="1"/>
  <c r="DO61" i="1"/>
  <c r="DV61" i="1"/>
  <c r="DP61" i="1"/>
  <c r="DQ61" i="1"/>
  <c r="DX61" i="1"/>
  <c r="DR61" i="1"/>
  <c r="DY61" i="1"/>
  <c r="DS61" i="1"/>
  <c r="DT61" i="1"/>
  <c r="DW61" i="1"/>
  <c r="DZ61" i="1"/>
  <c r="EA61" i="1"/>
  <c r="EB61" i="1"/>
  <c r="EC61" i="1"/>
  <c r="ED61" i="1"/>
  <c r="EE61" i="1"/>
  <c r="EF61" i="1"/>
  <c r="EG61" i="1"/>
  <c r="EH61" i="1"/>
  <c r="EI61" i="1"/>
  <c r="EJ61" i="1"/>
  <c r="EK61" i="1"/>
  <c r="EL61" i="1"/>
  <c r="DA62" i="1"/>
  <c r="DB62" i="1"/>
  <c r="DC62" i="1"/>
  <c r="DD62" i="1"/>
  <c r="DE62" i="1"/>
  <c r="DF62" i="1"/>
  <c r="DG62" i="1"/>
  <c r="DH62" i="1"/>
  <c r="DI62" i="1"/>
  <c r="DJ62" i="1"/>
  <c r="DK62" i="1"/>
  <c r="DL62" i="1"/>
  <c r="DM62" i="1"/>
  <c r="DN62" i="1"/>
  <c r="DU62" i="1"/>
  <c r="DO62" i="1"/>
  <c r="DV62" i="1"/>
  <c r="DP62" i="1"/>
  <c r="DQ62" i="1"/>
  <c r="DX62" i="1"/>
  <c r="DR62" i="1"/>
  <c r="DY62" i="1"/>
  <c r="DS62" i="1"/>
  <c r="DT62" i="1"/>
  <c r="DW62" i="1"/>
  <c r="DZ62" i="1"/>
  <c r="EA62" i="1"/>
  <c r="EB62" i="1"/>
  <c r="EC62" i="1"/>
  <c r="ED62" i="1"/>
  <c r="EE62" i="1"/>
  <c r="EF62" i="1"/>
  <c r="EG62" i="1"/>
  <c r="EH62" i="1"/>
  <c r="EI62" i="1"/>
  <c r="EJ62" i="1"/>
  <c r="EK62" i="1"/>
  <c r="EL62" i="1"/>
  <c r="FM10" i="1"/>
  <c r="FL10" i="1"/>
  <c r="FN10" i="1"/>
  <c r="FO10" i="1"/>
  <c r="FP10" i="1"/>
  <c r="FJ33" i="1"/>
  <c r="FK33" i="1"/>
  <c r="FL33" i="1"/>
  <c r="FM33" i="1"/>
  <c r="DA63" i="1"/>
  <c r="FM17" i="1"/>
  <c r="FL17" i="1"/>
  <c r="FN17" i="1"/>
  <c r="FO17" i="1"/>
  <c r="FP17" i="1"/>
  <c r="FN33" i="1"/>
  <c r="FO33" i="1"/>
  <c r="FP33" i="1"/>
  <c r="DB63" i="1"/>
  <c r="DC63" i="1"/>
  <c r="DD63" i="1"/>
  <c r="DE63" i="1"/>
  <c r="DF63" i="1"/>
  <c r="DG63" i="1"/>
  <c r="DH63" i="1"/>
  <c r="DI63" i="1"/>
  <c r="DJ63" i="1"/>
  <c r="DK63" i="1"/>
  <c r="DL63" i="1"/>
  <c r="DM63" i="1"/>
  <c r="DN63" i="1"/>
  <c r="DO63" i="1"/>
  <c r="DP63" i="1"/>
  <c r="DQ63" i="1"/>
  <c r="DR63" i="1"/>
  <c r="DS63" i="1"/>
  <c r="DT63" i="1"/>
  <c r="DW63" i="1"/>
  <c r="DZ63" i="1"/>
  <c r="EA63" i="1"/>
  <c r="EB63" i="1"/>
  <c r="EC63" i="1"/>
  <c r="ED63" i="1"/>
  <c r="EE63" i="1"/>
  <c r="EF63" i="1"/>
  <c r="EG63" i="1"/>
  <c r="EH63" i="1"/>
  <c r="EI63" i="1"/>
  <c r="EJ63" i="1"/>
  <c r="EK63" i="1"/>
  <c r="EL63" i="1"/>
  <c r="DA64" i="1"/>
  <c r="DB64" i="1"/>
  <c r="DC64" i="1"/>
  <c r="DD64" i="1"/>
  <c r="DE64" i="1"/>
  <c r="DF64" i="1"/>
  <c r="DG64" i="1"/>
  <c r="DH64" i="1"/>
  <c r="DI64" i="1"/>
  <c r="DJ64" i="1"/>
  <c r="DK64" i="1"/>
  <c r="DL64" i="1"/>
  <c r="DM64" i="1"/>
  <c r="DN64" i="1"/>
  <c r="FB20" i="1"/>
  <c r="FA20" i="1"/>
  <c r="FC20" i="1"/>
  <c r="FD20" i="1"/>
  <c r="FE20" i="1"/>
  <c r="FF20" i="1"/>
  <c r="DU68" i="1"/>
  <c r="DU64" i="1"/>
  <c r="DO64" i="1"/>
  <c r="FB44" i="1"/>
  <c r="FA44" i="1"/>
  <c r="FC44" i="1"/>
  <c r="FD44" i="1"/>
  <c r="FE44" i="1"/>
  <c r="FF44" i="1"/>
  <c r="DV68" i="1"/>
  <c r="DV64" i="1"/>
  <c r="DP64" i="1"/>
  <c r="DQ64" i="1"/>
  <c r="FB68" i="1"/>
  <c r="FA68" i="1"/>
  <c r="FC68" i="1"/>
  <c r="FD68" i="1"/>
  <c r="FE68" i="1"/>
  <c r="FF68" i="1"/>
  <c r="DX68" i="1"/>
  <c r="DX64" i="1"/>
  <c r="DR64" i="1"/>
  <c r="FB92" i="1"/>
  <c r="FA92" i="1"/>
  <c r="FC92" i="1"/>
  <c r="FD92" i="1"/>
  <c r="FE92" i="1"/>
  <c r="FF92" i="1"/>
  <c r="DY68" i="1"/>
  <c r="DY64" i="1"/>
  <c r="DS64" i="1"/>
  <c r="DT64" i="1"/>
  <c r="DW64" i="1"/>
  <c r="DZ64" i="1"/>
  <c r="EA64" i="1"/>
  <c r="EB64" i="1"/>
  <c r="EC64" i="1"/>
  <c r="ED64" i="1"/>
  <c r="EE64" i="1"/>
  <c r="EF64" i="1"/>
  <c r="EG64" i="1"/>
  <c r="EH64" i="1"/>
  <c r="EI64" i="1"/>
  <c r="EJ64" i="1"/>
  <c r="EK64" i="1"/>
  <c r="EL64" i="1"/>
  <c r="DA65" i="1"/>
  <c r="DB65" i="1"/>
  <c r="DC65" i="1"/>
  <c r="DD65" i="1"/>
  <c r="DE65" i="1"/>
  <c r="DF65" i="1"/>
  <c r="DG65" i="1"/>
  <c r="DH65" i="1"/>
  <c r="DI65" i="1"/>
  <c r="DJ65" i="1"/>
  <c r="DK65" i="1"/>
  <c r="DL65" i="1"/>
  <c r="DM65" i="1"/>
  <c r="DN65" i="1"/>
  <c r="DU65" i="1"/>
  <c r="DO65" i="1"/>
  <c r="DV65" i="1"/>
  <c r="DP65" i="1"/>
  <c r="DQ65" i="1"/>
  <c r="DX65" i="1"/>
  <c r="DR65" i="1"/>
  <c r="DY65" i="1"/>
  <c r="DS65" i="1"/>
  <c r="DT65" i="1"/>
  <c r="DW65" i="1"/>
  <c r="DZ65" i="1"/>
  <c r="EA65" i="1"/>
  <c r="EB65" i="1"/>
  <c r="EC65" i="1"/>
  <c r="ED65" i="1"/>
  <c r="EE65" i="1"/>
  <c r="EF65" i="1"/>
  <c r="EG65" i="1"/>
  <c r="EH65" i="1"/>
  <c r="EI65" i="1"/>
  <c r="EJ65" i="1"/>
  <c r="EK65" i="1"/>
  <c r="EL65" i="1"/>
  <c r="DA66" i="1"/>
  <c r="DB66" i="1"/>
  <c r="DC66" i="1"/>
  <c r="DD66" i="1"/>
  <c r="DE66" i="1"/>
  <c r="DF66" i="1"/>
  <c r="DG66" i="1"/>
  <c r="DH66" i="1"/>
  <c r="DI66" i="1"/>
  <c r="DJ66" i="1"/>
  <c r="DK66" i="1"/>
  <c r="DL66" i="1"/>
  <c r="DM66" i="1"/>
  <c r="DN66" i="1"/>
  <c r="DU66" i="1"/>
  <c r="DO66" i="1"/>
  <c r="DV66" i="1"/>
  <c r="DP66" i="1"/>
  <c r="DQ66" i="1"/>
  <c r="DX66" i="1"/>
  <c r="DR66" i="1"/>
  <c r="DY66" i="1"/>
  <c r="DS66" i="1"/>
  <c r="DT66" i="1"/>
  <c r="DW66" i="1"/>
  <c r="DZ66" i="1"/>
  <c r="EA66" i="1"/>
  <c r="EB66" i="1"/>
  <c r="EC66" i="1"/>
  <c r="ED66" i="1"/>
  <c r="EE66" i="1"/>
  <c r="EF66" i="1"/>
  <c r="EG66" i="1"/>
  <c r="EH66" i="1"/>
  <c r="EI66" i="1"/>
  <c r="EJ66" i="1"/>
  <c r="EK66" i="1"/>
  <c r="EL66" i="1"/>
  <c r="DA67" i="1"/>
  <c r="DB67" i="1"/>
  <c r="DC67" i="1"/>
  <c r="DD67" i="1"/>
  <c r="DE67" i="1"/>
  <c r="DF67" i="1"/>
  <c r="DG67" i="1"/>
  <c r="DH67" i="1"/>
  <c r="DI67" i="1"/>
  <c r="DJ67" i="1"/>
  <c r="DK67" i="1"/>
  <c r="DL67" i="1"/>
  <c r="DM67" i="1"/>
  <c r="DN67" i="1"/>
  <c r="DU67" i="1"/>
  <c r="DO67" i="1"/>
  <c r="DV67" i="1"/>
  <c r="DP67" i="1"/>
  <c r="DQ67" i="1"/>
  <c r="DX67" i="1"/>
  <c r="DR67" i="1"/>
  <c r="DY67" i="1"/>
  <c r="DS67" i="1"/>
  <c r="DT67" i="1"/>
  <c r="DW67" i="1"/>
  <c r="DZ67" i="1"/>
  <c r="EA67" i="1"/>
  <c r="EB67" i="1"/>
  <c r="EC67" i="1"/>
  <c r="ED67" i="1"/>
  <c r="EE67" i="1"/>
  <c r="EF67" i="1"/>
  <c r="EG67" i="1"/>
  <c r="EH67" i="1"/>
  <c r="EI67" i="1"/>
  <c r="EJ67" i="1"/>
  <c r="EK67" i="1"/>
  <c r="EL67" i="1"/>
  <c r="FJ34" i="1"/>
  <c r="FK34" i="1"/>
  <c r="FL34" i="1"/>
  <c r="FM34" i="1"/>
  <c r="DA68" i="1"/>
  <c r="FN34" i="1"/>
  <c r="FO34" i="1"/>
  <c r="FP34" i="1"/>
  <c r="DB68" i="1"/>
  <c r="DC68" i="1"/>
  <c r="ET84" i="1"/>
  <c r="EU84" i="1"/>
  <c r="EV84" i="1"/>
  <c r="EW84" i="1"/>
  <c r="DD68" i="1"/>
  <c r="DE68" i="1"/>
  <c r="ET98" i="1"/>
  <c r="EU98" i="1"/>
  <c r="EV98" i="1"/>
  <c r="EW98" i="1"/>
  <c r="DF68" i="1"/>
  <c r="ET112" i="1"/>
  <c r="EU112" i="1"/>
  <c r="EV112" i="1"/>
  <c r="EW112" i="1"/>
  <c r="DG68" i="1"/>
  <c r="DH68" i="1"/>
  <c r="DK68" i="1"/>
  <c r="DN68" i="1"/>
  <c r="DO68" i="1"/>
  <c r="DP68" i="1"/>
  <c r="DQ68" i="1"/>
  <c r="DR68" i="1"/>
  <c r="DS68" i="1"/>
  <c r="DT68" i="1"/>
  <c r="DW68" i="1"/>
  <c r="DZ68" i="1"/>
  <c r="EA68" i="1"/>
  <c r="EB68" i="1"/>
  <c r="EC68" i="1"/>
  <c r="ED68" i="1"/>
  <c r="EE68" i="1"/>
  <c r="EF68" i="1"/>
  <c r="EG68" i="1"/>
  <c r="EH68" i="1"/>
  <c r="EI68" i="1"/>
  <c r="EJ68" i="1"/>
  <c r="EK68" i="1"/>
  <c r="EL68" i="1"/>
  <c r="DA69" i="1"/>
  <c r="DB69" i="1"/>
  <c r="ET71" i="1"/>
  <c r="EU71" i="1"/>
  <c r="EV71" i="1"/>
  <c r="EW71" i="1"/>
  <c r="DC69" i="1"/>
  <c r="DD69" i="1"/>
  <c r="DE69" i="1"/>
  <c r="DF69" i="1"/>
  <c r="DG69" i="1"/>
  <c r="DH69" i="1"/>
  <c r="ET15" i="1"/>
  <c r="EU15" i="1"/>
  <c r="EV15" i="1"/>
  <c r="EW15" i="1"/>
  <c r="DI78" i="1"/>
  <c r="DI69" i="1"/>
  <c r="ET29" i="1"/>
  <c r="EU29" i="1"/>
  <c r="EV29" i="1"/>
  <c r="EW29" i="1"/>
  <c r="DJ78" i="1"/>
  <c r="DJ69" i="1"/>
  <c r="DK69" i="1"/>
  <c r="ET43" i="1"/>
  <c r="EU43" i="1"/>
  <c r="EV43" i="1"/>
  <c r="EW43" i="1"/>
  <c r="DL78" i="1"/>
  <c r="DL69" i="1"/>
  <c r="ET57" i="1"/>
  <c r="EU57" i="1"/>
  <c r="EV57" i="1"/>
  <c r="EW57" i="1"/>
  <c r="DM78" i="1"/>
  <c r="DM69" i="1"/>
  <c r="DN69" i="1"/>
  <c r="FB21" i="1"/>
  <c r="FA21" i="1"/>
  <c r="FC21" i="1"/>
  <c r="FD21" i="1"/>
  <c r="FE21" i="1"/>
  <c r="FF21" i="1"/>
  <c r="DU73" i="1"/>
  <c r="DU69" i="1"/>
  <c r="DO69" i="1"/>
  <c r="FB45" i="1"/>
  <c r="FA45" i="1"/>
  <c r="FC45" i="1"/>
  <c r="FD45" i="1"/>
  <c r="FE45" i="1"/>
  <c r="FF45" i="1"/>
  <c r="DV73" i="1"/>
  <c r="DV69" i="1"/>
  <c r="DP69" i="1"/>
  <c r="DQ69" i="1"/>
  <c r="FB69" i="1"/>
  <c r="FA69" i="1"/>
  <c r="FC69" i="1"/>
  <c r="FD69" i="1"/>
  <c r="FE69" i="1"/>
  <c r="FF69" i="1"/>
  <c r="DX73" i="1"/>
  <c r="DX69" i="1"/>
  <c r="DR69" i="1"/>
  <c r="FB93" i="1"/>
  <c r="FA93" i="1"/>
  <c r="FC93" i="1"/>
  <c r="FD93" i="1"/>
  <c r="FE93" i="1"/>
  <c r="FF93" i="1"/>
  <c r="DY73" i="1"/>
  <c r="DY69" i="1"/>
  <c r="DS69" i="1"/>
  <c r="DT69" i="1"/>
  <c r="DW69" i="1"/>
  <c r="DZ69" i="1"/>
  <c r="EA69" i="1"/>
  <c r="EB69" i="1"/>
  <c r="EC69" i="1"/>
  <c r="ED69" i="1"/>
  <c r="EE69" i="1"/>
  <c r="EF69" i="1"/>
  <c r="EG69" i="1"/>
  <c r="EH69" i="1"/>
  <c r="EI69" i="1"/>
  <c r="EJ69" i="1"/>
  <c r="EK69" i="1"/>
  <c r="EL69" i="1"/>
  <c r="DA70" i="1"/>
  <c r="DB70" i="1"/>
  <c r="DC70" i="1"/>
  <c r="DD70" i="1"/>
  <c r="DE70" i="1"/>
  <c r="DF70" i="1"/>
  <c r="DG70" i="1"/>
  <c r="DH70" i="1"/>
  <c r="DI70" i="1"/>
  <c r="DJ70" i="1"/>
  <c r="DK70" i="1"/>
  <c r="DL70" i="1"/>
  <c r="DM70" i="1"/>
  <c r="DN70" i="1"/>
  <c r="DU70" i="1"/>
  <c r="DO70" i="1"/>
  <c r="DV70" i="1"/>
  <c r="DP70" i="1"/>
  <c r="DQ70" i="1"/>
  <c r="DX70" i="1"/>
  <c r="DR70" i="1"/>
  <c r="DY70" i="1"/>
  <c r="DS70" i="1"/>
  <c r="DT70" i="1"/>
  <c r="DW70" i="1"/>
  <c r="DZ70" i="1"/>
  <c r="EA70" i="1"/>
  <c r="EB70" i="1"/>
  <c r="EC70" i="1"/>
  <c r="ED70" i="1"/>
  <c r="EE70" i="1"/>
  <c r="EF70" i="1"/>
  <c r="EG70" i="1"/>
  <c r="EH70" i="1"/>
  <c r="EI70" i="1"/>
  <c r="EJ70" i="1"/>
  <c r="EK70" i="1"/>
  <c r="EL70" i="1"/>
  <c r="DA71" i="1"/>
  <c r="DB71" i="1"/>
  <c r="DC71" i="1"/>
  <c r="DD71" i="1"/>
  <c r="DE71" i="1"/>
  <c r="DF71" i="1"/>
  <c r="DG71" i="1"/>
  <c r="DH71" i="1"/>
  <c r="DI71" i="1"/>
  <c r="DJ71" i="1"/>
  <c r="DK71" i="1"/>
  <c r="DL71" i="1"/>
  <c r="DM71" i="1"/>
  <c r="DN71" i="1"/>
  <c r="DU71" i="1"/>
  <c r="DO71" i="1"/>
  <c r="DV71" i="1"/>
  <c r="DP71" i="1"/>
  <c r="DQ71" i="1"/>
  <c r="DX71" i="1"/>
  <c r="DR71" i="1"/>
  <c r="DY71" i="1"/>
  <c r="DS71" i="1"/>
  <c r="DT71" i="1"/>
  <c r="DW71" i="1"/>
  <c r="DZ71" i="1"/>
  <c r="EA71" i="1"/>
  <c r="EB71" i="1"/>
  <c r="EC71" i="1"/>
  <c r="ED71" i="1"/>
  <c r="EE71" i="1"/>
  <c r="EF71" i="1"/>
  <c r="EG71" i="1"/>
  <c r="EH71" i="1"/>
  <c r="EI71" i="1"/>
  <c r="EJ71" i="1"/>
  <c r="EK71" i="1"/>
  <c r="EL71" i="1"/>
  <c r="DA72" i="1"/>
  <c r="DB72" i="1"/>
  <c r="DC72" i="1"/>
  <c r="DD72" i="1"/>
  <c r="DE72" i="1"/>
  <c r="DF72" i="1"/>
  <c r="DG72" i="1"/>
  <c r="DH72" i="1"/>
  <c r="DI72" i="1"/>
  <c r="DJ72" i="1"/>
  <c r="DK72" i="1"/>
  <c r="DL72" i="1"/>
  <c r="DM72" i="1"/>
  <c r="DN72" i="1"/>
  <c r="DU72" i="1"/>
  <c r="DO72" i="1"/>
  <c r="DV72" i="1"/>
  <c r="DP72" i="1"/>
  <c r="DQ72" i="1"/>
  <c r="DX72" i="1"/>
  <c r="DR72" i="1"/>
  <c r="DY72" i="1"/>
  <c r="DS72" i="1"/>
  <c r="DT72" i="1"/>
  <c r="DW72" i="1"/>
  <c r="DZ72" i="1"/>
  <c r="EA72" i="1"/>
  <c r="EB72" i="1"/>
  <c r="EC72" i="1"/>
  <c r="ED72" i="1"/>
  <c r="EE72" i="1"/>
  <c r="EF72" i="1"/>
  <c r="EG72" i="1"/>
  <c r="EH72" i="1"/>
  <c r="EI72" i="1"/>
  <c r="EJ72" i="1"/>
  <c r="EK72" i="1"/>
  <c r="EL72" i="1"/>
  <c r="FM11" i="1"/>
  <c r="FL11" i="1"/>
  <c r="FN11" i="1"/>
  <c r="FO11" i="1"/>
  <c r="FP11" i="1"/>
  <c r="FJ35" i="1"/>
  <c r="FK35" i="1"/>
  <c r="FL35" i="1"/>
  <c r="FM35" i="1"/>
  <c r="DA73" i="1"/>
  <c r="FM18" i="1"/>
  <c r="FL18" i="1"/>
  <c r="FN18" i="1"/>
  <c r="FO18" i="1"/>
  <c r="FP18" i="1"/>
  <c r="FN35" i="1"/>
  <c r="FO35" i="1"/>
  <c r="FP35" i="1"/>
  <c r="DB73" i="1"/>
  <c r="DC73" i="1"/>
  <c r="DD73" i="1"/>
  <c r="DE73" i="1"/>
  <c r="DF73" i="1"/>
  <c r="DG73" i="1"/>
  <c r="DH73" i="1"/>
  <c r="DI73" i="1"/>
  <c r="DJ73" i="1"/>
  <c r="DK73" i="1"/>
  <c r="DL73" i="1"/>
  <c r="DM73" i="1"/>
  <c r="DN73" i="1"/>
  <c r="DO73" i="1"/>
  <c r="DP73" i="1"/>
  <c r="DQ73" i="1"/>
  <c r="DR73" i="1"/>
  <c r="DS73" i="1"/>
  <c r="DT73" i="1"/>
  <c r="DW73" i="1"/>
  <c r="DZ73" i="1"/>
  <c r="EA73" i="1"/>
  <c r="EB73" i="1"/>
  <c r="EC73" i="1"/>
  <c r="ED73" i="1"/>
  <c r="EE73" i="1"/>
  <c r="EF73" i="1"/>
  <c r="EG73" i="1"/>
  <c r="EH73" i="1"/>
  <c r="EI73" i="1"/>
  <c r="EJ73" i="1"/>
  <c r="EK73" i="1"/>
  <c r="EL73" i="1"/>
  <c r="DA74" i="1"/>
  <c r="DB74" i="1"/>
  <c r="DC74" i="1"/>
  <c r="DD74" i="1"/>
  <c r="DE74" i="1"/>
  <c r="DF74" i="1"/>
  <c r="DG74" i="1"/>
  <c r="DH74" i="1"/>
  <c r="DI74" i="1"/>
  <c r="DJ74" i="1"/>
  <c r="DK74" i="1"/>
  <c r="DL74" i="1"/>
  <c r="DM74" i="1"/>
  <c r="DN74" i="1"/>
  <c r="FB22" i="1"/>
  <c r="FA22" i="1"/>
  <c r="FC22" i="1"/>
  <c r="FD22" i="1"/>
  <c r="FE22" i="1"/>
  <c r="FF22" i="1"/>
  <c r="DU78" i="1"/>
  <c r="DU74" i="1"/>
  <c r="DO74" i="1"/>
  <c r="FB46" i="1"/>
  <c r="FA46" i="1"/>
  <c r="FC46" i="1"/>
  <c r="FD46" i="1"/>
  <c r="FE46" i="1"/>
  <c r="FF46" i="1"/>
  <c r="DV78" i="1"/>
  <c r="DV74" i="1"/>
  <c r="DP74" i="1"/>
  <c r="DQ74" i="1"/>
  <c r="EZ70" i="1"/>
  <c r="FB70" i="1"/>
  <c r="FA70" i="1"/>
  <c r="FC70" i="1"/>
  <c r="FD70" i="1"/>
  <c r="FE70" i="1"/>
  <c r="FF70" i="1"/>
  <c r="DX78" i="1"/>
  <c r="DX74" i="1"/>
  <c r="DR74" i="1"/>
  <c r="EZ94" i="1"/>
  <c r="FB94" i="1"/>
  <c r="FA94" i="1"/>
  <c r="FC94" i="1"/>
  <c r="FD94" i="1"/>
  <c r="FE94" i="1"/>
  <c r="FF94" i="1"/>
  <c r="DY78" i="1"/>
  <c r="DY74" i="1"/>
  <c r="DS74" i="1"/>
  <c r="DT74" i="1"/>
  <c r="DW74" i="1"/>
  <c r="DZ74" i="1"/>
  <c r="EA74" i="1"/>
  <c r="EB74" i="1"/>
  <c r="EC74" i="1"/>
  <c r="ED74" i="1"/>
  <c r="EE74" i="1"/>
  <c r="EF74" i="1"/>
  <c r="EG74" i="1"/>
  <c r="EH74" i="1"/>
  <c r="EI74" i="1"/>
  <c r="EJ74" i="1"/>
  <c r="EK74" i="1"/>
  <c r="EL74" i="1"/>
  <c r="DA75" i="1"/>
  <c r="DB75" i="1"/>
  <c r="DC75" i="1"/>
  <c r="DD75" i="1"/>
  <c r="DE75" i="1"/>
  <c r="DF75" i="1"/>
  <c r="DG75" i="1"/>
  <c r="DH75" i="1"/>
  <c r="DI75" i="1"/>
  <c r="DJ75" i="1"/>
  <c r="DK75" i="1"/>
  <c r="DL75" i="1"/>
  <c r="DM75" i="1"/>
  <c r="DN75" i="1"/>
  <c r="DU75" i="1"/>
  <c r="DO75" i="1"/>
  <c r="DV75" i="1"/>
  <c r="DP75" i="1"/>
  <c r="DQ75" i="1"/>
  <c r="DX75" i="1"/>
  <c r="DR75" i="1"/>
  <c r="DY75" i="1"/>
  <c r="DS75" i="1"/>
  <c r="DT75" i="1"/>
  <c r="DW75" i="1"/>
  <c r="DZ75" i="1"/>
  <c r="EA75" i="1"/>
  <c r="EB75" i="1"/>
  <c r="EC75" i="1"/>
  <c r="ED75" i="1"/>
  <c r="EE75" i="1"/>
  <c r="EF75" i="1"/>
  <c r="EG75" i="1"/>
  <c r="EH75" i="1"/>
  <c r="EI75" i="1"/>
  <c r="EJ75" i="1"/>
  <c r="EK75" i="1"/>
  <c r="EL75" i="1"/>
  <c r="DA76" i="1"/>
  <c r="DB76" i="1"/>
  <c r="DC76" i="1"/>
  <c r="DD76" i="1"/>
  <c r="DE76" i="1"/>
  <c r="DF76" i="1"/>
  <c r="DG76" i="1"/>
  <c r="DH76" i="1"/>
  <c r="DI76" i="1"/>
  <c r="DJ76" i="1"/>
  <c r="DK76" i="1"/>
  <c r="DL76" i="1"/>
  <c r="DM76" i="1"/>
  <c r="DN76" i="1"/>
  <c r="DU76" i="1"/>
  <c r="DO76" i="1"/>
  <c r="DV76" i="1"/>
  <c r="DP76" i="1"/>
  <c r="DQ76" i="1"/>
  <c r="DX76" i="1"/>
  <c r="DR76" i="1"/>
  <c r="DY76" i="1"/>
  <c r="DS76" i="1"/>
  <c r="DT76" i="1"/>
  <c r="DW76" i="1"/>
  <c r="DZ76" i="1"/>
  <c r="EA76" i="1"/>
  <c r="EB76" i="1"/>
  <c r="EC76" i="1"/>
  <c r="ED76" i="1"/>
  <c r="EE76" i="1"/>
  <c r="EF76" i="1"/>
  <c r="EG76" i="1"/>
  <c r="EH76" i="1"/>
  <c r="EI76" i="1"/>
  <c r="EJ76" i="1"/>
  <c r="EK76" i="1"/>
  <c r="EL76" i="1"/>
  <c r="DA77" i="1"/>
  <c r="DB77" i="1"/>
  <c r="DC77" i="1"/>
  <c r="DD77" i="1"/>
  <c r="DE77" i="1"/>
  <c r="DF77" i="1"/>
  <c r="DG77" i="1"/>
  <c r="DH77" i="1"/>
  <c r="DI77" i="1"/>
  <c r="DJ77" i="1"/>
  <c r="DK77" i="1"/>
  <c r="DL77" i="1"/>
  <c r="DM77" i="1"/>
  <c r="DN77" i="1"/>
  <c r="DU77" i="1"/>
  <c r="DO77" i="1"/>
  <c r="FB47" i="1"/>
  <c r="FA47" i="1"/>
  <c r="FC47" i="1"/>
  <c r="FD47" i="1"/>
  <c r="FE47" i="1"/>
  <c r="FF47" i="1"/>
  <c r="FB48" i="1"/>
  <c r="FA48" i="1"/>
  <c r="FC48" i="1"/>
  <c r="FD48" i="1"/>
  <c r="FE48" i="1"/>
  <c r="FF48" i="1"/>
  <c r="FB49" i="1"/>
  <c r="FA49" i="1"/>
  <c r="FC49" i="1"/>
  <c r="FD49" i="1"/>
  <c r="FE49" i="1"/>
  <c r="FF49" i="1"/>
  <c r="FB50" i="1"/>
  <c r="FA50" i="1"/>
  <c r="FC50" i="1"/>
  <c r="FD50" i="1"/>
  <c r="FE50" i="1"/>
  <c r="FF50" i="1"/>
  <c r="DV98" i="1"/>
  <c r="FB51" i="1"/>
  <c r="FA51" i="1"/>
  <c r="FC51" i="1"/>
  <c r="FD51" i="1"/>
  <c r="FE51" i="1"/>
  <c r="FF51" i="1"/>
  <c r="DV103" i="1"/>
  <c r="DV99" i="1"/>
  <c r="DV100" i="1"/>
  <c r="DV77" i="1"/>
  <c r="DP77" i="1"/>
  <c r="DQ77" i="1"/>
  <c r="DX77" i="1"/>
  <c r="DR77" i="1"/>
  <c r="DY77" i="1"/>
  <c r="DS77" i="1"/>
  <c r="DT77" i="1"/>
  <c r="DW77" i="1"/>
  <c r="DZ77" i="1"/>
  <c r="EA77" i="1"/>
  <c r="EB77" i="1"/>
  <c r="EC77" i="1"/>
  <c r="ED77" i="1"/>
  <c r="EE77" i="1"/>
  <c r="EF77" i="1"/>
  <c r="EG77" i="1"/>
  <c r="EH77" i="1"/>
  <c r="EI77" i="1"/>
  <c r="EJ77" i="1"/>
  <c r="EK77" i="1"/>
  <c r="EL77" i="1"/>
  <c r="FJ36" i="1"/>
  <c r="FK36" i="1"/>
  <c r="FL36" i="1"/>
  <c r="FM36" i="1"/>
  <c r="DA78" i="1"/>
  <c r="FN36" i="1"/>
  <c r="FO36" i="1"/>
  <c r="FP36" i="1"/>
  <c r="DB78" i="1"/>
  <c r="DC78" i="1"/>
  <c r="ET85" i="1"/>
  <c r="EU85" i="1"/>
  <c r="EV85" i="1"/>
  <c r="EW85" i="1"/>
  <c r="DD78" i="1"/>
  <c r="DE78" i="1"/>
  <c r="ET99" i="1"/>
  <c r="EU99" i="1"/>
  <c r="EV99" i="1"/>
  <c r="EW99" i="1"/>
  <c r="DF78" i="1"/>
  <c r="ET113" i="1"/>
  <c r="EU113" i="1"/>
  <c r="EV113" i="1"/>
  <c r="EW113" i="1"/>
  <c r="DG78" i="1"/>
  <c r="DH78" i="1"/>
  <c r="DK78" i="1"/>
  <c r="DN78" i="1"/>
  <c r="DO78" i="1"/>
  <c r="DP78" i="1"/>
  <c r="DQ78" i="1"/>
  <c r="DR78" i="1"/>
  <c r="DS78" i="1"/>
  <c r="DT78" i="1"/>
  <c r="DW78" i="1"/>
  <c r="DZ78" i="1"/>
  <c r="EA78" i="1"/>
  <c r="EB78" i="1"/>
  <c r="EC78" i="1"/>
  <c r="ED78" i="1"/>
  <c r="EE78" i="1"/>
  <c r="EF78" i="1"/>
  <c r="EG78" i="1"/>
  <c r="EH78" i="1"/>
  <c r="EI78" i="1"/>
  <c r="EJ78" i="1"/>
  <c r="EK78" i="1"/>
  <c r="EL78" i="1"/>
  <c r="DA79" i="1"/>
  <c r="DB79" i="1"/>
  <c r="ET72" i="1"/>
  <c r="EU72" i="1"/>
  <c r="EV72" i="1"/>
  <c r="EW72" i="1"/>
  <c r="DC79" i="1"/>
  <c r="DD79" i="1"/>
  <c r="DE79" i="1"/>
  <c r="DF79" i="1"/>
  <c r="DG79" i="1"/>
  <c r="DH79" i="1"/>
  <c r="ET16" i="1"/>
  <c r="EU16" i="1"/>
  <c r="EV16" i="1"/>
  <c r="EW16" i="1"/>
  <c r="DI88" i="1"/>
  <c r="DI79" i="1"/>
  <c r="ET30" i="1"/>
  <c r="EU30" i="1"/>
  <c r="EV30" i="1"/>
  <c r="EW30" i="1"/>
  <c r="DJ88" i="1"/>
  <c r="DJ79" i="1"/>
  <c r="DK79" i="1"/>
  <c r="ET44" i="1"/>
  <c r="EU44" i="1"/>
  <c r="EV44" i="1"/>
  <c r="EW44" i="1"/>
  <c r="DL88" i="1"/>
  <c r="DL79" i="1"/>
  <c r="ET58" i="1"/>
  <c r="EU58" i="1"/>
  <c r="EV58" i="1"/>
  <c r="EW58" i="1"/>
  <c r="DM88" i="1"/>
  <c r="DM79" i="1"/>
  <c r="DN79" i="1"/>
  <c r="FB23" i="1"/>
  <c r="FA23" i="1"/>
  <c r="FC23" i="1"/>
  <c r="FD23" i="1"/>
  <c r="FE23" i="1"/>
  <c r="FF23" i="1"/>
  <c r="DU83" i="1"/>
  <c r="DU79" i="1"/>
  <c r="DO79" i="1"/>
  <c r="DV83" i="1"/>
  <c r="DV79" i="1"/>
  <c r="DP79" i="1"/>
  <c r="DQ79" i="1"/>
  <c r="EZ71" i="1"/>
  <c r="FB71" i="1"/>
  <c r="FA71" i="1"/>
  <c r="FC71" i="1"/>
  <c r="FD71" i="1"/>
  <c r="FE71" i="1"/>
  <c r="FF71" i="1"/>
  <c r="DX83" i="1"/>
  <c r="DX79" i="1"/>
  <c r="DR79" i="1"/>
  <c r="EZ95" i="1"/>
  <c r="FB95" i="1"/>
  <c r="FA95" i="1"/>
  <c r="FC95" i="1"/>
  <c r="FD95" i="1"/>
  <c r="FE95" i="1"/>
  <c r="FF95" i="1"/>
  <c r="DY83" i="1"/>
  <c r="DY79" i="1"/>
  <c r="DS79" i="1"/>
  <c r="DT79" i="1"/>
  <c r="DW79" i="1"/>
  <c r="DZ79" i="1"/>
  <c r="EA79" i="1"/>
  <c r="EB79" i="1"/>
  <c r="EC79" i="1"/>
  <c r="ED79" i="1"/>
  <c r="EE79" i="1"/>
  <c r="EF79" i="1"/>
  <c r="EG79" i="1"/>
  <c r="EH79" i="1"/>
  <c r="EI79" i="1"/>
  <c r="EJ79" i="1"/>
  <c r="EK79" i="1"/>
  <c r="EL79" i="1"/>
  <c r="DA80" i="1"/>
  <c r="DB80" i="1"/>
  <c r="DC80" i="1"/>
  <c r="DD80" i="1"/>
  <c r="DE80" i="1"/>
  <c r="DF80" i="1"/>
  <c r="DG80" i="1"/>
  <c r="DH80" i="1"/>
  <c r="DI80" i="1"/>
  <c r="DJ80" i="1"/>
  <c r="DK80" i="1"/>
  <c r="DL80" i="1"/>
  <c r="DM80" i="1"/>
  <c r="DN80" i="1"/>
  <c r="DU80" i="1"/>
  <c r="DO80" i="1"/>
  <c r="DV80" i="1"/>
  <c r="DP80" i="1"/>
  <c r="DQ80" i="1"/>
  <c r="DX80" i="1"/>
  <c r="DR80" i="1"/>
  <c r="DY80" i="1"/>
  <c r="DS80" i="1"/>
  <c r="DT80" i="1"/>
  <c r="DW80" i="1"/>
  <c r="DZ80" i="1"/>
  <c r="EA80" i="1"/>
  <c r="EB80" i="1"/>
  <c r="EC80" i="1"/>
  <c r="ED80" i="1"/>
  <c r="EE80" i="1"/>
  <c r="EF80" i="1"/>
  <c r="EG80" i="1"/>
  <c r="EH80" i="1"/>
  <c r="EI80" i="1"/>
  <c r="EJ80" i="1"/>
  <c r="EK80" i="1"/>
  <c r="EL80" i="1"/>
  <c r="DA81" i="1"/>
  <c r="DB81" i="1"/>
  <c r="DC81" i="1"/>
  <c r="DD81" i="1"/>
  <c r="DE81" i="1"/>
  <c r="DF81" i="1"/>
  <c r="DG81" i="1"/>
  <c r="DH81" i="1"/>
  <c r="DI81" i="1"/>
  <c r="DJ81" i="1"/>
  <c r="DK81" i="1"/>
  <c r="DL81" i="1"/>
  <c r="DM81" i="1"/>
  <c r="DN81" i="1"/>
  <c r="DU81" i="1"/>
  <c r="DO81" i="1"/>
  <c r="DV81" i="1"/>
  <c r="DP81" i="1"/>
  <c r="DQ81" i="1"/>
  <c r="DX81" i="1"/>
  <c r="DR81" i="1"/>
  <c r="DY81" i="1"/>
  <c r="DS81" i="1"/>
  <c r="DT81" i="1"/>
  <c r="DW81" i="1"/>
  <c r="DZ81" i="1"/>
  <c r="EA81" i="1"/>
  <c r="EB81" i="1"/>
  <c r="EC81" i="1"/>
  <c r="ED81" i="1"/>
  <c r="EE81" i="1"/>
  <c r="EF81" i="1"/>
  <c r="EG81" i="1"/>
  <c r="EH81" i="1"/>
  <c r="EI81" i="1"/>
  <c r="EJ81" i="1"/>
  <c r="EK81" i="1"/>
  <c r="EL81" i="1"/>
  <c r="DA82" i="1"/>
  <c r="DB82" i="1"/>
  <c r="DC82" i="1"/>
  <c r="DD82" i="1"/>
  <c r="DE82" i="1"/>
  <c r="DF82" i="1"/>
  <c r="DG82" i="1"/>
  <c r="DH82" i="1"/>
  <c r="DI82" i="1"/>
  <c r="DJ82" i="1"/>
  <c r="DK82" i="1"/>
  <c r="DL82" i="1"/>
  <c r="DM82" i="1"/>
  <c r="DN82" i="1"/>
  <c r="DU82" i="1"/>
  <c r="DO82" i="1"/>
  <c r="DV82" i="1"/>
  <c r="DP82" i="1"/>
  <c r="DQ82" i="1"/>
  <c r="DX82" i="1"/>
  <c r="DR82" i="1"/>
  <c r="DY82" i="1"/>
  <c r="DS82" i="1"/>
  <c r="DT82" i="1"/>
  <c r="DW82" i="1"/>
  <c r="DZ82" i="1"/>
  <c r="EA82" i="1"/>
  <c r="EB82" i="1"/>
  <c r="EC82" i="1"/>
  <c r="ED82" i="1"/>
  <c r="EE82" i="1"/>
  <c r="EF82" i="1"/>
  <c r="EG82" i="1"/>
  <c r="EH82" i="1"/>
  <c r="EI82" i="1"/>
  <c r="EJ82" i="1"/>
  <c r="EK82" i="1"/>
  <c r="EL82" i="1"/>
  <c r="FM12" i="1"/>
  <c r="FL12" i="1"/>
  <c r="FN12" i="1"/>
  <c r="FO12" i="1"/>
  <c r="FP12" i="1"/>
  <c r="FJ37" i="1"/>
  <c r="FK37" i="1"/>
  <c r="FL37" i="1"/>
  <c r="FM37" i="1"/>
  <c r="DA83" i="1"/>
  <c r="FM19" i="1"/>
  <c r="FL19" i="1"/>
  <c r="FN19" i="1"/>
  <c r="FO19" i="1"/>
  <c r="FP19" i="1"/>
  <c r="FN37" i="1"/>
  <c r="FO37" i="1"/>
  <c r="FP37" i="1"/>
  <c r="DB83" i="1"/>
  <c r="DC83" i="1"/>
  <c r="DD83" i="1"/>
  <c r="DE83" i="1"/>
  <c r="DF83" i="1"/>
  <c r="DG83" i="1"/>
  <c r="DH83" i="1"/>
  <c r="DI83" i="1"/>
  <c r="DJ83" i="1"/>
  <c r="DK83" i="1"/>
  <c r="DL83" i="1"/>
  <c r="DM83" i="1"/>
  <c r="DN83" i="1"/>
  <c r="DO83" i="1"/>
  <c r="DP83" i="1"/>
  <c r="DQ83" i="1"/>
  <c r="DR83" i="1"/>
  <c r="DS83" i="1"/>
  <c r="DT83" i="1"/>
  <c r="DW83" i="1"/>
  <c r="DZ83" i="1"/>
  <c r="EA83" i="1"/>
  <c r="EB83" i="1"/>
  <c r="EC83" i="1"/>
  <c r="ED83" i="1"/>
  <c r="EE83" i="1"/>
  <c r="EF83" i="1"/>
  <c r="EG83" i="1"/>
  <c r="EH83" i="1"/>
  <c r="EI83" i="1"/>
  <c r="EJ83" i="1"/>
  <c r="EK83" i="1"/>
  <c r="EL83" i="1"/>
  <c r="DA84" i="1"/>
  <c r="DB84" i="1"/>
  <c r="DC84" i="1"/>
  <c r="DD84" i="1"/>
  <c r="DE84" i="1"/>
  <c r="DF84" i="1"/>
  <c r="DG84" i="1"/>
  <c r="DH84" i="1"/>
  <c r="DI84" i="1"/>
  <c r="DJ84" i="1"/>
  <c r="DK84" i="1"/>
  <c r="DL84" i="1"/>
  <c r="DM84" i="1"/>
  <c r="DN84" i="1"/>
  <c r="FB24" i="1"/>
  <c r="FA24" i="1"/>
  <c r="FC24" i="1"/>
  <c r="FD24" i="1"/>
  <c r="FE24" i="1"/>
  <c r="FF24" i="1"/>
  <c r="DU88" i="1"/>
  <c r="DU84" i="1"/>
  <c r="DO84" i="1"/>
  <c r="DV88" i="1"/>
  <c r="DV84" i="1"/>
  <c r="DP84" i="1"/>
  <c r="DQ84" i="1"/>
  <c r="EZ72" i="1"/>
  <c r="FB72" i="1"/>
  <c r="FA72" i="1"/>
  <c r="FC72" i="1"/>
  <c r="FD72" i="1"/>
  <c r="FE72" i="1"/>
  <c r="FF72" i="1"/>
  <c r="DX88" i="1"/>
  <c r="DX84" i="1"/>
  <c r="DR84" i="1"/>
  <c r="EZ96" i="1"/>
  <c r="FB96" i="1"/>
  <c r="FA96" i="1"/>
  <c r="FC96" i="1"/>
  <c r="FD96" i="1"/>
  <c r="FE96" i="1"/>
  <c r="FF96" i="1"/>
  <c r="DY88" i="1"/>
  <c r="DY84" i="1"/>
  <c r="DS84" i="1"/>
  <c r="DT84" i="1"/>
  <c r="DW84" i="1"/>
  <c r="DZ84" i="1"/>
  <c r="EA84" i="1"/>
  <c r="EB84" i="1"/>
  <c r="EC84" i="1"/>
  <c r="ED84" i="1"/>
  <c r="EE84" i="1"/>
  <c r="EF84" i="1"/>
  <c r="EG84" i="1"/>
  <c r="EH84" i="1"/>
  <c r="EI84" i="1"/>
  <c r="EJ84" i="1"/>
  <c r="EK84" i="1"/>
  <c r="EL84" i="1"/>
  <c r="DA85" i="1"/>
  <c r="DB85" i="1"/>
  <c r="DC85" i="1"/>
  <c r="DD85" i="1"/>
  <c r="DE85" i="1"/>
  <c r="DF85" i="1"/>
  <c r="DG85" i="1"/>
  <c r="DH85" i="1"/>
  <c r="DI85" i="1"/>
  <c r="DJ85" i="1"/>
  <c r="DK85" i="1"/>
  <c r="DL85" i="1"/>
  <c r="DM85" i="1"/>
  <c r="DN85" i="1"/>
  <c r="DU85" i="1"/>
  <c r="DO85" i="1"/>
  <c r="DV85" i="1"/>
  <c r="DP85" i="1"/>
  <c r="DQ85" i="1"/>
  <c r="DX85" i="1"/>
  <c r="DR85" i="1"/>
  <c r="DY85" i="1"/>
  <c r="DS85" i="1"/>
  <c r="DT85" i="1"/>
  <c r="DW85" i="1"/>
  <c r="DZ85" i="1"/>
  <c r="EA85" i="1"/>
  <c r="EB85" i="1"/>
  <c r="EC85" i="1"/>
  <c r="ED85" i="1"/>
  <c r="EE85" i="1"/>
  <c r="EF85" i="1"/>
  <c r="EG85" i="1"/>
  <c r="EH85" i="1"/>
  <c r="EI85" i="1"/>
  <c r="EJ85" i="1"/>
  <c r="EK85" i="1"/>
  <c r="EL85" i="1"/>
  <c r="DA86" i="1"/>
  <c r="DB86" i="1"/>
  <c r="DC86" i="1"/>
  <c r="DD86" i="1"/>
  <c r="DE86" i="1"/>
  <c r="DF86" i="1"/>
  <c r="DG86" i="1"/>
  <c r="DH86" i="1"/>
  <c r="DI86" i="1"/>
  <c r="DJ86" i="1"/>
  <c r="DK86" i="1"/>
  <c r="DL86" i="1"/>
  <c r="DM86" i="1"/>
  <c r="DN86" i="1"/>
  <c r="DU86" i="1"/>
  <c r="DO86" i="1"/>
  <c r="DV86" i="1"/>
  <c r="DP86" i="1"/>
  <c r="DQ86" i="1"/>
  <c r="DX86" i="1"/>
  <c r="DR86" i="1"/>
  <c r="DY86" i="1"/>
  <c r="DS86" i="1"/>
  <c r="DT86" i="1"/>
  <c r="DW86" i="1"/>
  <c r="DZ86" i="1"/>
  <c r="EA86" i="1"/>
  <c r="EB86" i="1"/>
  <c r="EC86" i="1"/>
  <c r="ED86" i="1"/>
  <c r="EE86" i="1"/>
  <c r="EF86" i="1"/>
  <c r="EG86" i="1"/>
  <c r="EH86" i="1"/>
  <c r="EI86" i="1"/>
  <c r="EJ86" i="1"/>
  <c r="EK86" i="1"/>
  <c r="EL86" i="1"/>
  <c r="DA87" i="1"/>
  <c r="DB87" i="1"/>
  <c r="DC87" i="1"/>
  <c r="DD87" i="1"/>
  <c r="DE87" i="1"/>
  <c r="DF87" i="1"/>
  <c r="DG87" i="1"/>
  <c r="DH87" i="1"/>
  <c r="DI87" i="1"/>
  <c r="DJ87" i="1"/>
  <c r="DK87" i="1"/>
  <c r="DL87" i="1"/>
  <c r="DM87" i="1"/>
  <c r="DN87" i="1"/>
  <c r="DU87" i="1"/>
  <c r="DO87" i="1"/>
  <c r="DV87" i="1"/>
  <c r="DP87" i="1"/>
  <c r="DQ87" i="1"/>
  <c r="DX87" i="1"/>
  <c r="DR87" i="1"/>
  <c r="DY87" i="1"/>
  <c r="DS87" i="1"/>
  <c r="DT87" i="1"/>
  <c r="DW87" i="1"/>
  <c r="DZ87" i="1"/>
  <c r="EA87" i="1"/>
  <c r="EB87" i="1"/>
  <c r="EC87" i="1"/>
  <c r="ED87" i="1"/>
  <c r="EE87" i="1"/>
  <c r="EF87" i="1"/>
  <c r="EG87" i="1"/>
  <c r="EH87" i="1"/>
  <c r="EI87" i="1"/>
  <c r="EJ87" i="1"/>
  <c r="EK87" i="1"/>
  <c r="EL87" i="1"/>
  <c r="FJ38" i="1"/>
  <c r="FK38" i="1"/>
  <c r="FL38" i="1"/>
  <c r="FM38" i="1"/>
  <c r="DA88" i="1"/>
  <c r="FN38" i="1"/>
  <c r="FO38" i="1"/>
  <c r="FP38" i="1"/>
  <c r="DB88" i="1"/>
  <c r="DC88" i="1"/>
  <c r="ET86" i="1"/>
  <c r="EU86" i="1"/>
  <c r="EV86" i="1"/>
  <c r="EW86" i="1"/>
  <c r="DD88" i="1"/>
  <c r="DE88" i="1"/>
  <c r="ET100" i="1"/>
  <c r="EU100" i="1"/>
  <c r="EV100" i="1"/>
  <c r="EW100" i="1"/>
  <c r="DF88" i="1"/>
  <c r="ET114" i="1"/>
  <c r="EU114" i="1"/>
  <c r="EV114" i="1"/>
  <c r="EW114" i="1"/>
  <c r="DG88" i="1"/>
  <c r="DH88" i="1"/>
  <c r="DK88" i="1"/>
  <c r="DN88" i="1"/>
  <c r="DO88" i="1"/>
  <c r="DP88" i="1"/>
  <c r="DQ88" i="1"/>
  <c r="DR88" i="1"/>
  <c r="DS88" i="1"/>
  <c r="DT88" i="1"/>
  <c r="DW88" i="1"/>
  <c r="DZ88" i="1"/>
  <c r="EA88" i="1"/>
  <c r="EB88" i="1"/>
  <c r="EC88" i="1"/>
  <c r="ED88" i="1"/>
  <c r="EE88" i="1"/>
  <c r="EF88" i="1"/>
  <c r="EG88" i="1"/>
  <c r="EH88" i="1"/>
  <c r="EI88" i="1"/>
  <c r="EJ88" i="1"/>
  <c r="EK88" i="1"/>
  <c r="EL88" i="1"/>
  <c r="DA89" i="1"/>
  <c r="DB89" i="1"/>
  <c r="EQ73" i="1"/>
  <c r="ES73" i="1"/>
  <c r="ER73" i="1"/>
  <c r="ET73" i="1"/>
  <c r="EU73" i="1"/>
  <c r="EV73" i="1"/>
  <c r="EW73" i="1"/>
  <c r="DC89" i="1"/>
  <c r="DD89" i="1"/>
  <c r="DE89" i="1"/>
  <c r="DF89" i="1"/>
  <c r="DG89" i="1"/>
  <c r="DH89" i="1"/>
  <c r="ET17" i="1"/>
  <c r="EU17" i="1"/>
  <c r="EV17" i="1"/>
  <c r="EW17" i="1"/>
  <c r="DI98" i="1"/>
  <c r="DI89" i="1"/>
  <c r="ET31" i="1"/>
  <c r="EU31" i="1"/>
  <c r="EV31" i="1"/>
  <c r="EW31" i="1"/>
  <c r="DJ98" i="1"/>
  <c r="DJ89" i="1"/>
  <c r="DK89" i="1"/>
  <c r="ET45" i="1"/>
  <c r="EU45" i="1"/>
  <c r="EV45" i="1"/>
  <c r="EW45" i="1"/>
  <c r="DL98" i="1"/>
  <c r="DL89" i="1"/>
  <c r="ET59" i="1"/>
  <c r="EU59" i="1"/>
  <c r="EV59" i="1"/>
  <c r="EW59" i="1"/>
  <c r="DM98" i="1"/>
  <c r="DM89" i="1"/>
  <c r="DN89" i="1"/>
  <c r="FB25" i="1"/>
  <c r="FA25" i="1"/>
  <c r="FC25" i="1"/>
  <c r="FD25" i="1"/>
  <c r="FE25" i="1"/>
  <c r="FF25" i="1"/>
  <c r="DU93" i="1"/>
  <c r="DU89" i="1"/>
  <c r="DO89" i="1"/>
  <c r="DV93" i="1"/>
  <c r="DV89" i="1"/>
  <c r="DP89" i="1"/>
  <c r="DQ89" i="1"/>
  <c r="EZ73" i="1"/>
  <c r="FB73" i="1"/>
  <c r="FA73" i="1"/>
  <c r="FC73" i="1"/>
  <c r="FD73" i="1"/>
  <c r="FE73" i="1"/>
  <c r="FF73" i="1"/>
  <c r="DX93" i="1"/>
  <c r="DX89" i="1"/>
  <c r="DR89" i="1"/>
  <c r="EZ97" i="1"/>
  <c r="FB97" i="1"/>
  <c r="FA97" i="1"/>
  <c r="FC97" i="1"/>
  <c r="FD97" i="1"/>
  <c r="FE97" i="1"/>
  <c r="FF97" i="1"/>
  <c r="DY93" i="1"/>
  <c r="DY89" i="1"/>
  <c r="DS89" i="1"/>
  <c r="DT89" i="1"/>
  <c r="DW89" i="1"/>
  <c r="DZ89" i="1"/>
  <c r="EA89" i="1"/>
  <c r="EB89" i="1"/>
  <c r="EC89" i="1"/>
  <c r="ED89" i="1"/>
  <c r="EE89" i="1"/>
  <c r="EF89" i="1"/>
  <c r="EG89" i="1"/>
  <c r="EH89" i="1"/>
  <c r="EI89" i="1"/>
  <c r="EJ89" i="1"/>
  <c r="EK89" i="1"/>
  <c r="EL89" i="1"/>
  <c r="DA90" i="1"/>
  <c r="DB90" i="1"/>
  <c r="DC90" i="1"/>
  <c r="DD90" i="1"/>
  <c r="DE90" i="1"/>
  <c r="DF90" i="1"/>
  <c r="DG90" i="1"/>
  <c r="DH90" i="1"/>
  <c r="DI90" i="1"/>
  <c r="DJ90" i="1"/>
  <c r="DK90" i="1"/>
  <c r="DL90" i="1"/>
  <c r="DM90" i="1"/>
  <c r="DN90" i="1"/>
  <c r="DU90" i="1"/>
  <c r="DO90" i="1"/>
  <c r="DV90" i="1"/>
  <c r="DP90" i="1"/>
  <c r="DQ90" i="1"/>
  <c r="DX90" i="1"/>
  <c r="DR90" i="1"/>
  <c r="DY90" i="1"/>
  <c r="DS90" i="1"/>
  <c r="DT90" i="1"/>
  <c r="DW90" i="1"/>
  <c r="DZ90" i="1"/>
  <c r="EA90" i="1"/>
  <c r="EB90" i="1"/>
  <c r="EC90" i="1"/>
  <c r="ED90" i="1"/>
  <c r="EE90" i="1"/>
  <c r="EF90" i="1"/>
  <c r="EG90" i="1"/>
  <c r="EH90" i="1"/>
  <c r="EI90" i="1"/>
  <c r="EJ90" i="1"/>
  <c r="EK90" i="1"/>
  <c r="EL90" i="1"/>
  <c r="DA91" i="1"/>
  <c r="DB91" i="1"/>
  <c r="DC91" i="1"/>
  <c r="DD91" i="1"/>
  <c r="DE91" i="1"/>
  <c r="DF91" i="1"/>
  <c r="DG91" i="1"/>
  <c r="DH91" i="1"/>
  <c r="DI91" i="1"/>
  <c r="DJ91" i="1"/>
  <c r="DK91" i="1"/>
  <c r="DL91" i="1"/>
  <c r="DM91" i="1"/>
  <c r="DN91" i="1"/>
  <c r="DU91" i="1"/>
  <c r="DO91" i="1"/>
  <c r="DV91" i="1"/>
  <c r="DP91" i="1"/>
  <c r="DQ91" i="1"/>
  <c r="DX91" i="1"/>
  <c r="DR91" i="1"/>
  <c r="DY91" i="1"/>
  <c r="DS91" i="1"/>
  <c r="DT91" i="1"/>
  <c r="DW91" i="1"/>
  <c r="DZ91" i="1"/>
  <c r="EA91" i="1"/>
  <c r="EB91" i="1"/>
  <c r="EC91" i="1"/>
  <c r="ED91" i="1"/>
  <c r="EE91" i="1"/>
  <c r="EF91" i="1"/>
  <c r="EG91" i="1"/>
  <c r="EH91" i="1"/>
  <c r="EI91" i="1"/>
  <c r="EJ91" i="1"/>
  <c r="EK91" i="1"/>
  <c r="EL91" i="1"/>
  <c r="DA92" i="1"/>
  <c r="DB92" i="1"/>
  <c r="DC92" i="1"/>
  <c r="DD92" i="1"/>
  <c r="DE92" i="1"/>
  <c r="DF92" i="1"/>
  <c r="DG92" i="1"/>
  <c r="DH92" i="1"/>
  <c r="DI92" i="1"/>
  <c r="DJ92" i="1"/>
  <c r="DK92" i="1"/>
  <c r="DL92" i="1"/>
  <c r="DM92" i="1"/>
  <c r="DN92" i="1"/>
  <c r="DU92" i="1"/>
  <c r="DO92" i="1"/>
  <c r="DV92" i="1"/>
  <c r="DP92" i="1"/>
  <c r="DQ92" i="1"/>
  <c r="DX92" i="1"/>
  <c r="DR92" i="1"/>
  <c r="DY92" i="1"/>
  <c r="DS92" i="1"/>
  <c r="DT92" i="1"/>
  <c r="DW92" i="1"/>
  <c r="DZ92" i="1"/>
  <c r="EA92" i="1"/>
  <c r="EB92" i="1"/>
  <c r="EC92" i="1"/>
  <c r="ED92" i="1"/>
  <c r="EE92" i="1"/>
  <c r="EF92" i="1"/>
  <c r="EG92" i="1"/>
  <c r="EH92" i="1"/>
  <c r="EI92" i="1"/>
  <c r="EJ92" i="1"/>
  <c r="EK92" i="1"/>
  <c r="EL92" i="1"/>
  <c r="FJ39" i="1"/>
  <c r="FK39" i="1"/>
  <c r="FL39" i="1"/>
  <c r="FM39" i="1"/>
  <c r="DA93" i="1"/>
  <c r="FN39" i="1"/>
  <c r="FO39" i="1"/>
  <c r="FP39" i="1"/>
  <c r="DB93" i="1"/>
  <c r="DC93" i="1"/>
  <c r="DD93" i="1"/>
  <c r="DE93" i="1"/>
  <c r="DF93" i="1"/>
  <c r="DG93" i="1"/>
  <c r="DH93" i="1"/>
  <c r="DI93" i="1"/>
  <c r="DJ93" i="1"/>
  <c r="DK93" i="1"/>
  <c r="DL93" i="1"/>
  <c r="DM93" i="1"/>
  <c r="DN93" i="1"/>
  <c r="DO93" i="1"/>
  <c r="DP93" i="1"/>
  <c r="DQ93" i="1"/>
  <c r="DR93" i="1"/>
  <c r="DS93" i="1"/>
  <c r="DT93" i="1"/>
  <c r="DW93" i="1"/>
  <c r="DZ93" i="1"/>
  <c r="EA93" i="1"/>
  <c r="EB93" i="1"/>
  <c r="EC93" i="1"/>
  <c r="ED93" i="1"/>
  <c r="EE93" i="1"/>
  <c r="EF93" i="1"/>
  <c r="EG93" i="1"/>
  <c r="EH93" i="1"/>
  <c r="EI93" i="1"/>
  <c r="EJ93" i="1"/>
  <c r="EK93" i="1"/>
  <c r="EL93" i="1"/>
  <c r="DA94" i="1"/>
  <c r="DB94" i="1"/>
  <c r="DC94" i="1"/>
  <c r="DD94" i="1"/>
  <c r="DE94" i="1"/>
  <c r="DF94" i="1"/>
  <c r="DG94" i="1"/>
  <c r="DH94" i="1"/>
  <c r="DI94" i="1"/>
  <c r="DJ94" i="1"/>
  <c r="DK94" i="1"/>
  <c r="DL94" i="1"/>
  <c r="DM94" i="1"/>
  <c r="DN94" i="1"/>
  <c r="FB26" i="1"/>
  <c r="FA26" i="1"/>
  <c r="FC26" i="1"/>
  <c r="FD26" i="1"/>
  <c r="FE26" i="1"/>
  <c r="FF26" i="1"/>
  <c r="DU98" i="1"/>
  <c r="DU94" i="1"/>
  <c r="DO94" i="1"/>
  <c r="DV94" i="1"/>
  <c r="DP94" i="1"/>
  <c r="DQ94" i="1"/>
  <c r="EZ74" i="1"/>
  <c r="FB74" i="1"/>
  <c r="FA74" i="1"/>
  <c r="FC74" i="1"/>
  <c r="FD74" i="1"/>
  <c r="FE74" i="1"/>
  <c r="FF74" i="1"/>
  <c r="DX98" i="1"/>
  <c r="DX94" i="1"/>
  <c r="DR94" i="1"/>
  <c r="EZ98" i="1"/>
  <c r="FB98" i="1"/>
  <c r="FA98" i="1"/>
  <c r="FC98" i="1"/>
  <c r="FD98" i="1"/>
  <c r="FE98" i="1"/>
  <c r="FF98" i="1"/>
  <c r="DY98" i="1"/>
  <c r="DY94" i="1"/>
  <c r="DS94" i="1"/>
  <c r="DT94" i="1"/>
  <c r="DW94" i="1"/>
  <c r="DZ94" i="1"/>
  <c r="EA94" i="1"/>
  <c r="EB94" i="1"/>
  <c r="EC94" i="1"/>
  <c r="ED94" i="1"/>
  <c r="EE94" i="1"/>
  <c r="EF94" i="1"/>
  <c r="EG94" i="1"/>
  <c r="EH94" i="1"/>
  <c r="EI94" i="1"/>
  <c r="EJ94" i="1"/>
  <c r="EK94" i="1"/>
  <c r="EL94" i="1"/>
  <c r="DA95" i="1"/>
  <c r="DB95" i="1"/>
  <c r="DC95" i="1"/>
  <c r="DD95" i="1"/>
  <c r="DE95" i="1"/>
  <c r="DF95" i="1"/>
  <c r="DG95" i="1"/>
  <c r="DH95" i="1"/>
  <c r="DI95" i="1"/>
  <c r="DJ95" i="1"/>
  <c r="DK95" i="1"/>
  <c r="DL95" i="1"/>
  <c r="DM95" i="1"/>
  <c r="DN95" i="1"/>
  <c r="DU95" i="1"/>
  <c r="DO95" i="1"/>
  <c r="DV95" i="1"/>
  <c r="DP95" i="1"/>
  <c r="DQ95" i="1"/>
  <c r="DX95" i="1"/>
  <c r="DR95" i="1"/>
  <c r="DY95" i="1"/>
  <c r="DS95" i="1"/>
  <c r="DT95" i="1"/>
  <c r="DW95" i="1"/>
  <c r="DZ95" i="1"/>
  <c r="EA95" i="1"/>
  <c r="EB95" i="1"/>
  <c r="EC95" i="1"/>
  <c r="ED95" i="1"/>
  <c r="EE95" i="1"/>
  <c r="EF95" i="1"/>
  <c r="EG95" i="1"/>
  <c r="EH95" i="1"/>
  <c r="EI95" i="1"/>
  <c r="EJ95" i="1"/>
  <c r="EK95" i="1"/>
  <c r="EL95" i="1"/>
  <c r="DA96" i="1"/>
  <c r="DB96" i="1"/>
  <c r="DC96" i="1"/>
  <c r="DD96" i="1"/>
  <c r="DE96" i="1"/>
  <c r="DF96" i="1"/>
  <c r="DG96" i="1"/>
  <c r="DH96" i="1"/>
  <c r="DI96" i="1"/>
  <c r="DJ96" i="1"/>
  <c r="DK96" i="1"/>
  <c r="DL96" i="1"/>
  <c r="DM96" i="1"/>
  <c r="DN96" i="1"/>
  <c r="DU96" i="1"/>
  <c r="DO96" i="1"/>
  <c r="DV96" i="1"/>
  <c r="DP96" i="1"/>
  <c r="DQ96" i="1"/>
  <c r="DX96" i="1"/>
  <c r="DR96" i="1"/>
  <c r="DY96" i="1"/>
  <c r="DS96" i="1"/>
  <c r="DT96" i="1"/>
  <c r="DW96" i="1"/>
  <c r="DZ96" i="1"/>
  <c r="EA96" i="1"/>
  <c r="EB96" i="1"/>
  <c r="EC96" i="1"/>
  <c r="ED96" i="1"/>
  <c r="EE96" i="1"/>
  <c r="EF96" i="1"/>
  <c r="EG96" i="1"/>
  <c r="EH96" i="1"/>
  <c r="EI96" i="1"/>
  <c r="EJ96" i="1"/>
  <c r="EK96" i="1"/>
  <c r="EL96" i="1"/>
  <c r="DA97" i="1"/>
  <c r="DB97" i="1"/>
  <c r="DC97" i="1"/>
  <c r="DD97" i="1"/>
  <c r="DE97" i="1"/>
  <c r="DF97" i="1"/>
  <c r="DG97" i="1"/>
  <c r="DH97" i="1"/>
  <c r="DI97" i="1"/>
  <c r="DJ97" i="1"/>
  <c r="DK97" i="1"/>
  <c r="DL97" i="1"/>
  <c r="DM97" i="1"/>
  <c r="DN97" i="1"/>
  <c r="DU97" i="1"/>
  <c r="DO97" i="1"/>
  <c r="DV97" i="1"/>
  <c r="DP97" i="1"/>
  <c r="DQ97" i="1"/>
  <c r="DX97" i="1"/>
  <c r="DR97" i="1"/>
  <c r="DY97" i="1"/>
  <c r="DS97" i="1"/>
  <c r="DT97" i="1"/>
  <c r="DW97" i="1"/>
  <c r="DZ97" i="1"/>
  <c r="EA97" i="1"/>
  <c r="EB97" i="1"/>
  <c r="EC97" i="1"/>
  <c r="ED97" i="1"/>
  <c r="EE97" i="1"/>
  <c r="EF97" i="1"/>
  <c r="EG97" i="1"/>
  <c r="EH97" i="1"/>
  <c r="EI97" i="1"/>
  <c r="EJ97" i="1"/>
  <c r="EK97" i="1"/>
  <c r="EL97" i="1"/>
  <c r="FJ40" i="1"/>
  <c r="FK40" i="1"/>
  <c r="FL40" i="1"/>
  <c r="FM40" i="1"/>
  <c r="DA98" i="1"/>
  <c r="FN40" i="1"/>
  <c r="FO40" i="1"/>
  <c r="FP40" i="1"/>
  <c r="DB98" i="1"/>
  <c r="DC98" i="1"/>
  <c r="EQ87" i="1"/>
  <c r="ES87" i="1"/>
  <c r="ER87" i="1"/>
  <c r="ET87" i="1"/>
  <c r="EU87" i="1"/>
  <c r="EV87" i="1"/>
  <c r="EW87" i="1"/>
  <c r="DD98" i="1"/>
  <c r="DE98" i="1"/>
  <c r="EQ101" i="1"/>
  <c r="ES101" i="1"/>
  <c r="ER101" i="1"/>
  <c r="ET101" i="1"/>
  <c r="EU101" i="1"/>
  <c r="EV101" i="1"/>
  <c r="EW101" i="1"/>
  <c r="DF98" i="1"/>
  <c r="EQ115" i="1"/>
  <c r="ES115" i="1"/>
  <c r="ER115" i="1"/>
  <c r="ET115" i="1"/>
  <c r="EU115" i="1"/>
  <c r="EV115" i="1"/>
  <c r="EW115" i="1"/>
  <c r="DG98" i="1"/>
  <c r="DH98" i="1"/>
  <c r="DK98" i="1"/>
  <c r="DN98" i="1"/>
  <c r="DO98" i="1"/>
  <c r="DP98" i="1"/>
  <c r="DQ98" i="1"/>
  <c r="DR98" i="1"/>
  <c r="DS98" i="1"/>
  <c r="DT98" i="1"/>
  <c r="DW98" i="1"/>
  <c r="DZ98" i="1"/>
  <c r="EA98" i="1"/>
  <c r="EB98" i="1"/>
  <c r="EC98" i="1"/>
  <c r="ED98" i="1"/>
  <c r="EE98" i="1"/>
  <c r="EF98" i="1"/>
  <c r="EG98" i="1"/>
  <c r="EH98" i="1"/>
  <c r="EI98" i="1"/>
  <c r="EJ98" i="1"/>
  <c r="EK98" i="1"/>
  <c r="EL98" i="1"/>
  <c r="DA99" i="1"/>
  <c r="DB99" i="1"/>
  <c r="DC99" i="1"/>
  <c r="DD99" i="1"/>
  <c r="DE99" i="1"/>
  <c r="DF99" i="1"/>
  <c r="DG99" i="1"/>
  <c r="DH99" i="1"/>
  <c r="ET18" i="1"/>
  <c r="EU18" i="1"/>
  <c r="EV18" i="1"/>
  <c r="EW18" i="1"/>
  <c r="DI108" i="1"/>
  <c r="DI99" i="1"/>
  <c r="ET32" i="1"/>
  <c r="EU32" i="1"/>
  <c r="EV32" i="1"/>
  <c r="EW32" i="1"/>
  <c r="DJ108" i="1"/>
  <c r="DJ99" i="1"/>
  <c r="DK99" i="1"/>
  <c r="ET46" i="1"/>
  <c r="EU46" i="1"/>
  <c r="EV46" i="1"/>
  <c r="EW46" i="1"/>
  <c r="DL108" i="1"/>
  <c r="DL99" i="1"/>
  <c r="ET60" i="1"/>
  <c r="EU60" i="1"/>
  <c r="EV60" i="1"/>
  <c r="EW60" i="1"/>
  <c r="DM108" i="1"/>
  <c r="DM99" i="1"/>
  <c r="DN99" i="1"/>
  <c r="FB27" i="1"/>
  <c r="FA27" i="1"/>
  <c r="FC27" i="1"/>
  <c r="FD27" i="1"/>
  <c r="FE27" i="1"/>
  <c r="FF27" i="1"/>
  <c r="DU103" i="1"/>
  <c r="DU99" i="1"/>
  <c r="DO99" i="1"/>
  <c r="DP99" i="1"/>
  <c r="DQ99" i="1"/>
  <c r="EZ75" i="1"/>
  <c r="FB75" i="1"/>
  <c r="FA75" i="1"/>
  <c r="FC75" i="1"/>
  <c r="FD75" i="1"/>
  <c r="FE75" i="1"/>
  <c r="FF75" i="1"/>
  <c r="DX103" i="1"/>
  <c r="DX99" i="1"/>
  <c r="DR99" i="1"/>
  <c r="EZ99" i="1"/>
  <c r="FB99" i="1"/>
  <c r="FA99" i="1"/>
  <c r="FC99" i="1"/>
  <c r="FD99" i="1"/>
  <c r="FE99" i="1"/>
  <c r="FF99" i="1"/>
  <c r="DY103" i="1"/>
  <c r="DY99" i="1"/>
  <c r="DS99" i="1"/>
  <c r="DT99" i="1"/>
  <c r="DW99" i="1"/>
  <c r="DZ99" i="1"/>
  <c r="EA99" i="1"/>
  <c r="EB99" i="1"/>
  <c r="EC99" i="1"/>
  <c r="ED99" i="1"/>
  <c r="EE99" i="1"/>
  <c r="EF99" i="1"/>
  <c r="EG99" i="1"/>
  <c r="EH99" i="1"/>
  <c r="EI99" i="1"/>
  <c r="EJ99" i="1"/>
  <c r="EK99" i="1"/>
  <c r="EL99" i="1"/>
  <c r="DA100" i="1"/>
  <c r="DB100" i="1"/>
  <c r="DC100" i="1"/>
  <c r="DD100" i="1"/>
  <c r="DE100" i="1"/>
  <c r="DF100" i="1"/>
  <c r="DG100" i="1"/>
  <c r="DH100" i="1"/>
  <c r="DI100" i="1"/>
  <c r="DJ100" i="1"/>
  <c r="DK100" i="1"/>
  <c r="DL100" i="1"/>
  <c r="DM100" i="1"/>
  <c r="DN100" i="1"/>
  <c r="DU100" i="1"/>
  <c r="DO100" i="1"/>
  <c r="DP100" i="1"/>
  <c r="DQ100" i="1"/>
  <c r="DX100" i="1"/>
  <c r="DR100" i="1"/>
  <c r="DY100" i="1"/>
  <c r="DS100" i="1"/>
  <c r="DT100" i="1"/>
  <c r="DW100" i="1"/>
  <c r="DZ100" i="1"/>
  <c r="EA100" i="1"/>
  <c r="EB100" i="1"/>
  <c r="EC100" i="1"/>
  <c r="ED100" i="1"/>
  <c r="EE100" i="1"/>
  <c r="EF100" i="1"/>
  <c r="EG100" i="1"/>
  <c r="EH100" i="1"/>
  <c r="EI100" i="1"/>
  <c r="EJ100" i="1"/>
  <c r="EK100" i="1"/>
  <c r="EL100" i="1"/>
  <c r="DA101" i="1"/>
  <c r="DB101" i="1"/>
  <c r="DC101" i="1"/>
  <c r="DD101" i="1"/>
  <c r="DE101" i="1"/>
  <c r="DF101" i="1"/>
  <c r="DG101" i="1"/>
  <c r="DH101" i="1"/>
  <c r="DI101" i="1"/>
  <c r="DJ101" i="1"/>
  <c r="DK101" i="1"/>
  <c r="DL101" i="1"/>
  <c r="DM101" i="1"/>
  <c r="DN101" i="1"/>
  <c r="DU101" i="1"/>
  <c r="DO101" i="1"/>
  <c r="DV101" i="1"/>
  <c r="DP101" i="1"/>
  <c r="DQ101" i="1"/>
  <c r="DX101" i="1"/>
  <c r="DR101" i="1"/>
  <c r="DY101" i="1"/>
  <c r="DS101" i="1"/>
  <c r="DT101" i="1"/>
  <c r="DW101" i="1"/>
  <c r="DZ101" i="1"/>
  <c r="EA101" i="1"/>
  <c r="EB101" i="1"/>
  <c r="EC101" i="1"/>
  <c r="ED101" i="1"/>
  <c r="EE101" i="1"/>
  <c r="EF101" i="1"/>
  <c r="EG101" i="1"/>
  <c r="EH101" i="1"/>
  <c r="EI101" i="1"/>
  <c r="EJ101" i="1"/>
  <c r="EK101" i="1"/>
  <c r="EL101" i="1"/>
  <c r="DA102" i="1"/>
  <c r="DB102" i="1"/>
  <c r="DC102" i="1"/>
  <c r="DD102" i="1"/>
  <c r="DE102" i="1"/>
  <c r="DF102" i="1"/>
  <c r="DG102" i="1"/>
  <c r="DH102" i="1"/>
  <c r="DI102" i="1"/>
  <c r="DJ102" i="1"/>
  <c r="DK102" i="1"/>
  <c r="DL102" i="1"/>
  <c r="DM102" i="1"/>
  <c r="DN102" i="1"/>
  <c r="DU102" i="1"/>
  <c r="DO102" i="1"/>
  <c r="DV102" i="1"/>
  <c r="DP102" i="1"/>
  <c r="DQ102" i="1"/>
  <c r="DX102" i="1"/>
  <c r="DR102" i="1"/>
  <c r="DY102" i="1"/>
  <c r="DS102" i="1"/>
  <c r="DT102" i="1"/>
  <c r="DW102" i="1"/>
  <c r="DZ102" i="1"/>
  <c r="EA102" i="1"/>
  <c r="EB102" i="1"/>
  <c r="EC102" i="1"/>
  <c r="ED102" i="1"/>
  <c r="EE102" i="1"/>
  <c r="EF102" i="1"/>
  <c r="EG102" i="1"/>
  <c r="EH102" i="1"/>
  <c r="EI102" i="1"/>
  <c r="EJ102" i="1"/>
  <c r="EK102" i="1"/>
  <c r="EL102" i="1"/>
  <c r="FJ41" i="1"/>
  <c r="FK41" i="1"/>
  <c r="FL41" i="1"/>
  <c r="FM41" i="1"/>
  <c r="DA103" i="1"/>
  <c r="FN41" i="1"/>
  <c r="FO41" i="1"/>
  <c r="FP41" i="1"/>
  <c r="DB103" i="1"/>
  <c r="DC103" i="1"/>
  <c r="DD103" i="1"/>
  <c r="DE103" i="1"/>
  <c r="DF103" i="1"/>
  <c r="DG103" i="1"/>
  <c r="DH103" i="1"/>
  <c r="DI103" i="1"/>
  <c r="DJ103" i="1"/>
  <c r="DK103" i="1"/>
  <c r="DL103" i="1"/>
  <c r="DM103" i="1"/>
  <c r="DN103" i="1"/>
  <c r="DO103" i="1"/>
  <c r="DP103" i="1"/>
  <c r="DQ103" i="1"/>
  <c r="DR103" i="1"/>
  <c r="DS103" i="1"/>
  <c r="DT103" i="1"/>
  <c r="DW103" i="1"/>
  <c r="DZ103" i="1"/>
  <c r="EA103" i="1"/>
  <c r="EB103" i="1"/>
  <c r="EC103" i="1"/>
  <c r="ED103" i="1"/>
  <c r="EE103" i="1"/>
  <c r="EF103" i="1"/>
  <c r="EG103" i="1"/>
  <c r="EH103" i="1"/>
  <c r="EI103" i="1"/>
  <c r="EJ103" i="1"/>
  <c r="EK103" i="1"/>
  <c r="EL103" i="1"/>
  <c r="DA104" i="1"/>
  <c r="DB104" i="1"/>
  <c r="DC104" i="1"/>
  <c r="DD104" i="1"/>
  <c r="DE104" i="1"/>
  <c r="DF104" i="1"/>
  <c r="DG104" i="1"/>
  <c r="DH104" i="1"/>
  <c r="DI104" i="1"/>
  <c r="DJ104" i="1"/>
  <c r="DK104" i="1"/>
  <c r="DL104" i="1"/>
  <c r="DM104" i="1"/>
  <c r="DN104" i="1"/>
  <c r="FB28" i="1"/>
  <c r="FA28" i="1"/>
  <c r="FC28" i="1"/>
  <c r="FD28" i="1"/>
  <c r="FE28" i="1"/>
  <c r="FF28" i="1"/>
  <c r="DU108" i="1"/>
  <c r="DU104" i="1"/>
  <c r="DO104" i="1"/>
  <c r="FB52" i="1"/>
  <c r="FA52" i="1"/>
  <c r="FC52" i="1"/>
  <c r="FD52" i="1"/>
  <c r="FE52" i="1"/>
  <c r="FF52" i="1"/>
  <c r="DV108" i="1"/>
  <c r="DV104" i="1"/>
  <c r="DP104" i="1"/>
  <c r="DQ104" i="1"/>
  <c r="EZ76" i="1"/>
  <c r="FB76" i="1"/>
  <c r="FA76" i="1"/>
  <c r="FC76" i="1"/>
  <c r="FD76" i="1"/>
  <c r="FE76" i="1"/>
  <c r="FF76" i="1"/>
  <c r="DX108" i="1"/>
  <c r="DX104" i="1"/>
  <c r="DR104" i="1"/>
  <c r="EZ100" i="1"/>
  <c r="FB100" i="1"/>
  <c r="FA100" i="1"/>
  <c r="FC100" i="1"/>
  <c r="FD100" i="1"/>
  <c r="FE100" i="1"/>
  <c r="FF100" i="1"/>
  <c r="DY108" i="1"/>
  <c r="DY104" i="1"/>
  <c r="DS104" i="1"/>
  <c r="DT104" i="1"/>
  <c r="DW104" i="1"/>
  <c r="DZ104" i="1"/>
  <c r="EA104" i="1"/>
  <c r="EB104" i="1"/>
  <c r="EC104" i="1"/>
  <c r="ED104" i="1"/>
  <c r="EE104" i="1"/>
  <c r="EF104" i="1"/>
  <c r="EG104" i="1"/>
  <c r="EH104" i="1"/>
  <c r="EI104" i="1"/>
  <c r="EJ104" i="1"/>
  <c r="EK104" i="1"/>
  <c r="EL104" i="1"/>
  <c r="DA105" i="1"/>
  <c r="DB105" i="1"/>
  <c r="DC105" i="1"/>
  <c r="DD105" i="1"/>
  <c r="DE105" i="1"/>
  <c r="DF105" i="1"/>
  <c r="DG105" i="1"/>
  <c r="DH105" i="1"/>
  <c r="DI105" i="1"/>
  <c r="DJ105" i="1"/>
  <c r="DK105" i="1"/>
  <c r="DL105" i="1"/>
  <c r="DM105" i="1"/>
  <c r="DN105" i="1"/>
  <c r="DU105" i="1"/>
  <c r="DO105" i="1"/>
  <c r="DV105" i="1"/>
  <c r="DP105" i="1"/>
  <c r="DQ105" i="1"/>
  <c r="DX105" i="1"/>
  <c r="DR105" i="1"/>
  <c r="DY105" i="1"/>
  <c r="DS105" i="1"/>
  <c r="DT105" i="1"/>
  <c r="DW105" i="1"/>
  <c r="DZ105" i="1"/>
  <c r="EA105" i="1"/>
  <c r="EB105" i="1"/>
  <c r="EC105" i="1"/>
  <c r="ED105" i="1"/>
  <c r="EE105" i="1"/>
  <c r="EF105" i="1"/>
  <c r="EG105" i="1"/>
  <c r="EH105" i="1"/>
  <c r="EI105" i="1"/>
  <c r="EJ105" i="1"/>
  <c r="EK105" i="1"/>
  <c r="EL105" i="1"/>
  <c r="DA106" i="1"/>
  <c r="DB106" i="1"/>
  <c r="DC106" i="1"/>
  <c r="DD106" i="1"/>
  <c r="DE106" i="1"/>
  <c r="DF106" i="1"/>
  <c r="DG106" i="1"/>
  <c r="DH106" i="1"/>
  <c r="DI106" i="1"/>
  <c r="DJ106" i="1"/>
  <c r="DK106" i="1"/>
  <c r="DL106" i="1"/>
  <c r="DM106" i="1"/>
  <c r="DN106" i="1"/>
  <c r="DU106" i="1"/>
  <c r="DO106" i="1"/>
  <c r="DV106" i="1"/>
  <c r="DP106" i="1"/>
  <c r="DQ106" i="1"/>
  <c r="DX106" i="1"/>
  <c r="DR106" i="1"/>
  <c r="DY106" i="1"/>
  <c r="DS106" i="1"/>
  <c r="DT106" i="1"/>
  <c r="DW106" i="1"/>
  <c r="DZ106" i="1"/>
  <c r="EA106" i="1"/>
  <c r="EB106" i="1"/>
  <c r="EC106" i="1"/>
  <c r="ED106" i="1"/>
  <c r="EE106" i="1"/>
  <c r="EF106" i="1"/>
  <c r="EG106" i="1"/>
  <c r="EH106" i="1"/>
  <c r="EI106" i="1"/>
  <c r="EJ106" i="1"/>
  <c r="EK106" i="1"/>
  <c r="EL106" i="1"/>
  <c r="DA107" i="1"/>
  <c r="DB107" i="1"/>
  <c r="DC107" i="1"/>
  <c r="DD107" i="1"/>
  <c r="DE107" i="1"/>
  <c r="DF107" i="1"/>
  <c r="DG107" i="1"/>
  <c r="DH107" i="1"/>
  <c r="DI107" i="1"/>
  <c r="DJ107" i="1"/>
  <c r="DK107" i="1"/>
  <c r="DL107" i="1"/>
  <c r="DM107" i="1"/>
  <c r="DN107" i="1"/>
  <c r="DU107" i="1"/>
  <c r="DO107" i="1"/>
  <c r="DV107" i="1"/>
  <c r="DP107" i="1"/>
  <c r="DQ107" i="1"/>
  <c r="DX107" i="1"/>
  <c r="DR107" i="1"/>
  <c r="DY107" i="1"/>
  <c r="DS107" i="1"/>
  <c r="DT107" i="1"/>
  <c r="DW107" i="1"/>
  <c r="DZ107" i="1"/>
  <c r="EA107" i="1"/>
  <c r="EB107" i="1"/>
  <c r="EC107" i="1"/>
  <c r="ED107" i="1"/>
  <c r="EE107" i="1"/>
  <c r="EF107" i="1"/>
  <c r="EG107" i="1"/>
  <c r="EH107" i="1"/>
  <c r="EI107" i="1"/>
  <c r="EJ107" i="1"/>
  <c r="EK107" i="1"/>
  <c r="EL107" i="1"/>
  <c r="ET74" i="1"/>
  <c r="EU74" i="1"/>
  <c r="EV74" i="1"/>
  <c r="EW74" i="1"/>
  <c r="DC108" i="1"/>
  <c r="ET88" i="1"/>
  <c r="EU88" i="1"/>
  <c r="EV88" i="1"/>
  <c r="EW88" i="1"/>
  <c r="DD108" i="1"/>
  <c r="DE108" i="1"/>
  <c r="ET102" i="1"/>
  <c r="EU102" i="1"/>
  <c r="EV102" i="1"/>
  <c r="EW102" i="1"/>
  <c r="DF108" i="1"/>
  <c r="ET116" i="1"/>
  <c r="EU116" i="1"/>
  <c r="EV116" i="1"/>
  <c r="EW116" i="1"/>
  <c r="DG108" i="1"/>
  <c r="DH108" i="1"/>
  <c r="DK108" i="1"/>
  <c r="DN108" i="1"/>
  <c r="DO108" i="1"/>
  <c r="DP108" i="1"/>
  <c r="DQ108" i="1"/>
  <c r="DR108" i="1"/>
  <c r="DS108" i="1"/>
  <c r="DT108" i="1"/>
  <c r="DW108" i="1"/>
  <c r="DZ108" i="1"/>
  <c r="EA108" i="1"/>
  <c r="EB108" i="1"/>
  <c r="EC108" i="1"/>
  <c r="ED108" i="1"/>
  <c r="EE108" i="1"/>
  <c r="EF108" i="1"/>
  <c r="EG108" i="1"/>
  <c r="EH108" i="1"/>
  <c r="EI108" i="1"/>
  <c r="EJ108" i="1"/>
  <c r="EK108" i="1"/>
  <c r="EL108" i="1"/>
  <c r="BE7" i="1"/>
  <c r="AW8" i="1"/>
  <c r="BF8" i="1"/>
  <c r="BD6" i="1"/>
  <c r="BG7" i="1"/>
  <c r="BH8" i="1"/>
  <c r="BV8" i="1"/>
  <c r="G60" i="1"/>
  <c r="F60" i="1"/>
  <c r="H60" i="1"/>
  <c r="I60" i="1"/>
  <c r="J60" i="1"/>
  <c r="C60" i="1"/>
  <c r="G61" i="1"/>
  <c r="F61" i="1"/>
  <c r="H61" i="1"/>
  <c r="I61" i="1"/>
  <c r="J61" i="1"/>
  <c r="C61" i="1"/>
  <c r="CY54" i="1"/>
  <c r="AX7" i="1"/>
  <c r="BA7" i="1"/>
  <c r="BB7" i="1"/>
  <c r="BE8" i="1"/>
  <c r="AW9" i="1"/>
  <c r="BF9" i="1"/>
  <c r="BD7" i="1"/>
  <c r="BG8" i="1"/>
  <c r="BH9" i="1"/>
  <c r="BV9" i="1"/>
  <c r="CY55" i="1"/>
  <c r="AX8" i="1"/>
  <c r="AY7" i="1"/>
  <c r="BA8" i="1"/>
  <c r="AZ7" i="1"/>
  <c r="BB8" i="1"/>
  <c r="BE9" i="1"/>
  <c r="AW10" i="1"/>
  <c r="BF10" i="1"/>
  <c r="BC7" i="1"/>
  <c r="BD8" i="1"/>
  <c r="BG9" i="1"/>
  <c r="BH10" i="1"/>
  <c r="BV10" i="1"/>
  <c r="CY56" i="1"/>
  <c r="AX9" i="1"/>
  <c r="AY8" i="1"/>
  <c r="BA9" i="1"/>
  <c r="AZ8" i="1"/>
  <c r="BB9" i="1"/>
  <c r="BE10" i="1"/>
  <c r="AW11" i="1"/>
  <c r="BF11" i="1"/>
  <c r="BC8" i="1"/>
  <c r="BD9" i="1"/>
  <c r="BG10" i="1"/>
  <c r="BH11" i="1"/>
  <c r="BV11" i="1"/>
  <c r="CY57" i="1"/>
  <c r="AX10" i="1"/>
  <c r="AY9" i="1"/>
  <c r="BA10" i="1"/>
  <c r="AZ9" i="1"/>
  <c r="BB10" i="1"/>
  <c r="BE11" i="1"/>
  <c r="AW12" i="1"/>
  <c r="BF12" i="1"/>
  <c r="BC9" i="1"/>
  <c r="BD10" i="1"/>
  <c r="BG11" i="1"/>
  <c r="BH12" i="1"/>
  <c r="BV12" i="1"/>
  <c r="CY58" i="1"/>
  <c r="AX11" i="1"/>
  <c r="AY10" i="1"/>
  <c r="BA11" i="1"/>
  <c r="AZ10" i="1"/>
  <c r="BB11" i="1"/>
  <c r="BE12" i="1"/>
  <c r="AW13" i="1"/>
  <c r="BF13" i="1"/>
  <c r="BC10" i="1"/>
  <c r="BD11" i="1"/>
  <c r="BG12" i="1"/>
  <c r="BH13" i="1"/>
  <c r="BV13" i="1"/>
  <c r="CY59" i="1"/>
  <c r="AX12" i="1"/>
  <c r="AY11" i="1"/>
  <c r="BA12" i="1"/>
  <c r="AZ11" i="1"/>
  <c r="BB12" i="1"/>
  <c r="BE13" i="1"/>
  <c r="AW14" i="1"/>
  <c r="BF14" i="1"/>
  <c r="BC11" i="1"/>
  <c r="BD12" i="1"/>
  <c r="BG13" i="1"/>
  <c r="BH14" i="1"/>
  <c r="BV14" i="1"/>
  <c r="CY60" i="1"/>
  <c r="AX13" i="1"/>
  <c r="AY12" i="1"/>
  <c r="BA13" i="1"/>
  <c r="AZ12" i="1"/>
  <c r="BB13" i="1"/>
  <c r="BE14" i="1"/>
  <c r="AW15" i="1"/>
  <c r="BF15" i="1"/>
  <c r="BC12" i="1"/>
  <c r="BD13" i="1"/>
  <c r="BG14" i="1"/>
  <c r="BH15" i="1"/>
  <c r="BV15" i="1"/>
  <c r="CY61" i="1"/>
  <c r="AX14" i="1"/>
  <c r="AY13" i="1"/>
  <c r="BA14" i="1"/>
  <c r="AZ13" i="1"/>
  <c r="BB14" i="1"/>
  <c r="BE15" i="1"/>
  <c r="AW16" i="1"/>
  <c r="BF16" i="1"/>
  <c r="BC13" i="1"/>
  <c r="BD14" i="1"/>
  <c r="BG15" i="1"/>
  <c r="BH16" i="1"/>
  <c r="BV16" i="1"/>
  <c r="CY62" i="1"/>
  <c r="AX15" i="1"/>
  <c r="AY14" i="1"/>
  <c r="BA15" i="1"/>
  <c r="AZ14" i="1"/>
  <c r="BB15" i="1"/>
  <c r="BE16" i="1"/>
  <c r="AW17" i="1"/>
  <c r="BF17" i="1"/>
  <c r="BC14" i="1"/>
  <c r="BD15" i="1"/>
  <c r="BG16" i="1"/>
  <c r="BH17" i="1"/>
  <c r="BV17" i="1"/>
  <c r="CY63" i="1"/>
  <c r="AX16" i="1"/>
  <c r="AY15" i="1"/>
  <c r="BA16" i="1"/>
  <c r="AZ15" i="1"/>
  <c r="BB16" i="1"/>
  <c r="BE17" i="1"/>
  <c r="AW18" i="1"/>
  <c r="BF18" i="1"/>
  <c r="BC15" i="1"/>
  <c r="BD16" i="1"/>
  <c r="BG17" i="1"/>
  <c r="BH18" i="1"/>
  <c r="BV18" i="1"/>
  <c r="CY64" i="1"/>
  <c r="AX17" i="1"/>
  <c r="AY16" i="1"/>
  <c r="BA17" i="1"/>
  <c r="AZ16" i="1"/>
  <c r="BB17" i="1"/>
  <c r="BE18" i="1"/>
  <c r="AW19" i="1"/>
  <c r="BF19" i="1"/>
  <c r="BC16" i="1"/>
  <c r="BD17" i="1"/>
  <c r="BG18" i="1"/>
  <c r="BH19" i="1"/>
  <c r="BV19" i="1"/>
  <c r="CY65" i="1"/>
  <c r="AX18" i="1"/>
  <c r="AY17" i="1"/>
  <c r="BA18" i="1"/>
  <c r="AZ17" i="1"/>
  <c r="BB18" i="1"/>
  <c r="BE19" i="1"/>
  <c r="AW20" i="1"/>
  <c r="BF20" i="1"/>
  <c r="BC17" i="1"/>
  <c r="BD18" i="1"/>
  <c r="BG19" i="1"/>
  <c r="BH20" i="1"/>
  <c r="BV20" i="1"/>
  <c r="CY66" i="1"/>
  <c r="AX19" i="1"/>
  <c r="AY18" i="1"/>
  <c r="BA19" i="1"/>
  <c r="AZ18" i="1"/>
  <c r="BB19" i="1"/>
  <c r="BE20" i="1"/>
  <c r="AW21" i="1"/>
  <c r="BF21" i="1"/>
  <c r="BC18" i="1"/>
  <c r="BD19" i="1"/>
  <c r="BG20" i="1"/>
  <c r="BH21" i="1"/>
  <c r="BV21" i="1"/>
  <c r="CY67" i="1"/>
  <c r="AX20" i="1"/>
  <c r="AY19" i="1"/>
  <c r="BA20" i="1"/>
  <c r="AZ19" i="1"/>
  <c r="BB20" i="1"/>
  <c r="BE21" i="1"/>
  <c r="AW22" i="1"/>
  <c r="BF22" i="1"/>
  <c r="BC19" i="1"/>
  <c r="BD20" i="1"/>
  <c r="BG21" i="1"/>
  <c r="BH22" i="1"/>
  <c r="BV22" i="1"/>
  <c r="CY68" i="1"/>
  <c r="AX21" i="1"/>
  <c r="AY20" i="1"/>
  <c r="BA21" i="1"/>
  <c r="AZ20" i="1"/>
  <c r="BB21" i="1"/>
  <c r="BE22" i="1"/>
  <c r="AW23" i="1"/>
  <c r="BF23" i="1"/>
  <c r="BC20" i="1"/>
  <c r="BD21" i="1"/>
  <c r="BG22" i="1"/>
  <c r="BH23" i="1"/>
  <c r="BV23" i="1"/>
  <c r="CY69" i="1"/>
  <c r="AX22" i="1"/>
  <c r="AY21" i="1"/>
  <c r="BA22" i="1"/>
  <c r="AZ21" i="1"/>
  <c r="BB22" i="1"/>
  <c r="BE23" i="1"/>
  <c r="AW24" i="1"/>
  <c r="BF24" i="1"/>
  <c r="BC21" i="1"/>
  <c r="BD22" i="1"/>
  <c r="BG23" i="1"/>
  <c r="BH24" i="1"/>
  <c r="BV24" i="1"/>
  <c r="CY70" i="1"/>
  <c r="AX23" i="1"/>
  <c r="AY22" i="1"/>
  <c r="BA23" i="1"/>
  <c r="AZ22" i="1"/>
  <c r="BB23" i="1"/>
  <c r="BE24" i="1"/>
  <c r="AW25" i="1"/>
  <c r="BF25" i="1"/>
  <c r="BC22" i="1"/>
  <c r="BD23" i="1"/>
  <c r="BG24" i="1"/>
  <c r="BH25" i="1"/>
  <c r="BV25" i="1"/>
  <c r="CY71" i="1"/>
  <c r="AX24" i="1"/>
  <c r="AY23" i="1"/>
  <c r="BA24" i="1"/>
  <c r="AZ23" i="1"/>
  <c r="BB24" i="1"/>
  <c r="BE25" i="1"/>
  <c r="AW26" i="1"/>
  <c r="BF26" i="1"/>
  <c r="BC23" i="1"/>
  <c r="BD24" i="1"/>
  <c r="BG25" i="1"/>
  <c r="BH26" i="1"/>
  <c r="BV26" i="1"/>
  <c r="CY72" i="1"/>
  <c r="AX25" i="1"/>
  <c r="AY24" i="1"/>
  <c r="BA25" i="1"/>
  <c r="AZ24" i="1"/>
  <c r="BB25" i="1"/>
  <c r="BE26" i="1"/>
  <c r="AW27" i="1"/>
  <c r="BF27" i="1"/>
  <c r="BC24" i="1"/>
  <c r="BD25" i="1"/>
  <c r="BG26" i="1"/>
  <c r="BH27" i="1"/>
  <c r="BV27" i="1"/>
  <c r="CY73" i="1"/>
  <c r="AX26" i="1"/>
  <c r="AY25" i="1"/>
  <c r="BA26" i="1"/>
  <c r="AZ25" i="1"/>
  <c r="BB26" i="1"/>
  <c r="BE27" i="1"/>
  <c r="AW28" i="1"/>
  <c r="BF28" i="1"/>
  <c r="BC25" i="1"/>
  <c r="BD26" i="1"/>
  <c r="BG27" i="1"/>
  <c r="BH28" i="1"/>
  <c r="BV28" i="1"/>
  <c r="CY74" i="1"/>
  <c r="AX27" i="1"/>
  <c r="AY26" i="1"/>
  <c r="BA27" i="1"/>
  <c r="AZ26" i="1"/>
  <c r="BB27" i="1"/>
  <c r="BE28" i="1"/>
  <c r="AW29" i="1"/>
  <c r="BF29" i="1"/>
  <c r="BC26" i="1"/>
  <c r="BD27" i="1"/>
  <c r="BG28" i="1"/>
  <c r="BH29" i="1"/>
  <c r="BV29" i="1"/>
  <c r="CY75" i="1"/>
  <c r="AX28" i="1"/>
  <c r="AY27" i="1"/>
  <c r="BA28" i="1"/>
  <c r="AZ27" i="1"/>
  <c r="BB28" i="1"/>
  <c r="BE29" i="1"/>
  <c r="AW30" i="1"/>
  <c r="BF30" i="1"/>
  <c r="BC27" i="1"/>
  <c r="BD28" i="1"/>
  <c r="BG29" i="1"/>
  <c r="BH30" i="1"/>
  <c r="BV30" i="1"/>
  <c r="CY76" i="1"/>
  <c r="AX29" i="1"/>
  <c r="AY28" i="1"/>
  <c r="BA29" i="1"/>
  <c r="AZ28" i="1"/>
  <c r="BB29" i="1"/>
  <c r="BE30" i="1"/>
  <c r="AW31" i="1"/>
  <c r="BF31" i="1"/>
  <c r="BC28" i="1"/>
  <c r="BD29" i="1"/>
  <c r="BG30" i="1"/>
  <c r="BH31" i="1"/>
  <c r="BV31" i="1"/>
  <c r="CY77" i="1"/>
  <c r="AX30" i="1"/>
  <c r="AY29" i="1"/>
  <c r="BA30" i="1"/>
  <c r="AZ29" i="1"/>
  <c r="BB30" i="1"/>
  <c r="BE31" i="1"/>
  <c r="AW32" i="1"/>
  <c r="BF32" i="1"/>
  <c r="BC29" i="1"/>
  <c r="BD30" i="1"/>
  <c r="BG31" i="1"/>
  <c r="BH32" i="1"/>
  <c r="BV32" i="1"/>
  <c r="CY78" i="1"/>
  <c r="AX31" i="1"/>
  <c r="AY30" i="1"/>
  <c r="BA31" i="1"/>
  <c r="AZ30" i="1"/>
  <c r="BB31" i="1"/>
  <c r="BE32" i="1"/>
  <c r="AW33" i="1"/>
  <c r="BF33" i="1"/>
  <c r="BC30" i="1"/>
  <c r="BD31" i="1"/>
  <c r="BG32" i="1"/>
  <c r="BH33" i="1"/>
  <c r="BV33" i="1"/>
  <c r="CY79" i="1"/>
  <c r="AX32" i="1"/>
  <c r="AY31" i="1"/>
  <c r="BA32" i="1"/>
  <c r="AZ31" i="1"/>
  <c r="BB32" i="1"/>
  <c r="BE33" i="1"/>
  <c r="AW34" i="1"/>
  <c r="BF34" i="1"/>
  <c r="BC31" i="1"/>
  <c r="BD32" i="1"/>
  <c r="BG33" i="1"/>
  <c r="BH34" i="1"/>
  <c r="BV34" i="1"/>
  <c r="CY80" i="1"/>
  <c r="AX33" i="1"/>
  <c r="AY32" i="1"/>
  <c r="BA33" i="1"/>
  <c r="AZ32" i="1"/>
  <c r="BB33" i="1"/>
  <c r="BE34" i="1"/>
  <c r="AW35" i="1"/>
  <c r="BF35" i="1"/>
  <c r="BC32" i="1"/>
  <c r="BD33" i="1"/>
  <c r="BG34" i="1"/>
  <c r="BH35" i="1"/>
  <c r="BV35" i="1"/>
  <c r="CY81" i="1"/>
  <c r="AX34" i="1"/>
  <c r="AY33" i="1"/>
  <c r="BA34" i="1"/>
  <c r="AZ33" i="1"/>
  <c r="BB34" i="1"/>
  <c r="BE35" i="1"/>
  <c r="AW36" i="1"/>
  <c r="BF36" i="1"/>
  <c r="BC33" i="1"/>
  <c r="BD34" i="1"/>
  <c r="BG35" i="1"/>
  <c r="BH36" i="1"/>
  <c r="BV36" i="1"/>
  <c r="CY82" i="1"/>
  <c r="AX35" i="1"/>
  <c r="AY34" i="1"/>
  <c r="BA35" i="1"/>
  <c r="AZ34" i="1"/>
  <c r="BB35" i="1"/>
  <c r="BE36" i="1"/>
  <c r="AW37" i="1"/>
  <c r="BF37" i="1"/>
  <c r="BC34" i="1"/>
  <c r="BD35" i="1"/>
  <c r="BG36" i="1"/>
  <c r="BH37" i="1"/>
  <c r="BV37" i="1"/>
  <c r="CY83" i="1"/>
  <c r="AX36" i="1"/>
  <c r="AY35" i="1"/>
  <c r="BA36" i="1"/>
  <c r="AZ35" i="1"/>
  <c r="BB36" i="1"/>
  <c r="BE37" i="1"/>
  <c r="AW38" i="1"/>
  <c r="BF38" i="1"/>
  <c r="BC35" i="1"/>
  <c r="BD36" i="1"/>
  <c r="BG37" i="1"/>
  <c r="BH38" i="1"/>
  <c r="BV38" i="1"/>
  <c r="CY84" i="1"/>
  <c r="AX37" i="1"/>
  <c r="AY36" i="1"/>
  <c r="BA37" i="1"/>
  <c r="AZ36" i="1"/>
  <c r="BB37" i="1"/>
  <c r="BE38" i="1"/>
  <c r="AW39" i="1"/>
  <c r="BF39" i="1"/>
  <c r="BC36" i="1"/>
  <c r="BD37" i="1"/>
  <c r="BG38" i="1"/>
  <c r="BH39" i="1"/>
  <c r="BV39" i="1"/>
  <c r="CY85" i="1"/>
  <c r="AX38" i="1"/>
  <c r="AY37" i="1"/>
  <c r="BA38" i="1"/>
  <c r="AZ37" i="1"/>
  <c r="BB38" i="1"/>
  <c r="BE39" i="1"/>
  <c r="AW40" i="1"/>
  <c r="BF40" i="1"/>
  <c r="BC37" i="1"/>
  <c r="BD38" i="1"/>
  <c r="BG39" i="1"/>
  <c r="BH40" i="1"/>
  <c r="BV40" i="1"/>
  <c r="CY86" i="1"/>
  <c r="AX39" i="1"/>
  <c r="AY38" i="1"/>
  <c r="BA39" i="1"/>
  <c r="AZ38" i="1"/>
  <c r="BB39" i="1"/>
  <c r="BE40" i="1"/>
  <c r="AW41" i="1"/>
  <c r="BF41" i="1"/>
  <c r="BC38" i="1"/>
  <c r="BD39" i="1"/>
  <c r="BG40" i="1"/>
  <c r="BH41" i="1"/>
  <c r="BV41" i="1"/>
  <c r="CY87" i="1"/>
  <c r="AX40" i="1"/>
  <c r="AY39" i="1"/>
  <c r="BA40" i="1"/>
  <c r="AZ39" i="1"/>
  <c r="BB40" i="1"/>
  <c r="BE41" i="1"/>
  <c r="AW42" i="1"/>
  <c r="BF42" i="1"/>
  <c r="BC39" i="1"/>
  <c r="BD40" i="1"/>
  <c r="BG41" i="1"/>
  <c r="BH42" i="1"/>
  <c r="BV42" i="1"/>
  <c r="CY88" i="1"/>
  <c r="AX41" i="1"/>
  <c r="AY40" i="1"/>
  <c r="BA41" i="1"/>
  <c r="AZ40" i="1"/>
  <c r="BB41" i="1"/>
  <c r="BE42" i="1"/>
  <c r="AW43" i="1"/>
  <c r="BF43" i="1"/>
  <c r="BC40" i="1"/>
  <c r="BD41" i="1"/>
  <c r="BG42" i="1"/>
  <c r="BH43" i="1"/>
  <c r="BV43" i="1"/>
  <c r="CY89" i="1"/>
  <c r="AX42" i="1"/>
  <c r="AY41" i="1"/>
  <c r="BA42" i="1"/>
  <c r="AZ41" i="1"/>
  <c r="BB42" i="1"/>
  <c r="BE43" i="1"/>
  <c r="AW44" i="1"/>
  <c r="BF44" i="1"/>
  <c r="BC41" i="1"/>
  <c r="BD42" i="1"/>
  <c r="BG43" i="1"/>
  <c r="BH44" i="1"/>
  <c r="BV44" i="1"/>
  <c r="CY90" i="1"/>
  <c r="AX43" i="1"/>
  <c r="AY42" i="1"/>
  <c r="BA43" i="1"/>
  <c r="AZ42" i="1"/>
  <c r="BB43" i="1"/>
  <c r="BE44" i="1"/>
  <c r="AW45" i="1"/>
  <c r="BF45" i="1"/>
  <c r="BC42" i="1"/>
  <c r="BD43" i="1"/>
  <c r="BG44" i="1"/>
  <c r="BH45" i="1"/>
  <c r="BV45" i="1"/>
  <c r="CY91" i="1"/>
  <c r="AX44" i="1"/>
  <c r="AY43" i="1"/>
  <c r="BA44" i="1"/>
  <c r="AZ43" i="1"/>
  <c r="BB44" i="1"/>
  <c r="BE45" i="1"/>
  <c r="AW46" i="1"/>
  <c r="BF46" i="1"/>
  <c r="BC43" i="1"/>
  <c r="BD44" i="1"/>
  <c r="BG45" i="1"/>
  <c r="BH46" i="1"/>
  <c r="BV46" i="1"/>
  <c r="CY92" i="1"/>
  <c r="AX45" i="1"/>
  <c r="AY44" i="1"/>
  <c r="BA45" i="1"/>
  <c r="AZ44" i="1"/>
  <c r="BB45" i="1"/>
  <c r="BE46" i="1"/>
  <c r="AW47" i="1"/>
  <c r="BF47" i="1"/>
  <c r="BC44" i="1"/>
  <c r="BD45" i="1"/>
  <c r="BG46" i="1"/>
  <c r="BH47" i="1"/>
  <c r="BV47" i="1"/>
  <c r="CY93" i="1"/>
  <c r="AX46" i="1"/>
  <c r="AY45" i="1"/>
  <c r="BA46" i="1"/>
  <c r="AZ45" i="1"/>
  <c r="BB46" i="1"/>
  <c r="BE47" i="1"/>
  <c r="AW48" i="1"/>
  <c r="BF48" i="1"/>
  <c r="BC45" i="1"/>
  <c r="BD46" i="1"/>
  <c r="BG47" i="1"/>
  <c r="BH48" i="1"/>
  <c r="BV48" i="1"/>
  <c r="CY94" i="1"/>
  <c r="AX47" i="1"/>
  <c r="AY46" i="1"/>
  <c r="BA47" i="1"/>
  <c r="AZ46" i="1"/>
  <c r="BB47" i="1"/>
  <c r="BE48" i="1"/>
  <c r="AW49" i="1"/>
  <c r="BF49" i="1"/>
  <c r="BC46" i="1"/>
  <c r="BD47" i="1"/>
  <c r="BG48" i="1"/>
  <c r="BH49" i="1"/>
  <c r="BV49" i="1"/>
  <c r="CY95" i="1"/>
  <c r="AX48" i="1"/>
  <c r="AY47" i="1"/>
  <c r="BA48" i="1"/>
  <c r="AZ47" i="1"/>
  <c r="BB48" i="1"/>
  <c r="BE49" i="1"/>
  <c r="AW50" i="1"/>
  <c r="BF50" i="1"/>
  <c r="BC47" i="1"/>
  <c r="BD48" i="1"/>
  <c r="BG49" i="1"/>
  <c r="BH50" i="1"/>
  <c r="BV50" i="1"/>
  <c r="CY96" i="1"/>
  <c r="AX49" i="1"/>
  <c r="AY48" i="1"/>
  <c r="BA49" i="1"/>
  <c r="AZ48" i="1"/>
  <c r="BB49" i="1"/>
  <c r="BE50" i="1"/>
  <c r="AW51" i="1"/>
  <c r="BF51" i="1"/>
  <c r="BC48" i="1"/>
  <c r="BD49" i="1"/>
  <c r="BG50" i="1"/>
  <c r="BH51" i="1"/>
  <c r="BV51" i="1"/>
  <c r="CY97" i="1"/>
  <c r="AX50" i="1"/>
  <c r="AY49" i="1"/>
  <c r="BA50" i="1"/>
  <c r="AZ49" i="1"/>
  <c r="BB50" i="1"/>
  <c r="BE51" i="1"/>
  <c r="AW52" i="1"/>
  <c r="BF52" i="1"/>
  <c r="BC49" i="1"/>
  <c r="BD50" i="1"/>
  <c r="BG51" i="1"/>
  <c r="BH52" i="1"/>
  <c r="BV52" i="1"/>
  <c r="CY98" i="1"/>
  <c r="AX51" i="1"/>
  <c r="AY50" i="1"/>
  <c r="BA51" i="1"/>
  <c r="AZ50" i="1"/>
  <c r="BB51" i="1"/>
  <c r="BE52" i="1"/>
  <c r="AW53" i="1"/>
  <c r="BF53" i="1"/>
  <c r="BC50" i="1"/>
  <c r="BD51" i="1"/>
  <c r="BG52" i="1"/>
  <c r="BH53" i="1"/>
  <c r="BV53" i="1"/>
  <c r="CY99" i="1"/>
  <c r="AX52" i="1"/>
  <c r="AY51" i="1"/>
  <c r="BA52" i="1"/>
  <c r="AZ51" i="1"/>
  <c r="BB52" i="1"/>
  <c r="BE53" i="1"/>
  <c r="AW54" i="1"/>
  <c r="BF54" i="1"/>
  <c r="BC51" i="1"/>
  <c r="BD52" i="1"/>
  <c r="BG53" i="1"/>
  <c r="BH54" i="1"/>
  <c r="BV54" i="1"/>
  <c r="CY100" i="1"/>
  <c r="AX53" i="1"/>
  <c r="AY52" i="1"/>
  <c r="BA53" i="1"/>
  <c r="AZ52" i="1"/>
  <c r="BB53" i="1"/>
  <c r="BE54" i="1"/>
  <c r="AW55" i="1"/>
  <c r="BF55" i="1"/>
  <c r="BC52" i="1"/>
  <c r="BD53" i="1"/>
  <c r="BG54" i="1"/>
  <c r="BH55" i="1"/>
  <c r="BV55" i="1"/>
  <c r="CY101" i="1"/>
  <c r="AX54" i="1"/>
  <c r="AY53" i="1"/>
  <c r="BA54" i="1"/>
  <c r="AZ53" i="1"/>
  <c r="BB54" i="1"/>
  <c r="BE55" i="1"/>
  <c r="AW56" i="1"/>
  <c r="BF56" i="1"/>
  <c r="BC53" i="1"/>
  <c r="BD54" i="1"/>
  <c r="BG55" i="1"/>
  <c r="BH56" i="1"/>
  <c r="BV56" i="1"/>
  <c r="CY102" i="1"/>
  <c r="AX55" i="1"/>
  <c r="AY54" i="1"/>
  <c r="BA55" i="1"/>
  <c r="AZ54" i="1"/>
  <c r="BB55" i="1"/>
  <c r="BE56" i="1"/>
  <c r="AW57" i="1"/>
  <c r="BF57" i="1"/>
  <c r="BC54" i="1"/>
  <c r="BD55" i="1"/>
  <c r="BG56" i="1"/>
  <c r="BH57" i="1"/>
  <c r="BV57" i="1"/>
  <c r="CY103" i="1"/>
  <c r="AX56" i="1"/>
  <c r="AY55" i="1"/>
  <c r="BA56" i="1"/>
  <c r="AZ55" i="1"/>
  <c r="BB56" i="1"/>
  <c r="BE57" i="1"/>
  <c r="AW58" i="1"/>
  <c r="BF58" i="1"/>
  <c r="BC55" i="1"/>
  <c r="BD56" i="1"/>
  <c r="BG57" i="1"/>
  <c r="BH58" i="1"/>
  <c r="BV58" i="1"/>
  <c r="CY104" i="1"/>
  <c r="AX57" i="1"/>
  <c r="AY56" i="1"/>
  <c r="BA57" i="1"/>
  <c r="AZ56" i="1"/>
  <c r="BB57" i="1"/>
  <c r="BE58" i="1"/>
  <c r="AW59" i="1"/>
  <c r="BF59" i="1"/>
  <c r="BC56" i="1"/>
  <c r="BD57" i="1"/>
  <c r="BG58" i="1"/>
  <c r="BH59" i="1"/>
  <c r="BV59" i="1"/>
  <c r="CY105" i="1"/>
  <c r="AX58" i="1"/>
  <c r="AY57" i="1"/>
  <c r="BA58" i="1"/>
  <c r="AZ57" i="1"/>
  <c r="BB58" i="1"/>
  <c r="BE59" i="1"/>
  <c r="AW60" i="1"/>
  <c r="BF60" i="1"/>
  <c r="BC57" i="1"/>
  <c r="BD58" i="1"/>
  <c r="BG59" i="1"/>
  <c r="BH60" i="1"/>
  <c r="BV60" i="1"/>
  <c r="CY106" i="1"/>
  <c r="AX59" i="1"/>
  <c r="AY58" i="1"/>
  <c r="BA59" i="1"/>
  <c r="AZ58" i="1"/>
  <c r="BB59" i="1"/>
  <c r="BE60" i="1"/>
  <c r="AW61" i="1"/>
  <c r="BF61" i="1"/>
  <c r="BC58" i="1"/>
  <c r="BD59" i="1"/>
  <c r="BG60" i="1"/>
  <c r="BH61" i="1"/>
  <c r="BV61" i="1"/>
  <c r="CY107" i="1"/>
  <c r="AX60" i="1"/>
  <c r="AY59" i="1"/>
  <c r="BA60" i="1"/>
  <c r="AZ59" i="1"/>
  <c r="BB60" i="1"/>
  <c r="BE61" i="1"/>
  <c r="AW62" i="1"/>
  <c r="BF62" i="1"/>
  <c r="BC59" i="1"/>
  <c r="BD60" i="1"/>
  <c r="BG61" i="1"/>
  <c r="BH62" i="1"/>
  <c r="BV62" i="1"/>
  <c r="CY108" i="1"/>
  <c r="AX61" i="1"/>
  <c r="AY60" i="1"/>
  <c r="BA61" i="1"/>
  <c r="AZ60" i="1"/>
  <c r="BB61" i="1"/>
  <c r="BE62" i="1"/>
  <c r="AW63" i="1"/>
  <c r="BF63" i="1"/>
  <c r="BC60" i="1"/>
  <c r="BD61" i="1"/>
  <c r="BG62" i="1"/>
  <c r="BH63" i="1"/>
  <c r="BV63" i="1"/>
  <c r="AX62" i="1"/>
  <c r="AY61" i="1"/>
  <c r="BA62" i="1"/>
  <c r="AZ61" i="1"/>
  <c r="BB62" i="1"/>
  <c r="BE63" i="1"/>
  <c r="AW64" i="1"/>
  <c r="BF64" i="1"/>
  <c r="BC61" i="1"/>
  <c r="BD62" i="1"/>
  <c r="BG63" i="1"/>
  <c r="BH64" i="1"/>
  <c r="BV64" i="1"/>
  <c r="AX63" i="1"/>
  <c r="AY62" i="1"/>
  <c r="BA63" i="1"/>
  <c r="AZ62" i="1"/>
  <c r="BB63" i="1"/>
  <c r="BE64" i="1"/>
  <c r="AW65" i="1"/>
  <c r="BF65" i="1"/>
  <c r="BC62" i="1"/>
  <c r="BD63" i="1"/>
  <c r="BG64" i="1"/>
  <c r="BH65" i="1"/>
  <c r="BV65" i="1"/>
  <c r="AX64" i="1"/>
  <c r="AY63" i="1"/>
  <c r="BA64" i="1"/>
  <c r="AZ63" i="1"/>
  <c r="BB64" i="1"/>
  <c r="BE65" i="1"/>
  <c r="AW66" i="1"/>
  <c r="BF66" i="1"/>
  <c r="BC63" i="1"/>
  <c r="BD64" i="1"/>
  <c r="BG65" i="1"/>
  <c r="BH66" i="1"/>
  <c r="BV66" i="1"/>
  <c r="AX65" i="1"/>
  <c r="AY64" i="1"/>
  <c r="BA65" i="1"/>
  <c r="AZ64" i="1"/>
  <c r="BB65" i="1"/>
  <c r="BE66" i="1"/>
  <c r="AW67" i="1"/>
  <c r="BF67" i="1"/>
  <c r="BC64" i="1"/>
  <c r="BD65" i="1"/>
  <c r="BG66" i="1"/>
  <c r="BH67" i="1"/>
  <c r="BV67" i="1"/>
  <c r="AX66" i="1"/>
  <c r="AY65" i="1"/>
  <c r="BA66" i="1"/>
  <c r="AZ65" i="1"/>
  <c r="BB66" i="1"/>
  <c r="BE67" i="1"/>
  <c r="AW68" i="1"/>
  <c r="BF68" i="1"/>
  <c r="BC65" i="1"/>
  <c r="BD66" i="1"/>
  <c r="BG67" i="1"/>
  <c r="BH68" i="1"/>
  <c r="BV68" i="1"/>
  <c r="AX67" i="1"/>
  <c r="AY66" i="1"/>
  <c r="BA67" i="1"/>
  <c r="AZ66" i="1"/>
  <c r="BB67" i="1"/>
  <c r="BE68" i="1"/>
  <c r="AW69" i="1"/>
  <c r="BF69" i="1"/>
  <c r="BC66" i="1"/>
  <c r="BD67" i="1"/>
  <c r="BG68" i="1"/>
  <c r="BH69" i="1"/>
  <c r="BV69" i="1"/>
  <c r="AX68" i="1"/>
  <c r="AY67" i="1"/>
  <c r="BA68" i="1"/>
  <c r="AZ67" i="1"/>
  <c r="BB68" i="1"/>
  <c r="BE69" i="1"/>
  <c r="AW70" i="1"/>
  <c r="BF70" i="1"/>
  <c r="BC67" i="1"/>
  <c r="BD68" i="1"/>
  <c r="BG69" i="1"/>
  <c r="BH70" i="1"/>
  <c r="BV70" i="1"/>
  <c r="AX69" i="1"/>
  <c r="AY68" i="1"/>
  <c r="BA69" i="1"/>
  <c r="AZ68" i="1"/>
  <c r="BB69" i="1"/>
  <c r="BE70" i="1"/>
  <c r="AW71" i="1"/>
  <c r="BF71" i="1"/>
  <c r="BC68" i="1"/>
  <c r="BD69" i="1"/>
  <c r="BG70" i="1"/>
  <c r="BH71" i="1"/>
  <c r="BV71" i="1"/>
  <c r="AX70" i="1"/>
  <c r="AY69" i="1"/>
  <c r="BA70" i="1"/>
  <c r="AZ69" i="1"/>
  <c r="BB70" i="1"/>
  <c r="BE71" i="1"/>
  <c r="AW72" i="1"/>
  <c r="BF72" i="1"/>
  <c r="BC69" i="1"/>
  <c r="BD70" i="1"/>
  <c r="BG71" i="1"/>
  <c r="BH72" i="1"/>
  <c r="BV72" i="1"/>
  <c r="AX71" i="1"/>
  <c r="AY70" i="1"/>
  <c r="BA71" i="1"/>
  <c r="AZ70" i="1"/>
  <c r="BB71" i="1"/>
  <c r="BE72" i="1"/>
  <c r="AW73" i="1"/>
  <c r="BF73" i="1"/>
  <c r="BC70" i="1"/>
  <c r="BD71" i="1"/>
  <c r="BG72" i="1"/>
  <c r="BH73" i="1"/>
  <c r="BV73" i="1"/>
  <c r="AX72" i="1"/>
  <c r="AY71" i="1"/>
  <c r="BA72" i="1"/>
  <c r="AZ71" i="1"/>
  <c r="BB72" i="1"/>
  <c r="BE73" i="1"/>
  <c r="AW74" i="1"/>
  <c r="BF74" i="1"/>
  <c r="BC71" i="1"/>
  <c r="BD72" i="1"/>
  <c r="BG73" i="1"/>
  <c r="BH74" i="1"/>
  <c r="BV74" i="1"/>
  <c r="AX73" i="1"/>
  <c r="AY72" i="1"/>
  <c r="BA73" i="1"/>
  <c r="AZ72" i="1"/>
  <c r="BB73" i="1"/>
  <c r="BE74" i="1"/>
  <c r="AW75" i="1"/>
  <c r="BF75" i="1"/>
  <c r="BC72" i="1"/>
  <c r="BD73" i="1"/>
  <c r="BG74" i="1"/>
  <c r="BH75" i="1"/>
  <c r="BV75" i="1"/>
  <c r="AX74" i="1"/>
  <c r="AY73" i="1"/>
  <c r="BA74" i="1"/>
  <c r="AZ73" i="1"/>
  <c r="BB74" i="1"/>
  <c r="BE75" i="1"/>
  <c r="AW76" i="1"/>
  <c r="BF76" i="1"/>
  <c r="BC73" i="1"/>
  <c r="BD74" i="1"/>
  <c r="BG75" i="1"/>
  <c r="BH76" i="1"/>
  <c r="BV76" i="1"/>
  <c r="AX75" i="1"/>
  <c r="AY74" i="1"/>
  <c r="BA75" i="1"/>
  <c r="AZ74" i="1"/>
  <c r="BB75" i="1"/>
  <c r="BE76" i="1"/>
  <c r="AW77" i="1"/>
  <c r="BF77" i="1"/>
  <c r="BC74" i="1"/>
  <c r="BD75" i="1"/>
  <c r="BG76" i="1"/>
  <c r="BH77" i="1"/>
  <c r="BV77" i="1"/>
  <c r="AX76" i="1"/>
  <c r="AY75" i="1"/>
  <c r="BA76" i="1"/>
  <c r="AZ75" i="1"/>
  <c r="BB76" i="1"/>
  <c r="BE77" i="1"/>
  <c r="AW78" i="1"/>
  <c r="BF78" i="1"/>
  <c r="BC75" i="1"/>
  <c r="BD76" i="1"/>
  <c r="BG77" i="1"/>
  <c r="BH78" i="1"/>
  <c r="BV78" i="1"/>
  <c r="AX77" i="1"/>
  <c r="AY76" i="1"/>
  <c r="BA77" i="1"/>
  <c r="AZ76" i="1"/>
  <c r="BB77" i="1"/>
  <c r="BE78" i="1"/>
  <c r="AW79" i="1"/>
  <c r="BF79" i="1"/>
  <c r="BC76" i="1"/>
  <c r="BD77" i="1"/>
  <c r="BG78" i="1"/>
  <c r="BH79" i="1"/>
  <c r="BV79" i="1"/>
  <c r="AX78" i="1"/>
  <c r="AY77" i="1"/>
  <c r="BA78" i="1"/>
  <c r="AZ77" i="1"/>
  <c r="BB78" i="1"/>
  <c r="BE79" i="1"/>
  <c r="AW80" i="1"/>
  <c r="BF80" i="1"/>
  <c r="BC77" i="1"/>
  <c r="BD78" i="1"/>
  <c r="BG79" i="1"/>
  <c r="BH80" i="1"/>
  <c r="BV80" i="1"/>
  <c r="AX79" i="1"/>
  <c r="AY78" i="1"/>
  <c r="BA79" i="1"/>
  <c r="AZ78" i="1"/>
  <c r="BB79" i="1"/>
  <c r="BE80" i="1"/>
  <c r="AW81" i="1"/>
  <c r="BF81" i="1"/>
  <c r="BC78" i="1"/>
  <c r="BD79" i="1"/>
  <c r="BG80" i="1"/>
  <c r="BH81" i="1"/>
  <c r="BV81" i="1"/>
  <c r="AX80" i="1"/>
  <c r="AY79" i="1"/>
  <c r="BA80" i="1"/>
  <c r="AZ79" i="1"/>
  <c r="BB80" i="1"/>
  <c r="BE81" i="1"/>
  <c r="AW82" i="1"/>
  <c r="BF82" i="1"/>
  <c r="BC79" i="1"/>
  <c r="BD80" i="1"/>
  <c r="BG81" i="1"/>
  <c r="BH82" i="1"/>
  <c r="BV82" i="1"/>
  <c r="AX81" i="1"/>
  <c r="AY80" i="1"/>
  <c r="BA81" i="1"/>
  <c r="AZ80" i="1"/>
  <c r="BB81" i="1"/>
  <c r="BE82" i="1"/>
  <c r="AW83" i="1"/>
  <c r="BF83" i="1"/>
  <c r="BC80" i="1"/>
  <c r="BD81" i="1"/>
  <c r="BG82" i="1"/>
  <c r="BH83" i="1"/>
  <c r="BV83" i="1"/>
  <c r="AX82" i="1"/>
  <c r="AY81" i="1"/>
  <c r="BA82" i="1"/>
  <c r="AZ81" i="1"/>
  <c r="BB82" i="1"/>
  <c r="BE83" i="1"/>
  <c r="AW84" i="1"/>
  <c r="BF84" i="1"/>
  <c r="BC81" i="1"/>
  <c r="BD82" i="1"/>
  <c r="BG83" i="1"/>
  <c r="BH84" i="1"/>
  <c r="BV84" i="1"/>
  <c r="AX83" i="1"/>
  <c r="AY82" i="1"/>
  <c r="BA83" i="1"/>
  <c r="AZ82" i="1"/>
  <c r="BB83" i="1"/>
  <c r="BE84" i="1"/>
  <c r="AW85" i="1"/>
  <c r="BF85" i="1"/>
  <c r="BC82" i="1"/>
  <c r="BD83" i="1"/>
  <c r="BG84" i="1"/>
  <c r="BH85" i="1"/>
  <c r="BV85" i="1"/>
  <c r="AX84" i="1"/>
  <c r="AY83" i="1"/>
  <c r="BA84" i="1"/>
  <c r="AZ83" i="1"/>
  <c r="BB84" i="1"/>
  <c r="BE85" i="1"/>
  <c r="AW86" i="1"/>
  <c r="BF86" i="1"/>
  <c r="BC83" i="1"/>
  <c r="BD84" i="1"/>
  <c r="BG85" i="1"/>
  <c r="BH86" i="1"/>
  <c r="BV86" i="1"/>
  <c r="AX85" i="1"/>
  <c r="AY84" i="1"/>
  <c r="BA85" i="1"/>
  <c r="AZ84" i="1"/>
  <c r="BB85" i="1"/>
  <c r="BE86" i="1"/>
  <c r="AW87" i="1"/>
  <c r="BF87" i="1"/>
  <c r="BC84" i="1"/>
  <c r="BD85" i="1"/>
  <c r="BG86" i="1"/>
  <c r="BH87" i="1"/>
  <c r="BV87" i="1"/>
  <c r="AX86" i="1"/>
  <c r="AY85" i="1"/>
  <c r="BA86" i="1"/>
  <c r="AZ85" i="1"/>
  <c r="BB86" i="1"/>
  <c r="BE87" i="1"/>
  <c r="AW88" i="1"/>
  <c r="BF88" i="1"/>
  <c r="BC85" i="1"/>
  <c r="BD86" i="1"/>
  <c r="BG87" i="1"/>
  <c r="BH88" i="1"/>
  <c r="BV88" i="1"/>
  <c r="AX87" i="1"/>
  <c r="AY86" i="1"/>
  <c r="BA87" i="1"/>
  <c r="AZ86" i="1"/>
  <c r="BB87" i="1"/>
  <c r="BE88" i="1"/>
  <c r="AW89" i="1"/>
  <c r="BF89" i="1"/>
  <c r="BC86" i="1"/>
  <c r="BD87" i="1"/>
  <c r="BG88" i="1"/>
  <c r="BH89" i="1"/>
  <c r="BV89" i="1"/>
  <c r="AX88" i="1"/>
  <c r="AY87" i="1"/>
  <c r="BA88" i="1"/>
  <c r="AZ87" i="1"/>
  <c r="BB88" i="1"/>
  <c r="BE89" i="1"/>
  <c r="AW90" i="1"/>
  <c r="BF90" i="1"/>
  <c r="BC87" i="1"/>
  <c r="BD88" i="1"/>
  <c r="BG89" i="1"/>
  <c r="BH90" i="1"/>
  <c r="BV90" i="1"/>
  <c r="AX89" i="1"/>
  <c r="AY88" i="1"/>
  <c r="BA89" i="1"/>
  <c r="AZ88" i="1"/>
  <c r="BB89" i="1"/>
  <c r="BE90" i="1"/>
  <c r="AW91" i="1"/>
  <c r="BF91" i="1"/>
  <c r="BC88" i="1"/>
  <c r="BD89" i="1"/>
  <c r="BG90" i="1"/>
  <c r="BH91" i="1"/>
  <c r="BV91" i="1"/>
  <c r="AX90" i="1"/>
  <c r="AY89" i="1"/>
  <c r="BA90" i="1"/>
  <c r="AZ89" i="1"/>
  <c r="BB90" i="1"/>
  <c r="BE91" i="1"/>
  <c r="AW92" i="1"/>
  <c r="BF92" i="1"/>
  <c r="BC89" i="1"/>
  <c r="BD90" i="1"/>
  <c r="BG91" i="1"/>
  <c r="BH92" i="1"/>
  <c r="BV92" i="1"/>
  <c r="AX91" i="1"/>
  <c r="AY90" i="1"/>
  <c r="BA91" i="1"/>
  <c r="AZ90" i="1"/>
  <c r="BB91" i="1"/>
  <c r="BE92" i="1"/>
  <c r="AW93" i="1"/>
  <c r="BF93" i="1"/>
  <c r="BC90" i="1"/>
  <c r="BD91" i="1"/>
  <c r="BG92" i="1"/>
  <c r="BH93" i="1"/>
  <c r="BV93" i="1"/>
  <c r="AX92" i="1"/>
  <c r="AY91" i="1"/>
  <c r="BA92" i="1"/>
  <c r="AZ91" i="1"/>
  <c r="BB92" i="1"/>
  <c r="BE93" i="1"/>
  <c r="AW94" i="1"/>
  <c r="BF94" i="1"/>
  <c r="BC91" i="1"/>
  <c r="BD92" i="1"/>
  <c r="BG93" i="1"/>
  <c r="BH94" i="1"/>
  <c r="BV94" i="1"/>
  <c r="AX93" i="1"/>
  <c r="AY92" i="1"/>
  <c r="BA93" i="1"/>
  <c r="AZ92" i="1"/>
  <c r="BB93" i="1"/>
  <c r="BE94" i="1"/>
  <c r="AW95" i="1"/>
  <c r="BF95" i="1"/>
  <c r="BC92" i="1"/>
  <c r="BD93" i="1"/>
  <c r="BG94" i="1"/>
  <c r="BH95" i="1"/>
  <c r="BV95" i="1"/>
  <c r="AX94" i="1"/>
  <c r="AY93" i="1"/>
  <c r="BA94" i="1"/>
  <c r="AZ93" i="1"/>
  <c r="BB94" i="1"/>
  <c r="BE95" i="1"/>
  <c r="AW96" i="1"/>
  <c r="BF96" i="1"/>
  <c r="BC93" i="1"/>
  <c r="BD94" i="1"/>
  <c r="BG95" i="1"/>
  <c r="BH96" i="1"/>
  <c r="BV96" i="1"/>
  <c r="AX95" i="1"/>
  <c r="AY94" i="1"/>
  <c r="BA95" i="1"/>
  <c r="AZ94" i="1"/>
  <c r="BB95" i="1"/>
  <c r="BE96" i="1"/>
  <c r="AW97" i="1"/>
  <c r="BF97" i="1"/>
  <c r="BC94" i="1"/>
  <c r="BD95" i="1"/>
  <c r="BG96" i="1"/>
  <c r="BH97" i="1"/>
  <c r="BV97" i="1"/>
  <c r="AX96" i="1"/>
  <c r="AY95" i="1"/>
  <c r="BA96" i="1"/>
  <c r="AZ95" i="1"/>
  <c r="BB96" i="1"/>
  <c r="BE97" i="1"/>
  <c r="AW98" i="1"/>
  <c r="BF98" i="1"/>
  <c r="BC95" i="1"/>
  <c r="BD96" i="1"/>
  <c r="BG97" i="1"/>
  <c r="BH98" i="1"/>
  <c r="BV98" i="1"/>
  <c r="AX97" i="1"/>
  <c r="AY96" i="1"/>
  <c r="BA97" i="1"/>
  <c r="AZ96" i="1"/>
  <c r="BB97" i="1"/>
  <c r="BE98" i="1"/>
  <c r="AW99" i="1"/>
  <c r="BF99" i="1"/>
  <c r="BC96" i="1"/>
  <c r="BD97" i="1"/>
  <c r="BG98" i="1"/>
  <c r="BH99" i="1"/>
  <c r="BV99" i="1"/>
  <c r="AX98" i="1"/>
  <c r="AY97" i="1"/>
  <c r="BA98" i="1"/>
  <c r="AZ97" i="1"/>
  <c r="BB98" i="1"/>
  <c r="BE99" i="1"/>
  <c r="AW100" i="1"/>
  <c r="BF100" i="1"/>
  <c r="BC97" i="1"/>
  <c r="BD98" i="1"/>
  <c r="BG99" i="1"/>
  <c r="BH100" i="1"/>
  <c r="BV100" i="1"/>
  <c r="AX99" i="1"/>
  <c r="AY98" i="1"/>
  <c r="BA99" i="1"/>
  <c r="AZ98" i="1"/>
  <c r="BB99" i="1"/>
  <c r="BE100" i="1"/>
  <c r="AW101" i="1"/>
  <c r="BF101" i="1"/>
  <c r="BC98" i="1"/>
  <c r="BD99" i="1"/>
  <c r="BG100" i="1"/>
  <c r="BH101" i="1"/>
  <c r="BV101" i="1"/>
  <c r="AX100" i="1"/>
  <c r="AY99" i="1"/>
  <c r="BA100" i="1"/>
  <c r="AZ99" i="1"/>
  <c r="BB100" i="1"/>
  <c r="BE101" i="1"/>
  <c r="AW102" i="1"/>
  <c r="BF102" i="1"/>
  <c r="BC99" i="1"/>
  <c r="BD100" i="1"/>
  <c r="BG101" i="1"/>
  <c r="BH102" i="1"/>
  <c r="BV102" i="1"/>
  <c r="AX101" i="1"/>
  <c r="AY100" i="1"/>
  <c r="BA101" i="1"/>
  <c r="AZ100" i="1"/>
  <c r="BB101" i="1"/>
  <c r="BE102" i="1"/>
  <c r="AW103" i="1"/>
  <c r="BF103" i="1"/>
  <c r="BC100" i="1"/>
  <c r="BD101" i="1"/>
  <c r="BG102" i="1"/>
  <c r="BH103" i="1"/>
  <c r="BV103" i="1"/>
  <c r="AX102" i="1"/>
  <c r="AY101" i="1"/>
  <c r="BA102" i="1"/>
  <c r="AZ101" i="1"/>
  <c r="BB102" i="1"/>
  <c r="BE103" i="1"/>
  <c r="AW104" i="1"/>
  <c r="BF104" i="1"/>
  <c r="BC101" i="1"/>
  <c r="BD102" i="1"/>
  <c r="BG103" i="1"/>
  <c r="BH104" i="1"/>
  <c r="BV104" i="1"/>
  <c r="AX103" i="1"/>
  <c r="AY102" i="1"/>
  <c r="BA103" i="1"/>
  <c r="AZ102" i="1"/>
  <c r="BB103" i="1"/>
  <c r="BE104" i="1"/>
  <c r="AW105" i="1"/>
  <c r="BF105" i="1"/>
  <c r="BC102" i="1"/>
  <c r="BD103" i="1"/>
  <c r="BG104" i="1"/>
  <c r="BH105" i="1"/>
  <c r="BV105" i="1"/>
  <c r="AX104" i="1"/>
  <c r="AY103" i="1"/>
  <c r="BA104" i="1"/>
  <c r="AZ103" i="1"/>
  <c r="BB104" i="1"/>
  <c r="BE105" i="1"/>
  <c r="AW106" i="1"/>
  <c r="BF106" i="1"/>
  <c r="BC103" i="1"/>
  <c r="BD104" i="1"/>
  <c r="BG105" i="1"/>
  <c r="BH106" i="1"/>
  <c r="BV106" i="1"/>
  <c r="BV6" i="1"/>
  <c r="G64" i="1"/>
  <c r="F64" i="1"/>
  <c r="H64" i="1"/>
  <c r="I64" i="1"/>
  <c r="J64" i="1"/>
  <c r="C64" i="1"/>
  <c r="BS6" i="1"/>
  <c r="R6" i="1"/>
  <c r="AA6" i="1"/>
  <c r="R7" i="1"/>
  <c r="AA7" i="1"/>
  <c r="AC6" i="1"/>
  <c r="AC7" i="1"/>
  <c r="AQ7" i="1"/>
  <c r="S6" i="1"/>
  <c r="V6" i="1"/>
  <c r="W6" i="1"/>
  <c r="Z7" i="1"/>
  <c r="R8" i="1"/>
  <c r="AA8" i="1"/>
  <c r="Y6" i="1"/>
  <c r="AB7" i="1"/>
  <c r="AC8" i="1"/>
  <c r="AQ8" i="1"/>
  <c r="S7" i="1"/>
  <c r="V7" i="1"/>
  <c r="W7" i="1"/>
  <c r="Z8" i="1"/>
  <c r="R9" i="1"/>
  <c r="AA9" i="1"/>
  <c r="Y7" i="1"/>
  <c r="AB8" i="1"/>
  <c r="AC9" i="1"/>
  <c r="AQ9" i="1"/>
  <c r="S8" i="1"/>
  <c r="T7" i="1"/>
  <c r="V8" i="1"/>
  <c r="U7" i="1"/>
  <c r="W8" i="1"/>
  <c r="Z9" i="1"/>
  <c r="R10" i="1"/>
  <c r="AA10" i="1"/>
  <c r="X7" i="1"/>
  <c r="Y8" i="1"/>
  <c r="AB9" i="1"/>
  <c r="AC10" i="1"/>
  <c r="AQ10" i="1"/>
  <c r="S9" i="1"/>
  <c r="T8" i="1"/>
  <c r="V9" i="1"/>
  <c r="U8" i="1"/>
  <c r="W9" i="1"/>
  <c r="Z10" i="1"/>
  <c r="R11" i="1"/>
  <c r="AA11" i="1"/>
  <c r="X8" i="1"/>
  <c r="Y9" i="1"/>
  <c r="AB10" i="1"/>
  <c r="AC11" i="1"/>
  <c r="AQ11" i="1"/>
  <c r="S10" i="1"/>
  <c r="T9" i="1"/>
  <c r="V10" i="1"/>
  <c r="U9" i="1"/>
  <c r="W10" i="1"/>
  <c r="Z11" i="1"/>
  <c r="R12" i="1"/>
  <c r="AA12" i="1"/>
  <c r="X9" i="1"/>
  <c r="Y10" i="1"/>
  <c r="AB11" i="1"/>
  <c r="AC12" i="1"/>
  <c r="AQ12" i="1"/>
  <c r="S11" i="1"/>
  <c r="T10" i="1"/>
  <c r="V11" i="1"/>
  <c r="U10" i="1"/>
  <c r="W11" i="1"/>
  <c r="Z12" i="1"/>
  <c r="R13" i="1"/>
  <c r="AA13" i="1"/>
  <c r="X10" i="1"/>
  <c r="Y11" i="1"/>
  <c r="AB12" i="1"/>
  <c r="AC13" i="1"/>
  <c r="AQ13" i="1"/>
  <c r="S12" i="1"/>
  <c r="T11" i="1"/>
  <c r="V12" i="1"/>
  <c r="U11" i="1"/>
  <c r="W12" i="1"/>
  <c r="Z13" i="1"/>
  <c r="R14" i="1"/>
  <c r="AA14" i="1"/>
  <c r="X11" i="1"/>
  <c r="Y12" i="1"/>
  <c r="AB13" i="1"/>
  <c r="AC14" i="1"/>
  <c r="AQ14" i="1"/>
  <c r="S13" i="1"/>
  <c r="T12" i="1"/>
  <c r="V13" i="1"/>
  <c r="U12" i="1"/>
  <c r="W13" i="1"/>
  <c r="Z14" i="1"/>
  <c r="R15" i="1"/>
  <c r="AA15" i="1"/>
  <c r="X12" i="1"/>
  <c r="Y13" i="1"/>
  <c r="AB14" i="1"/>
  <c r="AC15" i="1"/>
  <c r="AQ15" i="1"/>
  <c r="S14" i="1"/>
  <c r="T13" i="1"/>
  <c r="V14" i="1"/>
  <c r="U13" i="1"/>
  <c r="W14" i="1"/>
  <c r="Z15" i="1"/>
  <c r="R16" i="1"/>
  <c r="AA16" i="1"/>
  <c r="X13" i="1"/>
  <c r="Y14" i="1"/>
  <c r="AB15" i="1"/>
  <c r="AC16" i="1"/>
  <c r="AQ16" i="1"/>
  <c r="S15" i="1"/>
  <c r="T14" i="1"/>
  <c r="V15" i="1"/>
  <c r="U14" i="1"/>
  <c r="W15" i="1"/>
  <c r="Z16" i="1"/>
  <c r="R17" i="1"/>
  <c r="AA17" i="1"/>
  <c r="X14" i="1"/>
  <c r="Y15" i="1"/>
  <c r="AB16" i="1"/>
  <c r="AC17" i="1"/>
  <c r="AQ17" i="1"/>
  <c r="S16" i="1"/>
  <c r="T15" i="1"/>
  <c r="V16" i="1"/>
  <c r="U15" i="1"/>
  <c r="W16" i="1"/>
  <c r="Z17" i="1"/>
  <c r="R18" i="1"/>
  <c r="AA18" i="1"/>
  <c r="X15" i="1"/>
  <c r="Y16" i="1"/>
  <c r="AB17" i="1"/>
  <c r="AC18" i="1"/>
  <c r="AQ18" i="1"/>
  <c r="S17" i="1"/>
  <c r="T16" i="1"/>
  <c r="V17" i="1"/>
  <c r="U16" i="1"/>
  <c r="W17" i="1"/>
  <c r="Z18" i="1"/>
  <c r="R19" i="1"/>
  <c r="AA19" i="1"/>
  <c r="X16" i="1"/>
  <c r="Y17" i="1"/>
  <c r="AB18" i="1"/>
  <c r="AC19" i="1"/>
  <c r="AQ19" i="1"/>
  <c r="S18" i="1"/>
  <c r="T17" i="1"/>
  <c r="V18" i="1"/>
  <c r="U17" i="1"/>
  <c r="W18" i="1"/>
  <c r="Z19" i="1"/>
  <c r="R20" i="1"/>
  <c r="AA20" i="1"/>
  <c r="X17" i="1"/>
  <c r="Y18" i="1"/>
  <c r="AB19" i="1"/>
  <c r="AC20" i="1"/>
  <c r="AQ20" i="1"/>
  <c r="S19" i="1"/>
  <c r="T18" i="1"/>
  <c r="V19" i="1"/>
  <c r="U18" i="1"/>
  <c r="W19" i="1"/>
  <c r="Z20" i="1"/>
  <c r="R21" i="1"/>
  <c r="AA21" i="1"/>
  <c r="X18" i="1"/>
  <c r="Y19" i="1"/>
  <c r="AB20" i="1"/>
  <c r="AC21" i="1"/>
  <c r="AQ21" i="1"/>
  <c r="S20" i="1"/>
  <c r="T19" i="1"/>
  <c r="V20" i="1"/>
  <c r="U19" i="1"/>
  <c r="W20" i="1"/>
  <c r="Z21" i="1"/>
  <c r="R22" i="1"/>
  <c r="AA22" i="1"/>
  <c r="X19" i="1"/>
  <c r="Y20" i="1"/>
  <c r="AB21" i="1"/>
  <c r="AC22" i="1"/>
  <c r="AQ22" i="1"/>
  <c r="S21" i="1"/>
  <c r="T20" i="1"/>
  <c r="V21" i="1"/>
  <c r="U20" i="1"/>
  <c r="W21" i="1"/>
  <c r="Z22" i="1"/>
  <c r="R23" i="1"/>
  <c r="AA23" i="1"/>
  <c r="X20" i="1"/>
  <c r="Y21" i="1"/>
  <c r="AB22" i="1"/>
  <c r="AC23" i="1"/>
  <c r="AQ23" i="1"/>
  <c r="S22" i="1"/>
  <c r="T21" i="1"/>
  <c r="V22" i="1"/>
  <c r="U21" i="1"/>
  <c r="W22" i="1"/>
  <c r="Z23" i="1"/>
  <c r="R24" i="1"/>
  <c r="AA24" i="1"/>
  <c r="X21" i="1"/>
  <c r="Y22" i="1"/>
  <c r="AB23" i="1"/>
  <c r="AC24" i="1"/>
  <c r="AQ24" i="1"/>
  <c r="S23" i="1"/>
  <c r="T22" i="1"/>
  <c r="V23" i="1"/>
  <c r="U22" i="1"/>
  <c r="W23" i="1"/>
  <c r="Z24" i="1"/>
  <c r="R25" i="1"/>
  <c r="AA25" i="1"/>
  <c r="X22" i="1"/>
  <c r="Y23" i="1"/>
  <c r="AB24" i="1"/>
  <c r="AC25" i="1"/>
  <c r="AQ25" i="1"/>
  <c r="S24" i="1"/>
  <c r="T23" i="1"/>
  <c r="V24" i="1"/>
  <c r="U23" i="1"/>
  <c r="W24" i="1"/>
  <c r="Z25" i="1"/>
  <c r="R26" i="1"/>
  <c r="AA26" i="1"/>
  <c r="X23" i="1"/>
  <c r="Y24" i="1"/>
  <c r="AB25" i="1"/>
  <c r="AC26" i="1"/>
  <c r="AQ26" i="1"/>
  <c r="S25" i="1"/>
  <c r="T24" i="1"/>
  <c r="V25" i="1"/>
  <c r="U24" i="1"/>
  <c r="W25" i="1"/>
  <c r="Z26" i="1"/>
  <c r="R27" i="1"/>
  <c r="AA27" i="1"/>
  <c r="X24" i="1"/>
  <c r="Y25" i="1"/>
  <c r="AB26" i="1"/>
  <c r="AC27" i="1"/>
  <c r="AQ27" i="1"/>
  <c r="S26" i="1"/>
  <c r="T25" i="1"/>
  <c r="V26" i="1"/>
  <c r="U25" i="1"/>
  <c r="W26" i="1"/>
  <c r="Z27" i="1"/>
  <c r="R28" i="1"/>
  <c r="AA28" i="1"/>
  <c r="X25" i="1"/>
  <c r="Y26" i="1"/>
  <c r="AB27" i="1"/>
  <c r="AC28" i="1"/>
  <c r="AQ28" i="1"/>
  <c r="S27" i="1"/>
  <c r="T26" i="1"/>
  <c r="V27" i="1"/>
  <c r="U26" i="1"/>
  <c r="W27" i="1"/>
  <c r="Z28" i="1"/>
  <c r="R29" i="1"/>
  <c r="AA29" i="1"/>
  <c r="X26" i="1"/>
  <c r="Y27" i="1"/>
  <c r="AB28" i="1"/>
  <c r="AC29" i="1"/>
  <c r="AQ29" i="1"/>
  <c r="S28" i="1"/>
  <c r="T27" i="1"/>
  <c r="V28" i="1"/>
  <c r="U27" i="1"/>
  <c r="W28" i="1"/>
  <c r="Z29" i="1"/>
  <c r="R30" i="1"/>
  <c r="AA30" i="1"/>
  <c r="X27" i="1"/>
  <c r="Y28" i="1"/>
  <c r="AB29" i="1"/>
  <c r="AC30" i="1"/>
  <c r="AQ30" i="1"/>
  <c r="S29" i="1"/>
  <c r="T28" i="1"/>
  <c r="V29" i="1"/>
  <c r="U28" i="1"/>
  <c r="W29" i="1"/>
  <c r="Z30" i="1"/>
  <c r="R31" i="1"/>
  <c r="AA31" i="1"/>
  <c r="X28" i="1"/>
  <c r="Y29" i="1"/>
  <c r="AB30" i="1"/>
  <c r="AC31" i="1"/>
  <c r="AQ31" i="1"/>
  <c r="S30" i="1"/>
  <c r="T29" i="1"/>
  <c r="V30" i="1"/>
  <c r="U29" i="1"/>
  <c r="W30" i="1"/>
  <c r="Z31" i="1"/>
  <c r="R32" i="1"/>
  <c r="AA32" i="1"/>
  <c r="X29" i="1"/>
  <c r="Y30" i="1"/>
  <c r="AB31" i="1"/>
  <c r="AC32" i="1"/>
  <c r="AQ32" i="1"/>
  <c r="S31" i="1"/>
  <c r="T30" i="1"/>
  <c r="V31" i="1"/>
  <c r="U30" i="1"/>
  <c r="W31" i="1"/>
  <c r="Z32" i="1"/>
  <c r="R33" i="1"/>
  <c r="AA33" i="1"/>
  <c r="X30" i="1"/>
  <c r="Y31" i="1"/>
  <c r="AB32" i="1"/>
  <c r="AC33" i="1"/>
  <c r="AQ33" i="1"/>
  <c r="S32" i="1"/>
  <c r="T31" i="1"/>
  <c r="V32" i="1"/>
  <c r="U31" i="1"/>
  <c r="W32" i="1"/>
  <c r="Z33" i="1"/>
  <c r="R34" i="1"/>
  <c r="AA34" i="1"/>
  <c r="X31" i="1"/>
  <c r="Y32" i="1"/>
  <c r="AB33" i="1"/>
  <c r="AC34" i="1"/>
  <c r="AQ34" i="1"/>
  <c r="S33" i="1"/>
  <c r="T32" i="1"/>
  <c r="V33" i="1"/>
  <c r="U32" i="1"/>
  <c r="W33" i="1"/>
  <c r="Z34" i="1"/>
  <c r="R35" i="1"/>
  <c r="AA35" i="1"/>
  <c r="X32" i="1"/>
  <c r="Y33" i="1"/>
  <c r="AB34" i="1"/>
  <c r="AC35" i="1"/>
  <c r="AQ35" i="1"/>
  <c r="S34" i="1"/>
  <c r="T33" i="1"/>
  <c r="V34" i="1"/>
  <c r="U33" i="1"/>
  <c r="W34" i="1"/>
  <c r="Z35" i="1"/>
  <c r="R36" i="1"/>
  <c r="AA36" i="1"/>
  <c r="X33" i="1"/>
  <c r="Y34" i="1"/>
  <c r="AB35" i="1"/>
  <c r="AC36" i="1"/>
  <c r="AQ36" i="1"/>
  <c r="S35" i="1"/>
  <c r="T34" i="1"/>
  <c r="V35" i="1"/>
  <c r="U34" i="1"/>
  <c r="W35" i="1"/>
  <c r="Z36" i="1"/>
  <c r="R37" i="1"/>
  <c r="AA37" i="1"/>
  <c r="X34" i="1"/>
  <c r="Y35" i="1"/>
  <c r="AB36" i="1"/>
  <c r="AC37" i="1"/>
  <c r="AQ37" i="1"/>
  <c r="S36" i="1"/>
  <c r="T35" i="1"/>
  <c r="V36" i="1"/>
  <c r="U35" i="1"/>
  <c r="W36" i="1"/>
  <c r="Z37" i="1"/>
  <c r="R38" i="1"/>
  <c r="AA38" i="1"/>
  <c r="X35" i="1"/>
  <c r="Y36" i="1"/>
  <c r="AB37" i="1"/>
  <c r="AC38" i="1"/>
  <c r="AQ38" i="1"/>
  <c r="S37" i="1"/>
  <c r="T36" i="1"/>
  <c r="V37" i="1"/>
  <c r="U36" i="1"/>
  <c r="W37" i="1"/>
  <c r="Z38" i="1"/>
  <c r="R39" i="1"/>
  <c r="AA39" i="1"/>
  <c r="X36" i="1"/>
  <c r="Y37" i="1"/>
  <c r="AB38" i="1"/>
  <c r="AC39" i="1"/>
  <c r="AQ39" i="1"/>
  <c r="S38" i="1"/>
  <c r="T37" i="1"/>
  <c r="V38" i="1"/>
  <c r="U37" i="1"/>
  <c r="W38" i="1"/>
  <c r="Z39" i="1"/>
  <c r="R40" i="1"/>
  <c r="AA40" i="1"/>
  <c r="X37" i="1"/>
  <c r="Y38" i="1"/>
  <c r="AB39" i="1"/>
  <c r="AC40" i="1"/>
  <c r="AQ40" i="1"/>
  <c r="S39" i="1"/>
  <c r="T38" i="1"/>
  <c r="V39" i="1"/>
  <c r="U38" i="1"/>
  <c r="W39" i="1"/>
  <c r="Z40" i="1"/>
  <c r="R41" i="1"/>
  <c r="AA41" i="1"/>
  <c r="X38" i="1"/>
  <c r="Y39" i="1"/>
  <c r="AB40" i="1"/>
  <c r="AC41" i="1"/>
  <c r="AQ41" i="1"/>
  <c r="S40" i="1"/>
  <c r="T39" i="1"/>
  <c r="V40" i="1"/>
  <c r="U39" i="1"/>
  <c r="W40" i="1"/>
  <c r="Z41" i="1"/>
  <c r="R42" i="1"/>
  <c r="AA42" i="1"/>
  <c r="X39" i="1"/>
  <c r="Y40" i="1"/>
  <c r="AB41" i="1"/>
  <c r="AC42" i="1"/>
  <c r="AQ42" i="1"/>
  <c r="S41" i="1"/>
  <c r="T40" i="1"/>
  <c r="V41" i="1"/>
  <c r="U40" i="1"/>
  <c r="W41" i="1"/>
  <c r="Z42" i="1"/>
  <c r="R43" i="1"/>
  <c r="AA43" i="1"/>
  <c r="X40" i="1"/>
  <c r="Y41" i="1"/>
  <c r="AB42" i="1"/>
  <c r="AC43" i="1"/>
  <c r="AQ43" i="1"/>
  <c r="S42" i="1"/>
  <c r="T41" i="1"/>
  <c r="V42" i="1"/>
  <c r="U41" i="1"/>
  <c r="W42" i="1"/>
  <c r="Z43" i="1"/>
  <c r="R44" i="1"/>
  <c r="AA44" i="1"/>
  <c r="X41" i="1"/>
  <c r="Y42" i="1"/>
  <c r="AB43" i="1"/>
  <c r="AC44" i="1"/>
  <c r="AQ44" i="1"/>
  <c r="S43" i="1"/>
  <c r="T42" i="1"/>
  <c r="V43" i="1"/>
  <c r="U42" i="1"/>
  <c r="W43" i="1"/>
  <c r="Z44" i="1"/>
  <c r="R45" i="1"/>
  <c r="AA45" i="1"/>
  <c r="X42" i="1"/>
  <c r="Y43" i="1"/>
  <c r="AB44" i="1"/>
  <c r="AC45" i="1"/>
  <c r="AQ45" i="1"/>
  <c r="S44" i="1"/>
  <c r="T43" i="1"/>
  <c r="V44" i="1"/>
  <c r="U43" i="1"/>
  <c r="W44" i="1"/>
  <c r="Z45" i="1"/>
  <c r="R46" i="1"/>
  <c r="AA46" i="1"/>
  <c r="X43" i="1"/>
  <c r="Y44" i="1"/>
  <c r="AB45" i="1"/>
  <c r="AC46" i="1"/>
  <c r="AQ46" i="1"/>
  <c r="S45" i="1"/>
  <c r="T44" i="1"/>
  <c r="V45" i="1"/>
  <c r="U44" i="1"/>
  <c r="W45" i="1"/>
  <c r="Z46" i="1"/>
  <c r="R47" i="1"/>
  <c r="AA47" i="1"/>
  <c r="X44" i="1"/>
  <c r="Y45" i="1"/>
  <c r="AB46" i="1"/>
  <c r="AC47" i="1"/>
  <c r="AQ47" i="1"/>
  <c r="S46" i="1"/>
  <c r="T45" i="1"/>
  <c r="V46" i="1"/>
  <c r="U45" i="1"/>
  <c r="W46" i="1"/>
  <c r="Z47" i="1"/>
  <c r="R48" i="1"/>
  <c r="AA48" i="1"/>
  <c r="X45" i="1"/>
  <c r="Y46" i="1"/>
  <c r="AB47" i="1"/>
  <c r="AC48" i="1"/>
  <c r="AQ48" i="1"/>
  <c r="S47" i="1"/>
  <c r="T46" i="1"/>
  <c r="V47" i="1"/>
  <c r="U46" i="1"/>
  <c r="W47" i="1"/>
  <c r="Z48" i="1"/>
  <c r="R49" i="1"/>
  <c r="AA49" i="1"/>
  <c r="X46" i="1"/>
  <c r="Y47" i="1"/>
  <c r="AB48" i="1"/>
  <c r="AC49" i="1"/>
  <c r="AQ49" i="1"/>
  <c r="S48" i="1"/>
  <c r="T47" i="1"/>
  <c r="V48" i="1"/>
  <c r="U47" i="1"/>
  <c r="W48" i="1"/>
  <c r="Z49" i="1"/>
  <c r="R50" i="1"/>
  <c r="AA50" i="1"/>
  <c r="X47" i="1"/>
  <c r="Y48" i="1"/>
  <c r="AB49" i="1"/>
  <c r="AC50" i="1"/>
  <c r="AQ50" i="1"/>
  <c r="S49" i="1"/>
  <c r="T48" i="1"/>
  <c r="V49" i="1"/>
  <c r="U48" i="1"/>
  <c r="W49" i="1"/>
  <c r="Z50" i="1"/>
  <c r="R51" i="1"/>
  <c r="AA51" i="1"/>
  <c r="X48" i="1"/>
  <c r="Y49" i="1"/>
  <c r="AB50" i="1"/>
  <c r="AC51" i="1"/>
  <c r="AQ51" i="1"/>
  <c r="S50" i="1"/>
  <c r="T49" i="1"/>
  <c r="V50" i="1"/>
  <c r="U49" i="1"/>
  <c r="W50" i="1"/>
  <c r="Z51" i="1"/>
  <c r="R52" i="1"/>
  <c r="AA52" i="1"/>
  <c r="X49" i="1"/>
  <c r="Y50" i="1"/>
  <c r="AB51" i="1"/>
  <c r="AC52" i="1"/>
  <c r="AQ52" i="1"/>
  <c r="S51" i="1"/>
  <c r="T50" i="1"/>
  <c r="V51" i="1"/>
  <c r="U50" i="1"/>
  <c r="W51" i="1"/>
  <c r="Z52" i="1"/>
  <c r="R53" i="1"/>
  <c r="AA53" i="1"/>
  <c r="X50" i="1"/>
  <c r="Y51" i="1"/>
  <c r="AB52" i="1"/>
  <c r="AC53" i="1"/>
  <c r="AQ53" i="1"/>
  <c r="S52" i="1"/>
  <c r="T51" i="1"/>
  <c r="V52" i="1"/>
  <c r="U51" i="1"/>
  <c r="W52" i="1"/>
  <c r="Z53" i="1"/>
  <c r="R54" i="1"/>
  <c r="AA54" i="1"/>
  <c r="X51" i="1"/>
  <c r="Y52" i="1"/>
  <c r="AB53" i="1"/>
  <c r="AC54" i="1"/>
  <c r="AQ54" i="1"/>
  <c r="S53" i="1"/>
  <c r="T52" i="1"/>
  <c r="V53" i="1"/>
  <c r="U52" i="1"/>
  <c r="W53" i="1"/>
  <c r="Z54" i="1"/>
  <c r="R55" i="1"/>
  <c r="AA55" i="1"/>
  <c r="X52" i="1"/>
  <c r="Y53" i="1"/>
  <c r="AB54" i="1"/>
  <c r="AC55" i="1"/>
  <c r="AQ55" i="1"/>
  <c r="S54" i="1"/>
  <c r="T53" i="1"/>
  <c r="V54" i="1"/>
  <c r="U53" i="1"/>
  <c r="W54" i="1"/>
  <c r="Z55" i="1"/>
  <c r="R56" i="1"/>
  <c r="AA56" i="1"/>
  <c r="X53" i="1"/>
  <c r="Y54" i="1"/>
  <c r="AB55" i="1"/>
  <c r="AC56" i="1"/>
  <c r="AQ56" i="1"/>
  <c r="S55" i="1"/>
  <c r="T54" i="1"/>
  <c r="V55" i="1"/>
  <c r="U54" i="1"/>
  <c r="W55" i="1"/>
  <c r="Z56" i="1"/>
  <c r="R57" i="1"/>
  <c r="AA57" i="1"/>
  <c r="X54" i="1"/>
  <c r="Y55" i="1"/>
  <c r="AB56" i="1"/>
  <c r="AC57" i="1"/>
  <c r="AQ57" i="1"/>
  <c r="S56" i="1"/>
  <c r="T55" i="1"/>
  <c r="V56" i="1"/>
  <c r="U55" i="1"/>
  <c r="W56" i="1"/>
  <c r="Z57" i="1"/>
  <c r="R58" i="1"/>
  <c r="AA58" i="1"/>
  <c r="X55" i="1"/>
  <c r="Y56" i="1"/>
  <c r="AB57" i="1"/>
  <c r="AC58" i="1"/>
  <c r="AQ58" i="1"/>
  <c r="S57" i="1"/>
  <c r="T56" i="1"/>
  <c r="V57" i="1"/>
  <c r="U56" i="1"/>
  <c r="W57" i="1"/>
  <c r="Z58" i="1"/>
  <c r="R59" i="1"/>
  <c r="AA59" i="1"/>
  <c r="X56" i="1"/>
  <c r="Y57" i="1"/>
  <c r="AB58" i="1"/>
  <c r="AC59" i="1"/>
  <c r="AQ59" i="1"/>
  <c r="S58" i="1"/>
  <c r="T57" i="1"/>
  <c r="V58" i="1"/>
  <c r="U57" i="1"/>
  <c r="W58" i="1"/>
  <c r="Z59" i="1"/>
  <c r="R60" i="1"/>
  <c r="AA60" i="1"/>
  <c r="X57" i="1"/>
  <c r="Y58" i="1"/>
  <c r="AB59" i="1"/>
  <c r="AC60" i="1"/>
  <c r="AQ60" i="1"/>
  <c r="S59" i="1"/>
  <c r="T58" i="1"/>
  <c r="V59" i="1"/>
  <c r="U58" i="1"/>
  <c r="W59" i="1"/>
  <c r="Z60" i="1"/>
  <c r="R61" i="1"/>
  <c r="AA61" i="1"/>
  <c r="X58" i="1"/>
  <c r="Y59" i="1"/>
  <c r="AB60" i="1"/>
  <c r="AC61" i="1"/>
  <c r="AQ61" i="1"/>
  <c r="S60" i="1"/>
  <c r="T59" i="1"/>
  <c r="V60" i="1"/>
  <c r="U59" i="1"/>
  <c r="W60" i="1"/>
  <c r="Z61" i="1"/>
  <c r="R62" i="1"/>
  <c r="AA62" i="1"/>
  <c r="X59" i="1"/>
  <c r="Y60" i="1"/>
  <c r="AB61" i="1"/>
  <c r="AC62" i="1"/>
  <c r="AQ62" i="1"/>
  <c r="S61" i="1"/>
  <c r="T60" i="1"/>
  <c r="V61" i="1"/>
  <c r="U60" i="1"/>
  <c r="W61" i="1"/>
  <c r="Z62" i="1"/>
  <c r="R63" i="1"/>
  <c r="AA63" i="1"/>
  <c r="X60" i="1"/>
  <c r="Y61" i="1"/>
  <c r="AB62" i="1"/>
  <c r="AC63" i="1"/>
  <c r="AQ63" i="1"/>
  <c r="S62" i="1"/>
  <c r="T61" i="1"/>
  <c r="V62" i="1"/>
  <c r="U61" i="1"/>
  <c r="W62" i="1"/>
  <c r="Z63" i="1"/>
  <c r="R64" i="1"/>
  <c r="AA64" i="1"/>
  <c r="X61" i="1"/>
  <c r="Y62" i="1"/>
  <c r="AB63" i="1"/>
  <c r="AC64" i="1"/>
  <c r="AQ64" i="1"/>
  <c r="S63" i="1"/>
  <c r="T62" i="1"/>
  <c r="V63" i="1"/>
  <c r="U62" i="1"/>
  <c r="W63" i="1"/>
  <c r="Z64" i="1"/>
  <c r="R65" i="1"/>
  <c r="AA65" i="1"/>
  <c r="X62" i="1"/>
  <c r="Y63" i="1"/>
  <c r="AB64" i="1"/>
  <c r="AC65" i="1"/>
  <c r="AQ65" i="1"/>
  <c r="S64" i="1"/>
  <c r="T63" i="1"/>
  <c r="V64" i="1"/>
  <c r="U63" i="1"/>
  <c r="W64" i="1"/>
  <c r="Z65" i="1"/>
  <c r="R66" i="1"/>
  <c r="AA66" i="1"/>
  <c r="X63" i="1"/>
  <c r="Y64" i="1"/>
  <c r="AB65" i="1"/>
  <c r="AC66" i="1"/>
  <c r="AQ66" i="1"/>
  <c r="S65" i="1"/>
  <c r="T64" i="1"/>
  <c r="V65" i="1"/>
  <c r="U64" i="1"/>
  <c r="W65" i="1"/>
  <c r="Z66" i="1"/>
  <c r="R67" i="1"/>
  <c r="AA67" i="1"/>
  <c r="X64" i="1"/>
  <c r="Y65" i="1"/>
  <c r="AB66" i="1"/>
  <c r="AC67" i="1"/>
  <c r="AQ67" i="1"/>
  <c r="S66" i="1"/>
  <c r="T65" i="1"/>
  <c r="V66" i="1"/>
  <c r="U65" i="1"/>
  <c r="W66" i="1"/>
  <c r="Z67" i="1"/>
  <c r="R68" i="1"/>
  <c r="AA68" i="1"/>
  <c r="X65" i="1"/>
  <c r="Y66" i="1"/>
  <c r="AB67" i="1"/>
  <c r="AC68" i="1"/>
  <c r="AQ68" i="1"/>
  <c r="S67" i="1"/>
  <c r="T66" i="1"/>
  <c r="V67" i="1"/>
  <c r="U66" i="1"/>
  <c r="W67" i="1"/>
  <c r="Z68" i="1"/>
  <c r="R69" i="1"/>
  <c r="AA69" i="1"/>
  <c r="X66" i="1"/>
  <c r="Y67" i="1"/>
  <c r="AB68" i="1"/>
  <c r="AC69" i="1"/>
  <c r="AQ69" i="1"/>
  <c r="S68" i="1"/>
  <c r="T67" i="1"/>
  <c r="V68" i="1"/>
  <c r="U67" i="1"/>
  <c r="W68" i="1"/>
  <c r="Z69" i="1"/>
  <c r="R70" i="1"/>
  <c r="AA70" i="1"/>
  <c r="X67" i="1"/>
  <c r="Y68" i="1"/>
  <c r="AB69" i="1"/>
  <c r="AC70" i="1"/>
  <c r="AQ70" i="1"/>
  <c r="S69" i="1"/>
  <c r="T68" i="1"/>
  <c r="V69" i="1"/>
  <c r="U68" i="1"/>
  <c r="W69" i="1"/>
  <c r="Z70" i="1"/>
  <c r="R71" i="1"/>
  <c r="AA71" i="1"/>
  <c r="X68" i="1"/>
  <c r="Y69" i="1"/>
  <c r="AB70" i="1"/>
  <c r="AC71" i="1"/>
  <c r="AQ71" i="1"/>
  <c r="S70" i="1"/>
  <c r="T69" i="1"/>
  <c r="V70" i="1"/>
  <c r="U69" i="1"/>
  <c r="W70" i="1"/>
  <c r="Z71" i="1"/>
  <c r="R72" i="1"/>
  <c r="AA72" i="1"/>
  <c r="X69" i="1"/>
  <c r="Y70" i="1"/>
  <c r="AB71" i="1"/>
  <c r="AC72" i="1"/>
  <c r="AQ72" i="1"/>
  <c r="S71" i="1"/>
  <c r="T70" i="1"/>
  <c r="V71" i="1"/>
  <c r="U70" i="1"/>
  <c r="W71" i="1"/>
  <c r="Z72" i="1"/>
  <c r="R73" i="1"/>
  <c r="AA73" i="1"/>
  <c r="X70" i="1"/>
  <c r="Y71" i="1"/>
  <c r="AB72" i="1"/>
  <c r="AC73" i="1"/>
  <c r="AQ73" i="1"/>
  <c r="S72" i="1"/>
  <c r="T71" i="1"/>
  <c r="V72" i="1"/>
  <c r="U71" i="1"/>
  <c r="W72" i="1"/>
  <c r="Z73" i="1"/>
  <c r="R74" i="1"/>
  <c r="AA74" i="1"/>
  <c r="X71" i="1"/>
  <c r="Y72" i="1"/>
  <c r="AB73" i="1"/>
  <c r="AC74" i="1"/>
  <c r="AQ74" i="1"/>
  <c r="S73" i="1"/>
  <c r="T72" i="1"/>
  <c r="V73" i="1"/>
  <c r="U72" i="1"/>
  <c r="W73" i="1"/>
  <c r="Z74" i="1"/>
  <c r="R75" i="1"/>
  <c r="AA75" i="1"/>
  <c r="X72" i="1"/>
  <c r="Y73" i="1"/>
  <c r="AB74" i="1"/>
  <c r="AC75" i="1"/>
  <c r="AQ75" i="1"/>
  <c r="S74" i="1"/>
  <c r="T73" i="1"/>
  <c r="V74" i="1"/>
  <c r="U73" i="1"/>
  <c r="W74" i="1"/>
  <c r="Z75" i="1"/>
  <c r="R76" i="1"/>
  <c r="AA76" i="1"/>
  <c r="X73" i="1"/>
  <c r="Y74" i="1"/>
  <c r="AB75" i="1"/>
  <c r="AC76" i="1"/>
  <c r="AQ76" i="1"/>
  <c r="S75" i="1"/>
  <c r="T74" i="1"/>
  <c r="V75" i="1"/>
  <c r="U74" i="1"/>
  <c r="W75" i="1"/>
  <c r="Z76" i="1"/>
  <c r="R77" i="1"/>
  <c r="AA77" i="1"/>
  <c r="X74" i="1"/>
  <c r="Y75" i="1"/>
  <c r="AB76" i="1"/>
  <c r="AC77" i="1"/>
  <c r="AQ77" i="1"/>
  <c r="S76" i="1"/>
  <c r="T75" i="1"/>
  <c r="V76" i="1"/>
  <c r="U75" i="1"/>
  <c r="W76" i="1"/>
  <c r="Z77" i="1"/>
  <c r="R78" i="1"/>
  <c r="AA78" i="1"/>
  <c r="X75" i="1"/>
  <c r="Y76" i="1"/>
  <c r="AB77" i="1"/>
  <c r="AC78" i="1"/>
  <c r="AQ78" i="1"/>
  <c r="S77" i="1"/>
  <c r="T76" i="1"/>
  <c r="V77" i="1"/>
  <c r="U76" i="1"/>
  <c r="W77" i="1"/>
  <c r="Z78" i="1"/>
  <c r="R79" i="1"/>
  <c r="AA79" i="1"/>
  <c r="X76" i="1"/>
  <c r="Y77" i="1"/>
  <c r="AB78" i="1"/>
  <c r="AC79" i="1"/>
  <c r="AQ79" i="1"/>
  <c r="S78" i="1"/>
  <c r="T77" i="1"/>
  <c r="V78" i="1"/>
  <c r="U77" i="1"/>
  <c r="W78" i="1"/>
  <c r="Z79" i="1"/>
  <c r="R80" i="1"/>
  <c r="AA80" i="1"/>
  <c r="X77" i="1"/>
  <c r="Y78" i="1"/>
  <c r="AB79" i="1"/>
  <c r="AC80" i="1"/>
  <c r="AQ80" i="1"/>
  <c r="S79" i="1"/>
  <c r="T78" i="1"/>
  <c r="V79" i="1"/>
  <c r="U78" i="1"/>
  <c r="W79" i="1"/>
  <c r="Z80" i="1"/>
  <c r="R81" i="1"/>
  <c r="AA81" i="1"/>
  <c r="X78" i="1"/>
  <c r="Y79" i="1"/>
  <c r="AB80" i="1"/>
  <c r="AC81" i="1"/>
  <c r="AQ81" i="1"/>
  <c r="S80" i="1"/>
  <c r="T79" i="1"/>
  <c r="V80" i="1"/>
  <c r="U79" i="1"/>
  <c r="W80" i="1"/>
  <c r="Z81" i="1"/>
  <c r="R82" i="1"/>
  <c r="AA82" i="1"/>
  <c r="X79" i="1"/>
  <c r="Y80" i="1"/>
  <c r="AB81" i="1"/>
  <c r="AC82" i="1"/>
  <c r="AQ82" i="1"/>
  <c r="S81" i="1"/>
  <c r="T80" i="1"/>
  <c r="V81" i="1"/>
  <c r="U80" i="1"/>
  <c r="W81" i="1"/>
  <c r="Z82" i="1"/>
  <c r="R83" i="1"/>
  <c r="AA83" i="1"/>
  <c r="X80" i="1"/>
  <c r="Y81" i="1"/>
  <c r="AB82" i="1"/>
  <c r="AC83" i="1"/>
  <c r="AQ83" i="1"/>
  <c r="S82" i="1"/>
  <c r="T81" i="1"/>
  <c r="V82" i="1"/>
  <c r="U81" i="1"/>
  <c r="W82" i="1"/>
  <c r="Z83" i="1"/>
  <c r="R84" i="1"/>
  <c r="AA84" i="1"/>
  <c r="X81" i="1"/>
  <c r="Y82" i="1"/>
  <c r="AB83" i="1"/>
  <c r="AC84" i="1"/>
  <c r="AQ84" i="1"/>
  <c r="S83" i="1"/>
  <c r="T82" i="1"/>
  <c r="V83" i="1"/>
  <c r="U82" i="1"/>
  <c r="W83" i="1"/>
  <c r="Z84" i="1"/>
  <c r="R85" i="1"/>
  <c r="AA85" i="1"/>
  <c r="X82" i="1"/>
  <c r="Y83" i="1"/>
  <c r="AB84" i="1"/>
  <c r="AC85" i="1"/>
  <c r="AQ85" i="1"/>
  <c r="S84" i="1"/>
  <c r="T83" i="1"/>
  <c r="V84" i="1"/>
  <c r="U83" i="1"/>
  <c r="W84" i="1"/>
  <c r="Z85" i="1"/>
  <c r="R86" i="1"/>
  <c r="AA86" i="1"/>
  <c r="X83" i="1"/>
  <c r="Y84" i="1"/>
  <c r="AB85" i="1"/>
  <c r="AC86" i="1"/>
  <c r="AQ86" i="1"/>
  <c r="S85" i="1"/>
  <c r="T84" i="1"/>
  <c r="V85" i="1"/>
  <c r="U84" i="1"/>
  <c r="W85" i="1"/>
  <c r="Z86" i="1"/>
  <c r="R87" i="1"/>
  <c r="AA87" i="1"/>
  <c r="X84" i="1"/>
  <c r="Y85" i="1"/>
  <c r="AB86" i="1"/>
  <c r="AC87" i="1"/>
  <c r="AQ87" i="1"/>
  <c r="S86" i="1"/>
  <c r="T85" i="1"/>
  <c r="V86" i="1"/>
  <c r="U85" i="1"/>
  <c r="W86" i="1"/>
  <c r="Z87" i="1"/>
  <c r="R88" i="1"/>
  <c r="AA88" i="1"/>
  <c r="X85" i="1"/>
  <c r="Y86" i="1"/>
  <c r="AB87" i="1"/>
  <c r="AC88" i="1"/>
  <c r="AQ88" i="1"/>
  <c r="S87" i="1"/>
  <c r="T86" i="1"/>
  <c r="V87" i="1"/>
  <c r="U86" i="1"/>
  <c r="W87" i="1"/>
  <c r="Z88" i="1"/>
  <c r="R89" i="1"/>
  <c r="AA89" i="1"/>
  <c r="X86" i="1"/>
  <c r="Y87" i="1"/>
  <c r="AB88" i="1"/>
  <c r="AC89" i="1"/>
  <c r="AQ89" i="1"/>
  <c r="S88" i="1"/>
  <c r="T87" i="1"/>
  <c r="V88" i="1"/>
  <c r="U87" i="1"/>
  <c r="W88" i="1"/>
  <c r="Z89" i="1"/>
  <c r="R90" i="1"/>
  <c r="AA90" i="1"/>
  <c r="X87" i="1"/>
  <c r="Y88" i="1"/>
  <c r="AB89" i="1"/>
  <c r="AC90" i="1"/>
  <c r="AQ90" i="1"/>
  <c r="S89" i="1"/>
  <c r="T88" i="1"/>
  <c r="V89" i="1"/>
  <c r="U88" i="1"/>
  <c r="W89" i="1"/>
  <c r="Z90" i="1"/>
  <c r="R91" i="1"/>
  <c r="AA91" i="1"/>
  <c r="X88" i="1"/>
  <c r="Y89" i="1"/>
  <c r="AB90" i="1"/>
  <c r="AC91" i="1"/>
  <c r="AQ91" i="1"/>
  <c r="S90" i="1"/>
  <c r="T89" i="1"/>
  <c r="V90" i="1"/>
  <c r="U89" i="1"/>
  <c r="W90" i="1"/>
  <c r="Z91" i="1"/>
  <c r="R92" i="1"/>
  <c r="AA92" i="1"/>
  <c r="X89" i="1"/>
  <c r="Y90" i="1"/>
  <c r="AB91" i="1"/>
  <c r="AC92" i="1"/>
  <c r="AQ92" i="1"/>
  <c r="S91" i="1"/>
  <c r="T90" i="1"/>
  <c r="V91" i="1"/>
  <c r="U90" i="1"/>
  <c r="W91" i="1"/>
  <c r="Z92" i="1"/>
  <c r="R93" i="1"/>
  <c r="AA93" i="1"/>
  <c r="X90" i="1"/>
  <c r="Y91" i="1"/>
  <c r="AB92" i="1"/>
  <c r="AC93" i="1"/>
  <c r="AQ93" i="1"/>
  <c r="S92" i="1"/>
  <c r="T91" i="1"/>
  <c r="V92" i="1"/>
  <c r="U91" i="1"/>
  <c r="W92" i="1"/>
  <c r="Z93" i="1"/>
  <c r="R94" i="1"/>
  <c r="AA94" i="1"/>
  <c r="X91" i="1"/>
  <c r="Y92" i="1"/>
  <c r="AB93" i="1"/>
  <c r="AC94" i="1"/>
  <c r="AQ94" i="1"/>
  <c r="S93" i="1"/>
  <c r="T92" i="1"/>
  <c r="V93" i="1"/>
  <c r="U92" i="1"/>
  <c r="W93" i="1"/>
  <c r="Z94" i="1"/>
  <c r="R95" i="1"/>
  <c r="AA95" i="1"/>
  <c r="X92" i="1"/>
  <c r="Y93" i="1"/>
  <c r="AB94" i="1"/>
  <c r="AC95" i="1"/>
  <c r="AQ95" i="1"/>
  <c r="S94" i="1"/>
  <c r="T93" i="1"/>
  <c r="V94" i="1"/>
  <c r="U93" i="1"/>
  <c r="W94" i="1"/>
  <c r="Z95" i="1"/>
  <c r="R96" i="1"/>
  <c r="AA96" i="1"/>
  <c r="X93" i="1"/>
  <c r="Y94" i="1"/>
  <c r="AB95" i="1"/>
  <c r="AC96" i="1"/>
  <c r="AQ96" i="1"/>
  <c r="S95" i="1"/>
  <c r="T94" i="1"/>
  <c r="V95" i="1"/>
  <c r="U94" i="1"/>
  <c r="W95" i="1"/>
  <c r="Z96" i="1"/>
  <c r="R97" i="1"/>
  <c r="AA97" i="1"/>
  <c r="X94" i="1"/>
  <c r="Y95" i="1"/>
  <c r="AB96" i="1"/>
  <c r="AC97" i="1"/>
  <c r="AQ97" i="1"/>
  <c r="S96" i="1"/>
  <c r="T95" i="1"/>
  <c r="V96" i="1"/>
  <c r="U95" i="1"/>
  <c r="W96" i="1"/>
  <c r="Z97" i="1"/>
  <c r="R98" i="1"/>
  <c r="AA98" i="1"/>
  <c r="X95" i="1"/>
  <c r="Y96" i="1"/>
  <c r="AB97" i="1"/>
  <c r="AC98" i="1"/>
  <c r="AQ98" i="1"/>
  <c r="S97" i="1"/>
  <c r="T96" i="1"/>
  <c r="V97" i="1"/>
  <c r="U96" i="1"/>
  <c r="W97" i="1"/>
  <c r="Z98" i="1"/>
  <c r="R99" i="1"/>
  <c r="AA99" i="1"/>
  <c r="X96" i="1"/>
  <c r="Y97" i="1"/>
  <c r="AB98" i="1"/>
  <c r="AC99" i="1"/>
  <c r="AQ99" i="1"/>
  <c r="S98" i="1"/>
  <c r="T97" i="1"/>
  <c r="V98" i="1"/>
  <c r="U97" i="1"/>
  <c r="W98" i="1"/>
  <c r="Z99" i="1"/>
  <c r="R100" i="1"/>
  <c r="AA100" i="1"/>
  <c r="X97" i="1"/>
  <c r="Y98" i="1"/>
  <c r="AB99" i="1"/>
  <c r="AC100" i="1"/>
  <c r="AQ100" i="1"/>
  <c r="S99" i="1"/>
  <c r="T98" i="1"/>
  <c r="V99" i="1"/>
  <c r="U98" i="1"/>
  <c r="W99" i="1"/>
  <c r="Z100" i="1"/>
  <c r="R101" i="1"/>
  <c r="AA101" i="1"/>
  <c r="X98" i="1"/>
  <c r="Y99" i="1"/>
  <c r="AB100" i="1"/>
  <c r="AC101" i="1"/>
  <c r="AQ101" i="1"/>
  <c r="S100" i="1"/>
  <c r="T99" i="1"/>
  <c r="V100" i="1"/>
  <c r="U99" i="1"/>
  <c r="W100" i="1"/>
  <c r="Z101" i="1"/>
  <c r="R102" i="1"/>
  <c r="AA102" i="1"/>
  <c r="X99" i="1"/>
  <c r="Y100" i="1"/>
  <c r="AB101" i="1"/>
  <c r="AC102" i="1"/>
  <c r="AQ102" i="1"/>
  <c r="S101" i="1"/>
  <c r="T100" i="1"/>
  <c r="V101" i="1"/>
  <c r="U100" i="1"/>
  <c r="W101" i="1"/>
  <c r="Z102" i="1"/>
  <c r="R103" i="1"/>
  <c r="AA103" i="1"/>
  <c r="X100" i="1"/>
  <c r="Y101" i="1"/>
  <c r="AB102" i="1"/>
  <c r="AC103" i="1"/>
  <c r="AQ103" i="1"/>
  <c r="S102" i="1"/>
  <c r="T101" i="1"/>
  <c r="V102" i="1"/>
  <c r="U101" i="1"/>
  <c r="W102" i="1"/>
  <c r="Z103" i="1"/>
  <c r="R104" i="1"/>
  <c r="AA104" i="1"/>
  <c r="X101" i="1"/>
  <c r="Y102" i="1"/>
  <c r="AB103" i="1"/>
  <c r="AC104" i="1"/>
  <c r="AQ104" i="1"/>
  <c r="S103" i="1"/>
  <c r="T102" i="1"/>
  <c r="V103" i="1"/>
  <c r="U102" i="1"/>
  <c r="W103" i="1"/>
  <c r="Z104" i="1"/>
  <c r="R105" i="1"/>
  <c r="AA105" i="1"/>
  <c r="X102" i="1"/>
  <c r="Y103" i="1"/>
  <c r="AB104" i="1"/>
  <c r="AC105" i="1"/>
  <c r="AQ105" i="1"/>
  <c r="S104" i="1"/>
  <c r="T103" i="1"/>
  <c r="V104" i="1"/>
  <c r="U103" i="1"/>
  <c r="W104" i="1"/>
  <c r="Z105" i="1"/>
  <c r="R106" i="1"/>
  <c r="AA106" i="1"/>
  <c r="X103" i="1"/>
  <c r="Y104" i="1"/>
  <c r="AB105" i="1"/>
  <c r="AC106" i="1"/>
  <c r="AQ106" i="1"/>
  <c r="AQ6" i="1"/>
  <c r="E66" i="1"/>
  <c r="E65" i="1"/>
  <c r="CF60" i="1"/>
  <c r="CE26" i="1"/>
  <c r="CE38" i="1"/>
  <c r="CE32" i="1"/>
  <c r="CD26" i="1"/>
  <c r="CD38" i="1"/>
  <c r="CD32" i="1"/>
  <c r="CC33" i="1"/>
  <c r="CC46" i="1"/>
  <c r="CC40" i="1"/>
  <c r="CC29" i="1"/>
  <c r="CC39" i="1"/>
  <c r="CC47" i="1"/>
  <c r="CC37" i="1"/>
  <c r="CC48" i="1"/>
  <c r="CC35" i="1"/>
  <c r="CC34" i="1"/>
  <c r="CC42" i="1"/>
  <c r="CC31" i="1"/>
  <c r="CC30" i="1"/>
  <c r="CC44" i="1"/>
  <c r="CC28" i="1"/>
  <c r="CC52" i="1"/>
  <c r="CC53" i="1"/>
  <c r="CC25" i="1"/>
  <c r="CC49" i="1"/>
  <c r="CC43" i="1"/>
  <c r="CC24" i="1"/>
  <c r="CC55" i="1"/>
  <c r="CC54" i="1"/>
  <c r="CC58" i="1"/>
  <c r="CC26" i="1"/>
  <c r="CC51" i="1"/>
  <c r="CC41" i="1"/>
  <c r="CC38" i="1"/>
  <c r="CC32" i="1"/>
  <c r="CC57" i="1"/>
  <c r="CC56" i="1"/>
  <c r="CC45" i="1"/>
  <c r="CC36" i="1"/>
  <c r="CC50" i="1"/>
  <c r="CC27" i="1"/>
  <c r="CH61" i="1"/>
  <c r="CH60" i="1"/>
  <c r="CH50" i="1"/>
  <c r="CH36" i="1"/>
  <c r="CH45" i="1"/>
  <c r="CH56" i="1"/>
  <c r="CH57" i="1"/>
  <c r="CH32" i="1"/>
  <c r="CH38" i="1"/>
  <c r="CH41" i="1"/>
  <c r="CH51" i="1"/>
  <c r="CH26" i="1"/>
  <c r="CH58" i="1"/>
  <c r="CH54" i="1"/>
  <c r="CH55" i="1"/>
  <c r="CH24" i="1"/>
  <c r="CH43" i="1"/>
  <c r="CH49" i="1"/>
  <c r="CH25" i="1"/>
  <c r="CH53" i="1"/>
  <c r="CH52" i="1"/>
  <c r="CH28" i="1"/>
  <c r="CH44" i="1"/>
  <c r="CH30" i="1"/>
  <c r="CH31" i="1"/>
  <c r="CH42" i="1"/>
  <c r="CH34" i="1"/>
  <c r="CH35" i="1"/>
  <c r="CH48" i="1"/>
  <c r="CH37" i="1"/>
  <c r="CH47" i="1"/>
  <c r="CH39" i="1"/>
  <c r="CH29" i="1"/>
  <c r="CH40" i="1"/>
  <c r="CH46" i="1"/>
  <c r="CH33" i="1"/>
  <c r="BW107" i="1"/>
  <c r="AR107" i="1"/>
  <c r="FN47" i="1"/>
  <c r="FK47" i="1"/>
  <c r="FJ42" i="1"/>
  <c r="CH62" i="1"/>
  <c r="CD25" i="1"/>
  <c r="CE25" i="1"/>
  <c r="BX107" i="1"/>
  <c r="AS107" i="1"/>
  <c r="G71" i="1"/>
  <c r="CE28" i="1"/>
  <c r="F71" i="1"/>
  <c r="CD28" i="1"/>
  <c r="G70" i="1"/>
  <c r="CE52" i="1"/>
  <c r="F70" i="1"/>
  <c r="CD52" i="1"/>
  <c r="G69" i="1"/>
  <c r="CE53" i="1"/>
  <c r="F69" i="1"/>
  <c r="CD53" i="1"/>
  <c r="G66" i="1"/>
  <c r="CE49" i="1"/>
  <c r="F66" i="1"/>
  <c r="CD49" i="1"/>
  <c r="G65" i="1"/>
  <c r="CE43" i="1"/>
  <c r="F65" i="1"/>
  <c r="CD43" i="1"/>
  <c r="CE24" i="1"/>
  <c r="CD24" i="1"/>
  <c r="CD55" i="1"/>
  <c r="CE55" i="1"/>
  <c r="CE54" i="1"/>
  <c r="CD54" i="1"/>
  <c r="E38" i="1"/>
  <c r="I71" i="1"/>
  <c r="H70" i="1"/>
  <c r="I69" i="1"/>
  <c r="I70" i="1"/>
  <c r="H66" i="1"/>
  <c r="I65" i="1"/>
  <c r="I66" i="1"/>
  <c r="H65" i="1"/>
  <c r="H69" i="1"/>
  <c r="H71" i="1"/>
  <c r="J70" i="1"/>
  <c r="J71" i="1"/>
  <c r="J69" i="1"/>
  <c r="J65" i="1"/>
  <c r="J66" i="1"/>
  <c r="CD27" i="1"/>
  <c r="CE50" i="1"/>
  <c r="F38" i="1"/>
  <c r="CD36" i="1"/>
  <c r="G38" i="1"/>
  <c r="CE36" i="1"/>
  <c r="CE27" i="1"/>
  <c r="FA32" i="1"/>
  <c r="FB32" i="1"/>
  <c r="FA56" i="1"/>
  <c r="FB56" i="1"/>
  <c r="FA80" i="1"/>
  <c r="FB80" i="1"/>
  <c r="CY53" i="1"/>
  <c r="CY52" i="1"/>
  <c r="CY51" i="1"/>
  <c r="CY50" i="1"/>
  <c r="CY49" i="1"/>
  <c r="CY48" i="1"/>
  <c r="CY47" i="1"/>
  <c r="CY46" i="1"/>
  <c r="CY45" i="1"/>
  <c r="CY44" i="1"/>
  <c r="CY43" i="1"/>
  <c r="CY42" i="1"/>
  <c r="CY41" i="1"/>
  <c r="CY40" i="1"/>
  <c r="CY39" i="1"/>
  <c r="CY38" i="1"/>
  <c r="CY37" i="1"/>
  <c r="CY36" i="1"/>
  <c r="CY35" i="1"/>
  <c r="CY34" i="1"/>
  <c r="CY33" i="1"/>
  <c r="CY32" i="1"/>
  <c r="CY31" i="1"/>
  <c r="CY30" i="1"/>
  <c r="CY29" i="1"/>
  <c r="CY28" i="1"/>
  <c r="CY27" i="1"/>
  <c r="CY26" i="1"/>
  <c r="CY25" i="1"/>
  <c r="CY24" i="1"/>
  <c r="CY23" i="1"/>
  <c r="CY22" i="1"/>
  <c r="CY21" i="1"/>
  <c r="CY20" i="1"/>
  <c r="CY19" i="1"/>
  <c r="CY18" i="1"/>
  <c r="CY17" i="1"/>
  <c r="CY16" i="1"/>
  <c r="CY15" i="1"/>
  <c r="CY14" i="1"/>
  <c r="CY13" i="1"/>
  <c r="CY12" i="1"/>
  <c r="CY11" i="1"/>
  <c r="CY10" i="1"/>
  <c r="CY9" i="1"/>
  <c r="CY8" i="1"/>
  <c r="FB8" i="1"/>
  <c r="FA8" i="1"/>
  <c r="C14" i="2"/>
  <c r="C13" i="2"/>
  <c r="C12" i="2"/>
  <c r="L5" i="1"/>
  <c r="E9" i="2"/>
  <c r="C9" i="2"/>
  <c r="L6" i="1"/>
  <c r="CD50" i="1"/>
  <c r="C66" i="1"/>
  <c r="C69" i="1"/>
  <c r="C70" i="1"/>
  <c r="C65" i="1"/>
  <c r="C71" i="1"/>
  <c r="AT107" i="1"/>
  <c r="BY107" i="1"/>
  <c r="G75" i="1"/>
  <c r="CE30" i="1"/>
  <c r="F81" i="1"/>
  <c r="CD34" i="1"/>
  <c r="F83" i="1"/>
  <c r="CD48" i="1"/>
  <c r="F86" i="1"/>
  <c r="CD47" i="1"/>
  <c r="F88" i="1"/>
  <c r="CD29" i="1"/>
  <c r="F90" i="1"/>
  <c r="CD46" i="1"/>
  <c r="G79" i="1"/>
  <c r="CE31" i="1"/>
  <c r="G83" i="1"/>
  <c r="CE48" i="1"/>
  <c r="G86" i="1"/>
  <c r="CE47" i="1"/>
  <c r="G88" i="1"/>
  <c r="CE29" i="1"/>
  <c r="F79" i="1"/>
  <c r="CD31" i="1"/>
  <c r="G84" i="1"/>
  <c r="CE37" i="1"/>
  <c r="G91" i="1"/>
  <c r="CE33" i="1"/>
  <c r="F75" i="1"/>
  <c r="CD30" i="1"/>
  <c r="G81" i="1"/>
  <c r="CE34" i="1"/>
  <c r="G90" i="1"/>
  <c r="CE46" i="1"/>
  <c r="G82" i="1"/>
  <c r="CE35" i="1"/>
  <c r="G89" i="1"/>
  <c r="CE40" i="1"/>
  <c r="G74" i="1"/>
  <c r="CE44" i="1"/>
  <c r="F80" i="1"/>
  <c r="CD42" i="1"/>
  <c r="F82" i="1"/>
  <c r="CD35" i="1"/>
  <c r="F84" i="1"/>
  <c r="CD37" i="1"/>
  <c r="F87" i="1"/>
  <c r="CD39" i="1"/>
  <c r="F89" i="1"/>
  <c r="CD40" i="1"/>
  <c r="F91" i="1"/>
  <c r="CD33" i="1"/>
  <c r="F74" i="1"/>
  <c r="CD44" i="1"/>
  <c r="G80" i="1"/>
  <c r="CE42" i="1"/>
  <c r="G87" i="1"/>
  <c r="CE39" i="1"/>
  <c r="CE51" i="1"/>
  <c r="CD51" i="1"/>
  <c r="CD56" i="1"/>
  <c r="CD58" i="1"/>
  <c r="CE41" i="1"/>
  <c r="CD41" i="1"/>
  <c r="CE57" i="1"/>
  <c r="CE56" i="1"/>
  <c r="CD57" i="1"/>
  <c r="CE58" i="1"/>
  <c r="H38" i="1"/>
  <c r="I38" i="1"/>
  <c r="FD80" i="1"/>
  <c r="FD8" i="1"/>
  <c r="FC8" i="1"/>
  <c r="FC80" i="1"/>
  <c r="FD56" i="1"/>
  <c r="FD32" i="1"/>
  <c r="FC32" i="1"/>
  <c r="FC56" i="1"/>
  <c r="J38" i="1"/>
  <c r="C38" i="1"/>
  <c r="H87" i="1"/>
  <c r="J87" i="1"/>
  <c r="C87" i="1"/>
  <c r="H83" i="1"/>
  <c r="J83" i="1"/>
  <c r="C83" i="1"/>
  <c r="H90" i="1"/>
  <c r="J90" i="1"/>
  <c r="C90" i="1"/>
  <c r="H84" i="1"/>
  <c r="J84" i="1"/>
  <c r="C84" i="1"/>
  <c r="H75" i="1"/>
  <c r="J75" i="1"/>
  <c r="C75" i="1"/>
  <c r="BL6" i="1"/>
  <c r="H74" i="1"/>
  <c r="J74" i="1"/>
  <c r="C74" i="1"/>
  <c r="AF6" i="1"/>
  <c r="H81" i="1"/>
  <c r="J81" i="1"/>
  <c r="C81" i="1"/>
  <c r="H80" i="1"/>
  <c r="J80" i="1"/>
  <c r="C80" i="1"/>
  <c r="H79" i="1"/>
  <c r="J79" i="1"/>
  <c r="C79" i="1"/>
  <c r="H89" i="1"/>
  <c r="J89" i="1"/>
  <c r="C89" i="1"/>
  <c r="H88" i="1"/>
  <c r="J88" i="1"/>
  <c r="C88" i="1"/>
  <c r="AO6" i="1"/>
  <c r="BT6" i="1"/>
  <c r="AP6" i="1"/>
  <c r="BU6" i="1"/>
  <c r="FN42" i="1"/>
  <c r="FO42" i="1"/>
  <c r="FP42" i="1"/>
  <c r="H82" i="1"/>
  <c r="J82" i="1"/>
  <c r="C82" i="1"/>
  <c r="H91" i="1"/>
  <c r="J91" i="1"/>
  <c r="C91" i="1"/>
  <c r="H86" i="1"/>
  <c r="J86" i="1"/>
  <c r="C86" i="1"/>
  <c r="FE80" i="1"/>
  <c r="FE32" i="1"/>
  <c r="FE56" i="1"/>
  <c r="FK42" i="1"/>
  <c r="FL42" i="1"/>
  <c r="FM42" i="1"/>
  <c r="BK6" i="1"/>
  <c r="AG6" i="1"/>
  <c r="FE8" i="1"/>
  <c r="CD45" i="1"/>
  <c r="CE45" i="1"/>
  <c r="H48" i="2"/>
  <c r="F47" i="2"/>
  <c r="G47" i="2"/>
  <c r="F48" i="2"/>
  <c r="G48" i="2"/>
  <c r="F49" i="2"/>
  <c r="G49" i="2"/>
  <c r="F50" i="2"/>
  <c r="G50" i="2"/>
  <c r="F51" i="2"/>
  <c r="G51" i="2"/>
  <c r="F52" i="2"/>
  <c r="G52" i="2"/>
  <c r="F53" i="2"/>
  <c r="G53" i="2"/>
  <c r="F46" i="2"/>
  <c r="G46" i="2"/>
  <c r="CH27" i="1"/>
  <c r="C6" i="2"/>
  <c r="AI6" i="1"/>
  <c r="AH6" i="1"/>
  <c r="BN6" i="1"/>
  <c r="BM6" i="1"/>
  <c r="BB2" i="4"/>
  <c r="AR2" i="4"/>
  <c r="AH2" i="4"/>
  <c r="X2" i="4"/>
  <c r="R2" i="4"/>
  <c r="F39" i="5"/>
  <c r="N17" i="5"/>
  <c r="AP6" i="5"/>
  <c r="AO6" i="5"/>
  <c r="AN6" i="5"/>
  <c r="AM6" i="5"/>
  <c r="AL6" i="5"/>
  <c r="AK6" i="5"/>
  <c r="AJ6" i="5"/>
  <c r="AI6" i="5"/>
  <c r="AH6" i="5"/>
  <c r="AV6" i="5"/>
  <c r="AG6" i="5"/>
  <c r="AU6" i="5"/>
  <c r="AF6" i="5"/>
  <c r="AT6" i="5"/>
  <c r="AE6" i="5"/>
  <c r="AS6" i="5"/>
  <c r="AV4" i="5"/>
  <c r="AU4" i="5"/>
  <c r="AT4" i="5"/>
  <c r="AS4" i="5"/>
  <c r="P15" i="4"/>
  <c r="O15" i="4"/>
  <c r="N15" i="4"/>
  <c r="L15" i="4"/>
  <c r="P12" i="4"/>
  <c r="AZ1" i="4"/>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N5" i="3"/>
  <c r="N4" i="3"/>
  <c r="N6" i="3"/>
  <c r="C5" i="5"/>
  <c r="D5" i="5"/>
  <c r="M57" i="2"/>
  <c r="N57" i="2"/>
  <c r="H57" i="2"/>
  <c r="M56" i="2"/>
  <c r="N56" i="2"/>
  <c r="G56" i="2"/>
  <c r="F56" i="2"/>
  <c r="M43" i="2"/>
  <c r="N43" i="2"/>
  <c r="M42" i="2"/>
  <c r="N42" i="2"/>
  <c r="I42" i="2"/>
  <c r="M41" i="2"/>
  <c r="N41" i="2"/>
  <c r="M40" i="2"/>
  <c r="N40" i="2"/>
  <c r="M39" i="2"/>
  <c r="N39" i="2"/>
  <c r="M38" i="2"/>
  <c r="N38" i="2"/>
  <c r="M37" i="2"/>
  <c r="N37" i="2"/>
  <c r="M36" i="2"/>
  <c r="N36" i="2"/>
  <c r="C54" i="2"/>
  <c r="N53" i="2"/>
  <c r="H53" i="2"/>
  <c r="N52" i="2"/>
  <c r="H52" i="2"/>
  <c r="I52" i="2"/>
  <c r="N51" i="2"/>
  <c r="H51" i="2"/>
  <c r="N50" i="2"/>
  <c r="H50" i="2"/>
  <c r="I50" i="2"/>
  <c r="N49" i="2"/>
  <c r="H49" i="2"/>
  <c r="N48" i="2"/>
  <c r="I48" i="2"/>
  <c r="N47" i="2"/>
  <c r="H47" i="2"/>
  <c r="I47" i="2"/>
  <c r="N46" i="2"/>
  <c r="H46" i="2"/>
  <c r="I46" i="2"/>
  <c r="C34" i="2"/>
  <c r="M33" i="2"/>
  <c r="N33" i="2"/>
  <c r="I33" i="2"/>
  <c r="M32" i="2"/>
  <c r="N32" i="2"/>
  <c r="M31" i="2"/>
  <c r="N31" i="2"/>
  <c r="I31" i="2"/>
  <c r="M30" i="2"/>
  <c r="N30" i="2"/>
  <c r="M29" i="2"/>
  <c r="N29" i="2"/>
  <c r="I29" i="2"/>
  <c r="M28" i="2"/>
  <c r="N28" i="2"/>
  <c r="M27" i="2"/>
  <c r="N27" i="2"/>
  <c r="I27" i="2"/>
  <c r="M26" i="2"/>
  <c r="N26" i="2"/>
  <c r="G23" i="2"/>
  <c r="F23" i="2"/>
  <c r="G22" i="2"/>
  <c r="F22" i="2"/>
  <c r="G21" i="2"/>
  <c r="F21" i="2"/>
  <c r="K46" i="2"/>
  <c r="C46" i="2"/>
  <c r="AR15" i="4"/>
  <c r="K47" i="2"/>
  <c r="C47" i="2"/>
  <c r="AS15" i="4"/>
  <c r="I26" i="2"/>
  <c r="I28" i="2"/>
  <c r="I30" i="2"/>
  <c r="I32" i="2"/>
  <c r="I38" i="2"/>
  <c r="H20" i="2"/>
  <c r="M20" i="2"/>
  <c r="N20" i="2"/>
  <c r="O20" i="2"/>
  <c r="H23" i="2"/>
  <c r="K23" i="2"/>
  <c r="C23" i="2"/>
  <c r="U15" i="4"/>
  <c r="H22" i="2"/>
  <c r="I56" i="2"/>
  <c r="I49" i="2"/>
  <c r="K49" i="2"/>
  <c r="C49" i="2"/>
  <c r="AU15" i="4"/>
  <c r="Q49" i="2"/>
  <c r="I51" i="2"/>
  <c r="K51" i="2"/>
  <c r="C51" i="2"/>
  <c r="AW15" i="4"/>
  <c r="Q51" i="2"/>
  <c r="H21" i="2"/>
  <c r="I53" i="2"/>
  <c r="K53" i="2"/>
  <c r="C53" i="2"/>
  <c r="AY15" i="4"/>
  <c r="Q53" i="2"/>
  <c r="Q48" i="2"/>
  <c r="Q50" i="2"/>
  <c r="Q52" i="2"/>
  <c r="H37" i="2"/>
  <c r="H41" i="2"/>
  <c r="H56" i="2"/>
  <c r="Q46" i="2"/>
  <c r="Q47" i="2"/>
  <c r="H36" i="2"/>
  <c r="H39" i="2"/>
  <c r="H40" i="2"/>
  <c r="H43" i="2"/>
  <c r="I57" i="2"/>
  <c r="K57" i="2"/>
  <c r="C57" i="2"/>
  <c r="BC15" i="4"/>
  <c r="H42" i="2"/>
  <c r="I41" i="2"/>
  <c r="H38" i="2"/>
  <c r="I37" i="2"/>
  <c r="H26" i="2"/>
  <c r="H27" i="2"/>
  <c r="H28" i="2"/>
  <c r="H29" i="2"/>
  <c r="H30" i="2"/>
  <c r="H31" i="2"/>
  <c r="H32" i="2"/>
  <c r="H33" i="2"/>
  <c r="K48" i="2"/>
  <c r="K50" i="2"/>
  <c r="C50" i="2"/>
  <c r="AV15" i="4"/>
  <c r="K52" i="2"/>
  <c r="C52" i="2"/>
  <c r="AX15" i="4"/>
  <c r="I36" i="2"/>
  <c r="I39" i="2"/>
  <c r="I40" i="2"/>
  <c r="I43" i="2"/>
  <c r="CN6" i="1"/>
  <c r="CM6" i="1"/>
  <c r="C48" i="2"/>
  <c r="P20" i="2"/>
  <c r="Q20" i="2"/>
  <c r="K20" i="2"/>
  <c r="C20" i="2"/>
  <c r="R15" i="4"/>
  <c r="M23" i="2"/>
  <c r="N23" i="2"/>
  <c r="O23" i="2"/>
  <c r="P23" i="2"/>
  <c r="K21" i="2"/>
  <c r="C21" i="2"/>
  <c r="S15" i="4"/>
  <c r="M21" i="2"/>
  <c r="N21" i="2"/>
  <c r="O21" i="2"/>
  <c r="P21" i="2"/>
  <c r="K22" i="2"/>
  <c r="C22" i="2"/>
  <c r="T15" i="4"/>
  <c r="P22" i="2"/>
  <c r="M22" i="2"/>
  <c r="N22" i="2"/>
  <c r="O22" i="2"/>
  <c r="J31" i="2"/>
  <c r="Q31" i="2"/>
  <c r="K31" i="2"/>
  <c r="C31" i="2"/>
  <c r="AC15" i="4"/>
  <c r="J27" i="2"/>
  <c r="Q27" i="2"/>
  <c r="K27" i="2"/>
  <c r="C27" i="2"/>
  <c r="Y15" i="4"/>
  <c r="J38" i="2"/>
  <c r="Q38" i="2"/>
  <c r="K38" i="2"/>
  <c r="K36" i="2"/>
  <c r="C36" i="2"/>
  <c r="AH15" i="4"/>
  <c r="J36" i="2"/>
  <c r="Q36" i="2"/>
  <c r="K56" i="2"/>
  <c r="C56" i="2"/>
  <c r="BB15" i="4"/>
  <c r="J37" i="2"/>
  <c r="Q37" i="2"/>
  <c r="K37" i="2"/>
  <c r="C37" i="2"/>
  <c r="AI15" i="4"/>
  <c r="J32" i="2"/>
  <c r="Q32" i="2"/>
  <c r="K32" i="2"/>
  <c r="C32" i="2"/>
  <c r="AD15" i="4"/>
  <c r="J28" i="2"/>
  <c r="Q28" i="2"/>
  <c r="K28" i="2"/>
  <c r="J30" i="2"/>
  <c r="Q30" i="2"/>
  <c r="K30" i="2"/>
  <c r="C30" i="2"/>
  <c r="AB15" i="4"/>
  <c r="J26" i="2"/>
  <c r="Q26" i="2"/>
  <c r="K26" i="2"/>
  <c r="C26" i="2"/>
  <c r="X15" i="4"/>
  <c r="J43" i="2"/>
  <c r="Q43" i="2"/>
  <c r="K43" i="2"/>
  <c r="C43" i="2"/>
  <c r="AO15" i="4"/>
  <c r="J39" i="2"/>
  <c r="Q39" i="2"/>
  <c r="K39" i="2"/>
  <c r="C39" i="2"/>
  <c r="AK15" i="4"/>
  <c r="J41" i="2"/>
  <c r="Q41" i="2"/>
  <c r="K41" i="2"/>
  <c r="C41" i="2"/>
  <c r="AM15" i="4"/>
  <c r="J33" i="2"/>
  <c r="Q33" i="2"/>
  <c r="K33" i="2"/>
  <c r="C33" i="2"/>
  <c r="AE15" i="4"/>
  <c r="J29" i="2"/>
  <c r="Q29" i="2"/>
  <c r="K29" i="2"/>
  <c r="C29" i="2"/>
  <c r="AA15" i="4"/>
  <c r="J42" i="2"/>
  <c r="Q42" i="2"/>
  <c r="K42" i="2"/>
  <c r="C42" i="2"/>
  <c r="AN15" i="4"/>
  <c r="K40" i="2"/>
  <c r="C40" i="2"/>
  <c r="AL15" i="4"/>
  <c r="J40" i="2"/>
  <c r="Q40" i="2"/>
  <c r="BO6" i="1"/>
  <c r="BP7" i="1"/>
  <c r="CK6" i="1"/>
  <c r="CL6" i="1"/>
  <c r="AT15" i="4"/>
  <c r="C28" i="2"/>
  <c r="Z15" i="4"/>
  <c r="C38" i="2"/>
  <c r="AJ15" i="4"/>
  <c r="L4" i="1"/>
  <c r="Q23" i="2"/>
  <c r="Q22" i="2"/>
  <c r="Q21" i="2"/>
  <c r="BO7" i="1"/>
  <c r="BW6" i="1"/>
  <c r="AK7" i="1"/>
  <c r="AJ6" i="1"/>
  <c r="AR6" i="1"/>
  <c r="J56" i="2"/>
  <c r="Q56" i="2"/>
  <c r="Q57" i="2"/>
  <c r="AJ7" i="1"/>
  <c r="Y6" i="5"/>
  <c r="Y3" i="5"/>
  <c r="Z6" i="5"/>
  <c r="AA6" i="5"/>
  <c r="AB6" i="5"/>
  <c r="AL6" i="1"/>
  <c r="BI7" i="1"/>
  <c r="AD7" i="1"/>
  <c r="BQ6" i="1"/>
  <c r="AN6" i="1"/>
  <c r="BK7" i="1"/>
  <c r="BL7" i="1"/>
  <c r="BY6" i="1"/>
  <c r="BJ6" i="1"/>
  <c r="AF7" i="1"/>
  <c r="AE6" i="1"/>
  <c r="AT6" i="1"/>
  <c r="BP8" i="1"/>
  <c r="BM7" i="1"/>
  <c r="AK8" i="1"/>
  <c r="BN7" i="1"/>
  <c r="AH7" i="1"/>
  <c r="AI7" i="1"/>
  <c r="AF8" i="1"/>
  <c r="AL7" i="1"/>
  <c r="AG7" i="1"/>
  <c r="AP7" i="1"/>
  <c r="BT7" i="1"/>
  <c r="BR7" i="1"/>
  <c r="BK8" i="1"/>
  <c r="BL8" i="1"/>
  <c r="BQ7" i="1"/>
  <c r="AO7" i="1"/>
  <c r="BU7" i="1"/>
  <c r="AR7" i="1"/>
  <c r="AJ8" i="1"/>
  <c r="BN8" i="1"/>
  <c r="BW7" i="1"/>
  <c r="BO8" i="1"/>
  <c r="AI8" i="1"/>
  <c r="BI8" i="1"/>
  <c r="AD8" i="1"/>
  <c r="AM7" i="1"/>
  <c r="AK9" i="1"/>
  <c r="AT7" i="1"/>
  <c r="AE7" i="1"/>
  <c r="BY7" i="1"/>
  <c r="BL9" i="1"/>
  <c r="BQ8" i="1"/>
  <c r="BK9" i="1"/>
  <c r="BJ7" i="1"/>
  <c r="AN7" i="1"/>
  <c r="BS7" i="1"/>
  <c r="AG8" i="1"/>
  <c r="BI9" i="1"/>
  <c r="BO9" i="1"/>
  <c r="BM8" i="1"/>
  <c r="BP9" i="1"/>
  <c r="AJ9" i="1"/>
  <c r="AH8" i="1"/>
  <c r="AN8" i="1"/>
  <c r="BR8" i="1"/>
  <c r="AS7" i="1"/>
  <c r="BX7" i="1"/>
  <c r="AP8" i="1"/>
  <c r="AO8" i="1"/>
  <c r="BT8" i="1"/>
  <c r="BU8" i="1"/>
  <c r="BK10" i="1"/>
  <c r="BQ9" i="1"/>
  <c r="BL10" i="1"/>
  <c r="AM8" i="1"/>
  <c r="AR8" i="1"/>
  <c r="BS8" i="1"/>
  <c r="BX8" i="1"/>
  <c r="BY8" i="1"/>
  <c r="BJ8" i="1"/>
  <c r="AD9" i="1"/>
  <c r="BW8" i="1"/>
  <c r="BR9" i="1"/>
  <c r="AT8" i="1"/>
  <c r="AE8" i="1"/>
  <c r="AF10" i="1"/>
  <c r="AF9" i="1"/>
  <c r="AL8" i="1"/>
  <c r="BR10" i="1"/>
  <c r="BL11" i="1"/>
  <c r="BQ10" i="1"/>
  <c r="BK11" i="1"/>
  <c r="BU9" i="1"/>
  <c r="BP10" i="1"/>
  <c r="BN9" i="1"/>
  <c r="AS8" i="1"/>
  <c r="BO10" i="1"/>
  <c r="BT9" i="1"/>
  <c r="BM9" i="1"/>
  <c r="AK10" i="1"/>
  <c r="AI9" i="1"/>
  <c r="AH9" i="1"/>
  <c r="BJ9" i="1"/>
  <c r="BI10" i="1"/>
  <c r="AD10" i="1"/>
  <c r="AN9" i="1"/>
  <c r="AG9" i="1"/>
  <c r="AP9" i="1"/>
  <c r="BY9" i="1"/>
  <c r="BS9" i="1"/>
  <c r="AO9" i="1"/>
  <c r="AT9" i="1"/>
  <c r="AE9" i="1"/>
  <c r="AM9" i="1"/>
  <c r="AL9" i="1"/>
  <c r="BK12" i="1"/>
  <c r="BQ11" i="1"/>
  <c r="BL12" i="1"/>
  <c r="BR11" i="1"/>
  <c r="BX9" i="1"/>
  <c r="BW9" i="1"/>
  <c r="AJ10" i="1"/>
  <c r="AR9" i="1"/>
  <c r="AK11" i="1"/>
  <c r="BT11" i="1"/>
  <c r="BM11" i="1"/>
  <c r="BM10" i="1"/>
  <c r="BP11" i="1"/>
  <c r="BN10" i="1"/>
  <c r="AH10" i="1"/>
  <c r="AI10" i="1"/>
  <c r="AD11" i="1"/>
  <c r="BI11" i="1"/>
  <c r="AM10" i="1"/>
  <c r="AG10" i="1"/>
  <c r="BU10" i="1"/>
  <c r="BT10" i="1"/>
  <c r="AN10" i="1"/>
  <c r="BS10" i="1"/>
  <c r="BJ10" i="1"/>
  <c r="BY10" i="1"/>
  <c r="AO10" i="1"/>
  <c r="AS9" i="1"/>
  <c r="AP10" i="1"/>
  <c r="AF11" i="1"/>
  <c r="AL10" i="1"/>
  <c r="AG11" i="1"/>
  <c r="AI11" i="1"/>
  <c r="AE10" i="1"/>
  <c r="AT10" i="1"/>
  <c r="BR12" i="1"/>
  <c r="BQ12" i="1"/>
  <c r="BL13" i="1"/>
  <c r="BK13" i="1"/>
  <c r="BO11" i="1"/>
  <c r="AK12" i="1"/>
  <c r="AR10" i="1"/>
  <c r="BW10" i="1"/>
  <c r="BO12" i="1"/>
  <c r="BN11" i="1"/>
  <c r="BT12" i="1"/>
  <c r="BM12" i="1"/>
  <c r="BP12" i="1"/>
  <c r="AO11" i="1"/>
  <c r="AH11" i="1"/>
  <c r="AJ11" i="1"/>
  <c r="BI12" i="1"/>
  <c r="AD12" i="1"/>
  <c r="BU11" i="1"/>
  <c r="BS11" i="1"/>
  <c r="BJ11" i="1"/>
  <c r="BX10" i="1"/>
  <c r="BY11" i="1"/>
  <c r="AN11" i="1"/>
  <c r="AE11" i="1"/>
  <c r="AS10" i="1"/>
  <c r="AM11" i="1"/>
  <c r="AP11" i="1"/>
  <c r="AG12" i="1"/>
  <c r="AL11" i="1"/>
  <c r="AF12" i="1"/>
  <c r="AT11" i="1"/>
  <c r="BR13" i="1"/>
  <c r="BQ13" i="1"/>
  <c r="BK14" i="1"/>
  <c r="BL14" i="1"/>
  <c r="BW11" i="1"/>
  <c r="AK13" i="1"/>
  <c r="AR11" i="1"/>
  <c r="BO13" i="1"/>
  <c r="BN12" i="1"/>
  <c r="BW12" i="1"/>
  <c r="BP13" i="1"/>
  <c r="AP12" i="1"/>
  <c r="AI12" i="1"/>
  <c r="AO12" i="1"/>
  <c r="AH12" i="1"/>
  <c r="AJ12" i="1"/>
  <c r="AD13" i="1"/>
  <c r="BI13" i="1"/>
  <c r="BX11" i="1"/>
  <c r="BU12" i="1"/>
  <c r="BS12" i="1"/>
  <c r="BS13" i="1"/>
  <c r="BY12" i="1"/>
  <c r="BJ12" i="1"/>
  <c r="AN12" i="1"/>
  <c r="AS11" i="1"/>
  <c r="AE12" i="1"/>
  <c r="AM12" i="1"/>
  <c r="AT12" i="1"/>
  <c r="AF13" i="1"/>
  <c r="AG13" i="1"/>
  <c r="AL12" i="1"/>
  <c r="BQ14" i="1"/>
  <c r="BK15" i="1"/>
  <c r="BL15" i="1"/>
  <c r="BR14" i="1"/>
  <c r="AR12" i="1"/>
  <c r="BT14" i="1"/>
  <c r="BM14" i="1"/>
  <c r="BT13" i="1"/>
  <c r="BM13" i="1"/>
  <c r="BP14" i="1"/>
  <c r="BN13" i="1"/>
  <c r="AK14" i="1"/>
  <c r="AJ13" i="1"/>
  <c r="AO13" i="1"/>
  <c r="AH13" i="1"/>
  <c r="AP13" i="1"/>
  <c r="AI13" i="1"/>
  <c r="BI14" i="1"/>
  <c r="AD14" i="1"/>
  <c r="BU13" i="1"/>
  <c r="AN13" i="1"/>
  <c r="BX12" i="1"/>
  <c r="BS14" i="1"/>
  <c r="BY13" i="1"/>
  <c r="BJ13" i="1"/>
  <c r="AE13" i="1"/>
  <c r="AS12" i="1"/>
  <c r="AT13" i="1"/>
  <c r="AI14" i="1"/>
  <c r="AM13" i="1"/>
  <c r="AF14" i="1"/>
  <c r="AL13" i="1"/>
  <c r="AG14" i="1"/>
  <c r="BR15" i="1"/>
  <c r="BL16" i="1"/>
  <c r="BK16" i="1"/>
  <c r="BQ15" i="1"/>
  <c r="AJ14" i="1"/>
  <c r="BX13" i="1"/>
  <c r="AR13" i="1"/>
  <c r="AK15" i="1"/>
  <c r="BO14" i="1"/>
  <c r="BN14" i="1"/>
  <c r="BW13" i="1"/>
  <c r="BM15" i="1"/>
  <c r="BP15" i="1"/>
  <c r="BM16" i="1"/>
  <c r="AO14" i="1"/>
  <c r="AH14" i="1"/>
  <c r="AD15" i="1"/>
  <c r="BI15" i="1"/>
  <c r="BY14" i="1"/>
  <c r="BJ14" i="1"/>
  <c r="BU14" i="1"/>
  <c r="AS13" i="1"/>
  <c r="AP14" i="1"/>
  <c r="AT14" i="1"/>
  <c r="AL14" i="1"/>
  <c r="AG15" i="1"/>
  <c r="AF15" i="1"/>
  <c r="AE14" i="1"/>
  <c r="AN14" i="1"/>
  <c r="AI15" i="1"/>
  <c r="AM14" i="1"/>
  <c r="BL17" i="1"/>
  <c r="BK17" i="1"/>
  <c r="BQ16" i="1"/>
  <c r="BT15" i="1"/>
  <c r="BT16" i="1"/>
  <c r="BR16" i="1"/>
  <c r="AR14" i="1"/>
  <c r="BP16" i="1"/>
  <c r="BW14" i="1"/>
  <c r="BN15" i="1"/>
  <c r="BX14" i="1"/>
  <c r="AK16" i="1"/>
  <c r="BO15" i="1"/>
  <c r="AO15" i="1"/>
  <c r="AH15" i="1"/>
  <c r="AJ15" i="1"/>
  <c r="BI16" i="1"/>
  <c r="AD16" i="1"/>
  <c r="BU15" i="1"/>
  <c r="BY15" i="1"/>
  <c r="BJ15" i="1"/>
  <c r="BS16" i="1"/>
  <c r="BS15" i="1"/>
  <c r="AN15" i="1"/>
  <c r="AM15" i="1"/>
  <c r="AI16" i="1"/>
  <c r="AE15" i="1"/>
  <c r="AS14" i="1"/>
  <c r="AL15" i="1"/>
  <c r="AG16" i="1"/>
  <c r="AF16" i="1"/>
  <c r="AT15" i="1"/>
  <c r="AP15" i="1"/>
  <c r="BQ17" i="1"/>
  <c r="BL18" i="1"/>
  <c r="BK18" i="1"/>
  <c r="BR17" i="1"/>
  <c r="BW15" i="1"/>
  <c r="AR15" i="1"/>
  <c r="BN16" i="1"/>
  <c r="AK17" i="1"/>
  <c r="AJ16" i="1"/>
  <c r="BO16" i="1"/>
  <c r="BP17" i="1"/>
  <c r="BM17" i="1"/>
  <c r="AO16" i="1"/>
  <c r="AH16" i="1"/>
  <c r="AD17" i="1"/>
  <c r="BI17" i="1"/>
  <c r="BX15" i="1"/>
  <c r="BJ16" i="1"/>
  <c r="BY16" i="1"/>
  <c r="BU16" i="1"/>
  <c r="AI17" i="1"/>
  <c r="AN16" i="1"/>
  <c r="AP16" i="1"/>
  <c r="AS15" i="1"/>
  <c r="AT16" i="1"/>
  <c r="AF17" i="1"/>
  <c r="AL16" i="1"/>
  <c r="AG17" i="1"/>
  <c r="AE16" i="1"/>
  <c r="AM16" i="1"/>
  <c r="BR18" i="1"/>
  <c r="BQ18" i="1"/>
  <c r="BK19" i="1"/>
  <c r="BL19" i="1"/>
  <c r="BT17" i="1"/>
  <c r="AJ17" i="1"/>
  <c r="BO17" i="1"/>
  <c r="BX16" i="1"/>
  <c r="AR16" i="1"/>
  <c r="BM18" i="1"/>
  <c r="BU17" i="1"/>
  <c r="BN17" i="1"/>
  <c r="BW16" i="1"/>
  <c r="BT19" i="1"/>
  <c r="BM19" i="1"/>
  <c r="AK18" i="1"/>
  <c r="BP18" i="1"/>
  <c r="AO17" i="1"/>
  <c r="AH17" i="1"/>
  <c r="BI18" i="1"/>
  <c r="AD18" i="1"/>
  <c r="BS17" i="1"/>
  <c r="BN18" i="1"/>
  <c r="BY17" i="1"/>
  <c r="BJ17" i="1"/>
  <c r="AP17" i="1"/>
  <c r="AN17" i="1"/>
  <c r="AS16" i="1"/>
  <c r="AE17" i="1"/>
  <c r="AT17" i="1"/>
  <c r="AG18" i="1"/>
  <c r="AL17" i="1"/>
  <c r="AF18" i="1"/>
  <c r="AI18" i="1"/>
  <c r="AM17" i="1"/>
  <c r="BN19" i="1"/>
  <c r="BS18" i="1"/>
  <c r="BR19" i="1"/>
  <c r="BQ19" i="1"/>
  <c r="BL20" i="1"/>
  <c r="BK20" i="1"/>
  <c r="BT18" i="1"/>
  <c r="AM6" i="1"/>
  <c r="BR6" i="1"/>
  <c r="AN18" i="1"/>
  <c r="AR17" i="1"/>
  <c r="BW17" i="1"/>
  <c r="AH18" i="1"/>
  <c r="AK19" i="1"/>
  <c r="BO18" i="1"/>
  <c r="BW18" i="1"/>
  <c r="BX17" i="1"/>
  <c r="BP19" i="1"/>
  <c r="AJ18" i="1"/>
  <c r="BI19" i="1"/>
  <c r="AD19" i="1"/>
  <c r="BU18" i="1"/>
  <c r="BN20" i="1"/>
  <c r="BY18" i="1"/>
  <c r="BJ18" i="1"/>
  <c r="AS17" i="1"/>
  <c r="BU19" i="1"/>
  <c r="AM18" i="1"/>
  <c r="AT18" i="1"/>
  <c r="AP18" i="1"/>
  <c r="AG19" i="1"/>
  <c r="AL18" i="1"/>
  <c r="AF19" i="1"/>
  <c r="AE18" i="1"/>
  <c r="AO18" i="1"/>
  <c r="BX6" i="1"/>
  <c r="AS6" i="1"/>
  <c r="BK21" i="1"/>
  <c r="BQ20" i="1"/>
  <c r="BL21" i="1"/>
  <c r="BS19" i="1"/>
  <c r="BR20" i="1"/>
  <c r="BX18" i="1"/>
  <c r="BI20" i="1"/>
  <c r="BI21" i="1"/>
  <c r="AJ19" i="1"/>
  <c r="BO20" i="1"/>
  <c r="AR18" i="1"/>
  <c r="BM20" i="1"/>
  <c r="BP21" i="1"/>
  <c r="AK20" i="1"/>
  <c r="BP20" i="1"/>
  <c r="BO19" i="1"/>
  <c r="BW19" i="1"/>
  <c r="AO19" i="1"/>
  <c r="AH19" i="1"/>
  <c r="AP19" i="1"/>
  <c r="AI19" i="1"/>
  <c r="AD20" i="1"/>
  <c r="BX19" i="1"/>
  <c r="BY19" i="1"/>
  <c r="BJ19" i="1"/>
  <c r="BN21" i="1"/>
  <c r="AN19" i="1"/>
  <c r="AS18" i="1"/>
  <c r="AM19" i="1"/>
  <c r="AT19" i="1"/>
  <c r="AE19" i="1"/>
  <c r="AF20" i="1"/>
  <c r="AL19" i="1"/>
  <c r="AG20" i="1"/>
  <c r="BY20" i="1"/>
  <c r="BR21" i="1"/>
  <c r="BS20" i="1"/>
  <c r="BT20" i="1"/>
  <c r="BU20" i="1"/>
  <c r="BQ21" i="1"/>
  <c r="BL22" i="1"/>
  <c r="BK22" i="1"/>
  <c r="BJ20" i="1"/>
  <c r="AR19" i="1"/>
  <c r="BO21" i="1"/>
  <c r="BT21" i="1"/>
  <c r="BM21" i="1"/>
  <c r="BP22" i="1"/>
  <c r="AK21" i="1"/>
  <c r="BW20" i="1"/>
  <c r="AJ20" i="1"/>
  <c r="AP20" i="1"/>
  <c r="AI20" i="1"/>
  <c r="AO20" i="1"/>
  <c r="AH20" i="1"/>
  <c r="AD21" i="1"/>
  <c r="BI22" i="1"/>
  <c r="BJ21" i="1"/>
  <c r="AN20" i="1"/>
  <c r="AS19" i="1"/>
  <c r="AM20" i="1"/>
  <c r="AE20" i="1"/>
  <c r="AT20" i="1"/>
  <c r="AG21" i="1"/>
  <c r="AF21" i="1"/>
  <c r="AL20" i="1"/>
  <c r="AI21" i="1"/>
  <c r="BX20" i="1"/>
  <c r="BR22" i="1"/>
  <c r="BS21" i="1"/>
  <c r="BK23" i="1"/>
  <c r="BL23" i="1"/>
  <c r="BQ22" i="1"/>
  <c r="BY21" i="1"/>
  <c r="BU21" i="1"/>
  <c r="BW21" i="1"/>
  <c r="BO22" i="1"/>
  <c r="AR20" i="1"/>
  <c r="AK22" i="1"/>
  <c r="BM22" i="1"/>
  <c r="BP23" i="1"/>
  <c r="BU22" i="1"/>
  <c r="BN22" i="1"/>
  <c r="AJ21" i="1"/>
  <c r="AO21" i="1"/>
  <c r="AH21" i="1"/>
  <c r="BI23" i="1"/>
  <c r="AD22" i="1"/>
  <c r="BJ22" i="1"/>
  <c r="BN23" i="1"/>
  <c r="AN21" i="1"/>
  <c r="AS20" i="1"/>
  <c r="AP21" i="1"/>
  <c r="AM21" i="1"/>
  <c r="AE21" i="1"/>
  <c r="AT21" i="1"/>
  <c r="AF22" i="1"/>
  <c r="AL21" i="1"/>
  <c r="AG22" i="1"/>
  <c r="BX21" i="1"/>
  <c r="BR23" i="1"/>
  <c r="BK24" i="1"/>
  <c r="BQ23" i="1"/>
  <c r="BL24" i="1"/>
  <c r="BT22" i="1"/>
  <c r="BY22" i="1"/>
  <c r="BS22" i="1"/>
  <c r="BO23" i="1"/>
  <c r="BS23" i="1"/>
  <c r="AJ22" i="1"/>
  <c r="AR21" i="1"/>
  <c r="BW22" i="1"/>
  <c r="BM23" i="1"/>
  <c r="BP24" i="1"/>
  <c r="AK23" i="1"/>
  <c r="AP22" i="1"/>
  <c r="AI22" i="1"/>
  <c r="AO22" i="1"/>
  <c r="AH22" i="1"/>
  <c r="AD23" i="1"/>
  <c r="BI24" i="1"/>
  <c r="BU23" i="1"/>
  <c r="AN22" i="1"/>
  <c r="AS21" i="1"/>
  <c r="AE22" i="1"/>
  <c r="AT22" i="1"/>
  <c r="AG23" i="1"/>
  <c r="AF23" i="1"/>
  <c r="AL22" i="1"/>
  <c r="AM22" i="1"/>
  <c r="BN24" i="1"/>
  <c r="BR24" i="1"/>
  <c r="BX22" i="1"/>
  <c r="BQ24" i="1"/>
  <c r="BK25" i="1"/>
  <c r="BL25" i="1"/>
  <c r="BY23" i="1"/>
  <c r="BT23" i="1"/>
  <c r="BW23" i="1"/>
  <c r="BO24" i="1"/>
  <c r="AR22" i="1"/>
  <c r="AK24" i="1"/>
  <c r="BM24" i="1"/>
  <c r="BP25" i="1"/>
  <c r="BT25" i="1"/>
  <c r="BM25" i="1"/>
  <c r="AJ23" i="1"/>
  <c r="AP23" i="1"/>
  <c r="AI23" i="1"/>
  <c r="AO23" i="1"/>
  <c r="AH23" i="1"/>
  <c r="BI25" i="1"/>
  <c r="AD24" i="1"/>
  <c r="BJ23" i="1"/>
  <c r="BX23" i="1"/>
  <c r="AI24" i="1"/>
  <c r="AN23" i="1"/>
  <c r="AS22" i="1"/>
  <c r="AM23" i="1"/>
  <c r="AE23" i="1"/>
  <c r="AT23" i="1"/>
  <c r="AG24" i="1"/>
  <c r="AF24" i="1"/>
  <c r="AL23" i="1"/>
  <c r="BN25" i="1"/>
  <c r="BY24" i="1"/>
  <c r="BS24" i="1"/>
  <c r="BT24" i="1"/>
  <c r="BK26" i="1"/>
  <c r="BQ25" i="1"/>
  <c r="BL26" i="1"/>
  <c r="BJ24" i="1"/>
  <c r="BU24" i="1"/>
  <c r="BR25" i="1"/>
  <c r="BW24" i="1"/>
  <c r="AR23" i="1"/>
  <c r="AK25" i="1"/>
  <c r="BO25" i="1"/>
  <c r="BW25" i="1"/>
  <c r="BM26" i="1"/>
  <c r="AJ24" i="1"/>
  <c r="BP26" i="1"/>
  <c r="AO24" i="1"/>
  <c r="AH24" i="1"/>
  <c r="AD25" i="1"/>
  <c r="BI26" i="1"/>
  <c r="AN24" i="1"/>
  <c r="AP24" i="1"/>
  <c r="AS23" i="1"/>
  <c r="AE24" i="1"/>
  <c r="AT24" i="1"/>
  <c r="AG25" i="1"/>
  <c r="AL24" i="1"/>
  <c r="AF25" i="1"/>
  <c r="AI25" i="1"/>
  <c r="AM24" i="1"/>
  <c r="BN26" i="1"/>
  <c r="BS25" i="1"/>
  <c r="BX24" i="1"/>
  <c r="BJ25" i="1"/>
  <c r="BR26" i="1"/>
  <c r="BY25" i="1"/>
  <c r="BT26" i="1"/>
  <c r="BQ26" i="1"/>
  <c r="BL27" i="1"/>
  <c r="BK27" i="1"/>
  <c r="BU25" i="1"/>
  <c r="BN27" i="1"/>
  <c r="AJ25" i="1"/>
  <c r="AR24" i="1"/>
  <c r="AK26" i="1"/>
  <c r="BP27" i="1"/>
  <c r="BO26" i="1"/>
  <c r="BW26" i="1"/>
  <c r="AO25" i="1"/>
  <c r="AH25" i="1"/>
  <c r="BI27" i="1"/>
  <c r="AD26" i="1"/>
  <c r="AI26" i="1"/>
  <c r="AS24" i="1"/>
  <c r="AP25" i="1"/>
  <c r="AN25" i="1"/>
  <c r="AF26" i="1"/>
  <c r="AL25" i="1"/>
  <c r="AE25" i="1"/>
  <c r="AT25" i="1"/>
  <c r="AM25" i="1"/>
  <c r="BU26" i="1"/>
  <c r="BY26" i="1"/>
  <c r="BX25" i="1"/>
  <c r="BQ27" i="1"/>
  <c r="BK28" i="1"/>
  <c r="BL28" i="1"/>
  <c r="BJ26" i="1"/>
  <c r="BS26" i="1"/>
  <c r="BR27" i="1"/>
  <c r="BU27" i="1"/>
  <c r="AN26" i="1"/>
  <c r="AR25" i="1"/>
  <c r="BO27" i="1"/>
  <c r="BM27" i="1"/>
  <c r="BP28" i="1"/>
  <c r="BM28" i="1"/>
  <c r="AK27" i="1"/>
  <c r="AO26" i="1"/>
  <c r="AH26" i="1"/>
  <c r="AJ26" i="1"/>
  <c r="AD27" i="1"/>
  <c r="BI28" i="1"/>
  <c r="AG26" i="1"/>
  <c r="AP26" i="1"/>
  <c r="AS25" i="1"/>
  <c r="AM26" i="1"/>
  <c r="AE26" i="1"/>
  <c r="AI27" i="1"/>
  <c r="AL26" i="1"/>
  <c r="AF27" i="1"/>
  <c r="AT26" i="1"/>
  <c r="BX26" i="1"/>
  <c r="BR28" i="1"/>
  <c r="BS27" i="1"/>
  <c r="BY27" i="1"/>
  <c r="BT27" i="1"/>
  <c r="BJ27" i="1"/>
  <c r="BT28" i="1"/>
  <c r="BK29" i="1"/>
  <c r="BL29" i="1"/>
  <c r="BQ28" i="1"/>
  <c r="BO28" i="1"/>
  <c r="BP29" i="1"/>
  <c r="BW27" i="1"/>
  <c r="AR26" i="1"/>
  <c r="AH27" i="1"/>
  <c r="AK28" i="1"/>
  <c r="BN28" i="1"/>
  <c r="BT29" i="1"/>
  <c r="BM29" i="1"/>
  <c r="AJ27" i="1"/>
  <c r="BI29" i="1"/>
  <c r="AD28" i="1"/>
  <c r="AG27" i="1"/>
  <c r="AS26" i="1"/>
  <c r="AN27" i="1"/>
  <c r="AP27" i="1"/>
  <c r="AO27" i="1"/>
  <c r="AT27" i="1"/>
  <c r="AL27" i="1"/>
  <c r="AF28" i="1"/>
  <c r="AE27" i="1"/>
  <c r="AM27" i="1"/>
  <c r="AI28" i="1"/>
  <c r="BU28" i="1"/>
  <c r="BS28" i="1"/>
  <c r="BX27" i="1"/>
  <c r="BR29" i="1"/>
  <c r="BJ28" i="1"/>
  <c r="BQ29" i="1"/>
  <c r="BL30" i="1"/>
  <c r="BK30" i="1"/>
  <c r="BY28" i="1"/>
  <c r="BN30" i="1"/>
  <c r="BW28" i="1"/>
  <c r="BO29" i="1"/>
  <c r="AK29" i="1"/>
  <c r="AR27" i="1"/>
  <c r="AJ28" i="1"/>
  <c r="BP30" i="1"/>
  <c r="BO30" i="1"/>
  <c r="BN29" i="1"/>
  <c r="AO28" i="1"/>
  <c r="AH28" i="1"/>
  <c r="AD29" i="1"/>
  <c r="BI30" i="1"/>
  <c r="AG28" i="1"/>
  <c r="AN28" i="1"/>
  <c r="AT28" i="1"/>
  <c r="AS27" i="1"/>
  <c r="AM28" i="1"/>
  <c r="AE28" i="1"/>
  <c r="AP28" i="1"/>
  <c r="AF29" i="1"/>
  <c r="AL28" i="1"/>
  <c r="BU29" i="1"/>
  <c r="BX28" i="1"/>
  <c r="BR30" i="1"/>
  <c r="BJ29" i="1"/>
  <c r="BQ30" i="1"/>
  <c r="BK31" i="1"/>
  <c r="BL31" i="1"/>
  <c r="BY29" i="1"/>
  <c r="BS29" i="1"/>
  <c r="BU30" i="1"/>
  <c r="BN31" i="1"/>
  <c r="BW29" i="1"/>
  <c r="AR28" i="1"/>
  <c r="AK30" i="1"/>
  <c r="BM30" i="1"/>
  <c r="BW30" i="1"/>
  <c r="BP31" i="1"/>
  <c r="AJ29" i="1"/>
  <c r="AP29" i="1"/>
  <c r="AI29" i="1"/>
  <c r="AO29" i="1"/>
  <c r="AH29" i="1"/>
  <c r="BI31" i="1"/>
  <c r="AD30" i="1"/>
  <c r="AN29" i="1"/>
  <c r="AG29" i="1"/>
  <c r="AS28" i="1"/>
  <c r="AT29" i="1"/>
  <c r="AF30" i="1"/>
  <c r="AL29" i="1"/>
  <c r="AE29" i="1"/>
  <c r="AM29" i="1"/>
  <c r="BX29" i="1"/>
  <c r="BR31" i="1"/>
  <c r="BS30" i="1"/>
  <c r="BK32" i="1"/>
  <c r="BQ31" i="1"/>
  <c r="BL32" i="1"/>
  <c r="BY30" i="1"/>
  <c r="BJ30" i="1"/>
  <c r="BT30" i="1"/>
  <c r="BN32" i="1"/>
  <c r="AJ30" i="1"/>
  <c r="AK31" i="1"/>
  <c r="AR29" i="1"/>
  <c r="BO31" i="1"/>
  <c r="BM31" i="1"/>
  <c r="BP32" i="1"/>
  <c r="AO30" i="1"/>
  <c r="AH30" i="1"/>
  <c r="AP30" i="1"/>
  <c r="AI30" i="1"/>
  <c r="AD31" i="1"/>
  <c r="BI32" i="1"/>
  <c r="AN30" i="1"/>
  <c r="AG30" i="1"/>
  <c r="AE30" i="1"/>
  <c r="AT30" i="1"/>
  <c r="AI31" i="1"/>
  <c r="AS29" i="1"/>
  <c r="AM30" i="1"/>
  <c r="AF31" i="1"/>
  <c r="AL30" i="1"/>
  <c r="BX30" i="1"/>
  <c r="BJ31" i="1"/>
  <c r="BS31" i="1"/>
  <c r="BY31" i="1"/>
  <c r="BT31" i="1"/>
  <c r="BK33" i="1"/>
  <c r="BQ32" i="1"/>
  <c r="BL33" i="1"/>
  <c r="BU31" i="1"/>
  <c r="BR32" i="1"/>
  <c r="BN33" i="1"/>
  <c r="BU32" i="1"/>
  <c r="BO32" i="1"/>
  <c r="BW31" i="1"/>
  <c r="AR30" i="1"/>
  <c r="BT32" i="1"/>
  <c r="BM32" i="1"/>
  <c r="BP33" i="1"/>
  <c r="AJ31" i="1"/>
  <c r="AK32" i="1"/>
  <c r="AO31" i="1"/>
  <c r="AH31" i="1"/>
  <c r="BI33" i="1"/>
  <c r="AD32" i="1"/>
  <c r="AG31" i="1"/>
  <c r="AN31" i="1"/>
  <c r="AS30" i="1"/>
  <c r="AP31" i="1"/>
  <c r="AE31" i="1"/>
  <c r="AL31" i="1"/>
  <c r="AF32" i="1"/>
  <c r="AT31" i="1"/>
  <c r="AM31" i="1"/>
  <c r="BX31" i="1"/>
  <c r="BS32" i="1"/>
  <c r="BJ32" i="1"/>
  <c r="BR33" i="1"/>
  <c r="BY32" i="1"/>
  <c r="BL34" i="1"/>
  <c r="BQ33" i="1"/>
  <c r="BK34" i="1"/>
  <c r="BU33" i="1"/>
  <c r="BW32" i="1"/>
  <c r="AK33" i="1"/>
  <c r="AR31" i="1"/>
  <c r="BM33" i="1"/>
  <c r="BP34" i="1"/>
  <c r="AJ32" i="1"/>
  <c r="BO33" i="1"/>
  <c r="AP32" i="1"/>
  <c r="AI32" i="1"/>
  <c r="AO32" i="1"/>
  <c r="AH32" i="1"/>
  <c r="BI34" i="1"/>
  <c r="AD33" i="1"/>
  <c r="AG32" i="1"/>
  <c r="AN32" i="1"/>
  <c r="AS31" i="1"/>
  <c r="AT32" i="1"/>
  <c r="AI33" i="1"/>
  <c r="AM32" i="1"/>
  <c r="AF33" i="1"/>
  <c r="AL32" i="1"/>
  <c r="AE32" i="1"/>
  <c r="BX32" i="1"/>
  <c r="BR34" i="1"/>
  <c r="BQ34" i="1"/>
  <c r="BL35" i="1"/>
  <c r="BK35" i="1"/>
  <c r="BY33" i="1"/>
  <c r="BJ33" i="1"/>
  <c r="BS33" i="1"/>
  <c r="BT33" i="1"/>
  <c r="BN35" i="1"/>
  <c r="AR32" i="1"/>
  <c r="BN34" i="1"/>
  <c r="AH33" i="1"/>
  <c r="AK34" i="1"/>
  <c r="BO34" i="1"/>
  <c r="BW33" i="1"/>
  <c r="BM34" i="1"/>
  <c r="BP35" i="1"/>
  <c r="AJ33" i="1"/>
  <c r="AD34" i="1"/>
  <c r="BI35" i="1"/>
  <c r="AG33" i="1"/>
  <c r="AN33" i="1"/>
  <c r="AS32" i="1"/>
  <c r="AM33" i="1"/>
  <c r="AP33" i="1"/>
  <c r="AT33" i="1"/>
  <c r="AF34" i="1"/>
  <c r="AL33" i="1"/>
  <c r="AE33" i="1"/>
  <c r="AI34" i="1"/>
  <c r="AO33" i="1"/>
  <c r="BX33" i="1"/>
  <c r="BS34" i="1"/>
  <c r="BJ34" i="1"/>
  <c r="BR35" i="1"/>
  <c r="BQ35" i="1"/>
  <c r="BK36" i="1"/>
  <c r="BL36" i="1"/>
  <c r="BU34" i="1"/>
  <c r="BT34" i="1"/>
  <c r="BY34" i="1"/>
  <c r="BU35" i="1"/>
  <c r="AN34" i="1"/>
  <c r="BO35" i="1"/>
  <c r="AR33" i="1"/>
  <c r="BM35" i="1"/>
  <c r="BP36" i="1"/>
  <c r="AK35" i="1"/>
  <c r="BW34" i="1"/>
  <c r="AO34" i="1"/>
  <c r="AH34" i="1"/>
  <c r="AJ34" i="1"/>
  <c r="BI36" i="1"/>
  <c r="AD35" i="1"/>
  <c r="AG34" i="1"/>
  <c r="AS33" i="1"/>
  <c r="AT34" i="1"/>
  <c r="AF35" i="1"/>
  <c r="AL34" i="1"/>
  <c r="AP34" i="1"/>
  <c r="AE34" i="1"/>
  <c r="AM34" i="1"/>
  <c r="BX34" i="1"/>
  <c r="BJ35" i="1"/>
  <c r="BY35" i="1"/>
  <c r="BQ36" i="1"/>
  <c r="BK37" i="1"/>
  <c r="BL37" i="1"/>
  <c r="BT35" i="1"/>
  <c r="BR36" i="1"/>
  <c r="BS35" i="1"/>
  <c r="AK36" i="1"/>
  <c r="AR34" i="1"/>
  <c r="BW35" i="1"/>
  <c r="BO36" i="1"/>
  <c r="BN36" i="1"/>
  <c r="BM36" i="1"/>
  <c r="BP37" i="1"/>
  <c r="AJ35" i="1"/>
  <c r="BM37" i="1"/>
  <c r="AO35" i="1"/>
  <c r="AH35" i="1"/>
  <c r="AP35" i="1"/>
  <c r="AI35" i="1"/>
  <c r="AD36" i="1"/>
  <c r="BI37" i="1"/>
  <c r="AG35" i="1"/>
  <c r="AN35" i="1"/>
  <c r="AM35" i="1"/>
  <c r="AS34" i="1"/>
  <c r="AT35" i="1"/>
  <c r="AE35" i="1"/>
  <c r="AF36" i="1"/>
  <c r="AL35" i="1"/>
  <c r="BS36" i="1"/>
  <c r="BX35" i="1"/>
  <c r="BY36" i="1"/>
  <c r="BT36" i="1"/>
  <c r="BJ36" i="1"/>
  <c r="BU36" i="1"/>
  <c r="BT37" i="1"/>
  <c r="BR37" i="1"/>
  <c r="BL38" i="1"/>
  <c r="BK38" i="1"/>
  <c r="BQ37" i="1"/>
  <c r="BN38" i="1"/>
  <c r="BP38" i="1"/>
  <c r="BW36" i="1"/>
  <c r="AR35" i="1"/>
  <c r="AK37" i="1"/>
  <c r="BN37" i="1"/>
  <c r="BO37" i="1"/>
  <c r="AI36" i="1"/>
  <c r="AJ36" i="1"/>
  <c r="AO36" i="1"/>
  <c r="AH36" i="1"/>
  <c r="AN36" i="1"/>
  <c r="BI38" i="1"/>
  <c r="AD37" i="1"/>
  <c r="AG36" i="1"/>
  <c r="AP36" i="1"/>
  <c r="AS35" i="1"/>
  <c r="AF37" i="1"/>
  <c r="AL36" i="1"/>
  <c r="AT36" i="1"/>
  <c r="AE36" i="1"/>
  <c r="AM36" i="1"/>
  <c r="BU37" i="1"/>
  <c r="BR38" i="1"/>
  <c r="BJ37" i="1"/>
  <c r="BY37" i="1"/>
  <c r="BS37" i="1"/>
  <c r="BX36" i="1"/>
  <c r="BK39" i="1"/>
  <c r="BQ38" i="1"/>
  <c r="BL39" i="1"/>
  <c r="BU38" i="1"/>
  <c r="AR36" i="1"/>
  <c r="BW37" i="1"/>
  <c r="BO38" i="1"/>
  <c r="BM39" i="1"/>
  <c r="AH37" i="1"/>
  <c r="AK38" i="1"/>
  <c r="BM38" i="1"/>
  <c r="BP39" i="1"/>
  <c r="AJ37" i="1"/>
  <c r="AI37" i="1"/>
  <c r="AD38" i="1"/>
  <c r="BI39" i="1"/>
  <c r="AN37" i="1"/>
  <c r="AG37" i="1"/>
  <c r="AO37" i="1"/>
  <c r="AP37" i="1"/>
  <c r="AS36" i="1"/>
  <c r="AE37" i="1"/>
  <c r="AT37" i="1"/>
  <c r="AM37" i="1"/>
  <c r="AL37" i="1"/>
  <c r="AF38" i="1"/>
  <c r="BX37" i="1"/>
  <c r="BT38" i="1"/>
  <c r="BY38" i="1"/>
  <c r="BS38" i="1"/>
  <c r="BR39" i="1"/>
  <c r="BQ39" i="1"/>
  <c r="BL40" i="1"/>
  <c r="BK40" i="1"/>
  <c r="BT39" i="1"/>
  <c r="BJ38" i="1"/>
  <c r="BN40" i="1"/>
  <c r="BO39" i="1"/>
  <c r="AR37" i="1"/>
  <c r="BW38" i="1"/>
  <c r="AK39" i="1"/>
  <c r="BP40" i="1"/>
  <c r="BN39" i="1"/>
  <c r="AO38" i="1"/>
  <c r="AH38" i="1"/>
  <c r="AJ38" i="1"/>
  <c r="AI38" i="1"/>
  <c r="BI40" i="1"/>
  <c r="AD39" i="1"/>
  <c r="AG38" i="1"/>
  <c r="AN38" i="1"/>
  <c r="AS37" i="1"/>
  <c r="AM38" i="1"/>
  <c r="AE38" i="1"/>
  <c r="AP38" i="1"/>
  <c r="AT38" i="1"/>
  <c r="AF39" i="1"/>
  <c r="AL38" i="1"/>
  <c r="BX38" i="1"/>
  <c r="BU39" i="1"/>
  <c r="BY39" i="1"/>
  <c r="BS39" i="1"/>
  <c r="BJ39" i="1"/>
  <c r="BR40" i="1"/>
  <c r="BQ40" i="1"/>
  <c r="BK41" i="1"/>
  <c r="BU40" i="1"/>
  <c r="BW39" i="1"/>
  <c r="BO40" i="1"/>
  <c r="AK40" i="1"/>
  <c r="AR38" i="1"/>
  <c r="BM40" i="1"/>
  <c r="BP41" i="1"/>
  <c r="BL41" i="1"/>
  <c r="BT41" i="1"/>
  <c r="BM41" i="1"/>
  <c r="AI39" i="1"/>
  <c r="AO39" i="1"/>
  <c r="AH39" i="1"/>
  <c r="AJ39" i="1"/>
  <c r="BI41" i="1"/>
  <c r="AD40" i="1"/>
  <c r="AG39" i="1"/>
  <c r="AN39" i="1"/>
  <c r="AP39" i="1"/>
  <c r="AM39" i="1"/>
  <c r="AS38" i="1"/>
  <c r="AE39" i="1"/>
  <c r="AT39" i="1"/>
  <c r="AG40" i="1"/>
  <c r="AF40" i="1"/>
  <c r="AL39" i="1"/>
  <c r="BS40" i="1"/>
  <c r="BX39" i="1"/>
  <c r="BJ40" i="1"/>
  <c r="BY40" i="1"/>
  <c r="BQ41" i="1"/>
  <c r="BK42" i="1"/>
  <c r="BR41" i="1"/>
  <c r="BT40" i="1"/>
  <c r="BW40" i="1"/>
  <c r="BO41" i="1"/>
  <c r="BP42" i="1"/>
  <c r="AK41" i="1"/>
  <c r="AR39" i="1"/>
  <c r="BT42" i="1"/>
  <c r="BM42" i="1"/>
  <c r="BL42" i="1"/>
  <c r="BO42" i="1"/>
  <c r="BN41" i="1"/>
  <c r="AO40" i="1"/>
  <c r="AH40" i="1"/>
  <c r="AJ40" i="1"/>
  <c r="AI40" i="1"/>
  <c r="BI42" i="1"/>
  <c r="AD41" i="1"/>
  <c r="AN40" i="1"/>
  <c r="AP40" i="1"/>
  <c r="AS39" i="1"/>
  <c r="AE40" i="1"/>
  <c r="AT40" i="1"/>
  <c r="AL40" i="1"/>
  <c r="AF41" i="1"/>
  <c r="AG41" i="1"/>
  <c r="AM40" i="1"/>
  <c r="BX40" i="1"/>
  <c r="BS41" i="1"/>
  <c r="BU41" i="1"/>
  <c r="BR42" i="1"/>
  <c r="BJ41" i="1"/>
  <c r="BK43" i="1"/>
  <c r="BQ42" i="1"/>
  <c r="BY41" i="1"/>
  <c r="BN43" i="1"/>
  <c r="BW41" i="1"/>
  <c r="AK42" i="1"/>
  <c r="AR40" i="1"/>
  <c r="BN42" i="1"/>
  <c r="BW42" i="1"/>
  <c r="BP43" i="1"/>
  <c r="BL43" i="1"/>
  <c r="AJ41" i="1"/>
  <c r="AI41" i="1"/>
  <c r="AO41" i="1"/>
  <c r="AH41" i="1"/>
  <c r="AD42" i="1"/>
  <c r="BI43" i="1"/>
  <c r="AP41" i="1"/>
  <c r="AN41" i="1"/>
  <c r="AE41" i="1"/>
  <c r="AM41" i="1"/>
  <c r="AS40" i="1"/>
  <c r="AG42" i="1"/>
  <c r="AL41" i="1"/>
  <c r="AF42" i="1"/>
  <c r="AT41" i="1"/>
  <c r="BX41" i="1"/>
  <c r="BS42" i="1"/>
  <c r="BU42" i="1"/>
  <c r="BY42" i="1"/>
  <c r="BJ42" i="1"/>
  <c r="BR43" i="1"/>
  <c r="BK44" i="1"/>
  <c r="BQ43" i="1"/>
  <c r="BN44" i="1"/>
  <c r="BU43" i="1"/>
  <c r="AR41" i="1"/>
  <c r="BO43" i="1"/>
  <c r="BM43" i="1"/>
  <c r="BP44" i="1"/>
  <c r="BL44" i="1"/>
  <c r="AK43" i="1"/>
  <c r="AJ42" i="1"/>
  <c r="AO42" i="1"/>
  <c r="AH42" i="1"/>
  <c r="AI42" i="1"/>
  <c r="BI44" i="1"/>
  <c r="AD43" i="1"/>
  <c r="AN42" i="1"/>
  <c r="AP42" i="1"/>
  <c r="AS41" i="1"/>
  <c r="AM42" i="1"/>
  <c r="AT42" i="1"/>
  <c r="AE42" i="1"/>
  <c r="AG43" i="1"/>
  <c r="AL42" i="1"/>
  <c r="AF43" i="1"/>
  <c r="BX42" i="1"/>
  <c r="BR44" i="1"/>
  <c r="BJ43" i="1"/>
  <c r="BS43" i="1"/>
  <c r="BY43" i="1"/>
  <c r="BQ44" i="1"/>
  <c r="BK45" i="1"/>
  <c r="BT43" i="1"/>
  <c r="BS44" i="1"/>
  <c r="BU44" i="1"/>
  <c r="BO44" i="1"/>
  <c r="AJ43" i="1"/>
  <c r="AR42" i="1"/>
  <c r="BW43" i="1"/>
  <c r="BT44" i="1"/>
  <c r="BM44" i="1"/>
  <c r="BP45" i="1"/>
  <c r="AK44" i="1"/>
  <c r="BL45" i="1"/>
  <c r="AI43" i="1"/>
  <c r="AO43" i="1"/>
  <c r="AH43" i="1"/>
  <c r="AD44" i="1"/>
  <c r="BI45" i="1"/>
  <c r="AM43" i="1"/>
  <c r="AS42" i="1"/>
  <c r="AN43" i="1"/>
  <c r="AE43" i="1"/>
  <c r="AT43" i="1"/>
  <c r="AF44" i="1"/>
  <c r="AL43" i="1"/>
  <c r="AG44" i="1"/>
  <c r="AP43" i="1"/>
  <c r="BJ44" i="1"/>
  <c r="BX43" i="1"/>
  <c r="BR45" i="1"/>
  <c r="BY44" i="1"/>
  <c r="BQ45" i="1"/>
  <c r="BK46" i="1"/>
  <c r="BW44" i="1"/>
  <c r="BX44" i="1"/>
  <c r="AR43" i="1"/>
  <c r="BM45" i="1"/>
  <c r="BP46" i="1"/>
  <c r="BL46" i="1"/>
  <c r="AK45" i="1"/>
  <c r="BN45" i="1"/>
  <c r="BO45" i="1"/>
  <c r="AP44" i="1"/>
  <c r="AI44" i="1"/>
  <c r="AO44" i="1"/>
  <c r="AH44" i="1"/>
  <c r="AJ44" i="1"/>
  <c r="BI46" i="1"/>
  <c r="AD45" i="1"/>
  <c r="AN44" i="1"/>
  <c r="AS43" i="1"/>
  <c r="AM44" i="1"/>
  <c r="AE44" i="1"/>
  <c r="AI45" i="1"/>
  <c r="AT44" i="1"/>
  <c r="AL44" i="1"/>
  <c r="AG45" i="1"/>
  <c r="AF45" i="1"/>
  <c r="BS45" i="1"/>
  <c r="BY45" i="1"/>
  <c r="BJ45" i="1"/>
  <c r="BQ46" i="1"/>
  <c r="BK47" i="1"/>
  <c r="BR46" i="1"/>
  <c r="BU45" i="1"/>
  <c r="BT45" i="1"/>
  <c r="BN47" i="1"/>
  <c r="BW45" i="1"/>
  <c r="AR44" i="1"/>
  <c r="BT46" i="1"/>
  <c r="BM46" i="1"/>
  <c r="BP47" i="1"/>
  <c r="AK46" i="1"/>
  <c r="BN46" i="1"/>
  <c r="BL47" i="1"/>
  <c r="BO46" i="1"/>
  <c r="AO45" i="1"/>
  <c r="AH45" i="1"/>
  <c r="AJ45" i="1"/>
  <c r="AD46" i="1"/>
  <c r="BI47" i="1"/>
  <c r="AN45" i="1"/>
  <c r="AS44" i="1"/>
  <c r="AE45" i="1"/>
  <c r="AI46" i="1"/>
  <c r="AT45" i="1"/>
  <c r="AP45" i="1"/>
  <c r="AG46" i="1"/>
  <c r="AF46" i="1"/>
  <c r="AL45" i="1"/>
  <c r="AM45" i="1"/>
  <c r="BU46" i="1"/>
  <c r="BS46" i="1"/>
  <c r="BX45" i="1"/>
  <c r="BJ46" i="1"/>
  <c r="BQ47" i="1"/>
  <c r="BK48" i="1"/>
  <c r="BR47" i="1"/>
  <c r="BY46" i="1"/>
  <c r="BU47" i="1"/>
  <c r="AR45" i="1"/>
  <c r="BW46" i="1"/>
  <c r="BL48" i="1"/>
  <c r="BT47" i="1"/>
  <c r="BM47" i="1"/>
  <c r="BP48" i="1"/>
  <c r="BM48" i="1"/>
  <c r="BO47" i="1"/>
  <c r="AH46" i="1"/>
  <c r="AK47" i="1"/>
  <c r="AJ46" i="1"/>
  <c r="BI48" i="1"/>
  <c r="AD47" i="1"/>
  <c r="AN46" i="1"/>
  <c r="AP46" i="1"/>
  <c r="AS45" i="1"/>
  <c r="AL46" i="1"/>
  <c r="AF47" i="1"/>
  <c r="AE46" i="1"/>
  <c r="AI47" i="1"/>
  <c r="AT46" i="1"/>
  <c r="AM46" i="1"/>
  <c r="AO46" i="1"/>
  <c r="BX46" i="1"/>
  <c r="BR48" i="1"/>
  <c r="BT48" i="1"/>
  <c r="BY47" i="1"/>
  <c r="BS47" i="1"/>
  <c r="BJ47" i="1"/>
  <c r="BQ48" i="1"/>
  <c r="BK49" i="1"/>
  <c r="BX47" i="1"/>
  <c r="AR46" i="1"/>
  <c r="BW47" i="1"/>
  <c r="BL49" i="1"/>
  <c r="BN48" i="1"/>
  <c r="BP49" i="1"/>
  <c r="BO48" i="1"/>
  <c r="AK48" i="1"/>
  <c r="AJ47" i="1"/>
  <c r="AO47" i="1"/>
  <c r="AH47" i="1"/>
  <c r="AD48" i="1"/>
  <c r="BI49" i="1"/>
  <c r="AG47" i="1"/>
  <c r="AN47" i="1"/>
  <c r="AS46" i="1"/>
  <c r="AT47" i="1"/>
  <c r="AM47" i="1"/>
  <c r="AI48" i="1"/>
  <c r="AE47" i="1"/>
  <c r="AP47" i="1"/>
  <c r="AF48" i="1"/>
  <c r="AL47" i="1"/>
  <c r="BS48" i="1"/>
  <c r="BR49" i="1"/>
  <c r="BQ49" i="1"/>
  <c r="BK50" i="1"/>
  <c r="BJ48" i="1"/>
  <c r="BY48" i="1"/>
  <c r="BU48" i="1"/>
  <c r="BS49" i="1"/>
  <c r="AJ48" i="1"/>
  <c r="BW48" i="1"/>
  <c r="AR47" i="1"/>
  <c r="BM49" i="1"/>
  <c r="BP50" i="1"/>
  <c r="BO49" i="1"/>
  <c r="BL50" i="1"/>
  <c r="BN49" i="1"/>
  <c r="AK49" i="1"/>
  <c r="AO48" i="1"/>
  <c r="AH48" i="1"/>
  <c r="AN48" i="1"/>
  <c r="BI50" i="1"/>
  <c r="AD49" i="1"/>
  <c r="AG48" i="1"/>
  <c r="AS47" i="1"/>
  <c r="AT48" i="1"/>
  <c r="AP48" i="1"/>
  <c r="AE48" i="1"/>
  <c r="AF49" i="1"/>
  <c r="AL48" i="1"/>
  <c r="AI49" i="1"/>
  <c r="AM48" i="1"/>
  <c r="BU49" i="1"/>
  <c r="BX48" i="1"/>
  <c r="BR50" i="1"/>
  <c r="BJ49" i="1"/>
  <c r="BY49" i="1"/>
  <c r="BT49" i="1"/>
  <c r="BQ50" i="1"/>
  <c r="BK51" i="1"/>
  <c r="BN51" i="1"/>
  <c r="AR48" i="1"/>
  <c r="BW49" i="1"/>
  <c r="BL51" i="1"/>
  <c r="BN50" i="1"/>
  <c r="AH49" i="1"/>
  <c r="AK50" i="1"/>
  <c r="BM50" i="1"/>
  <c r="BP51" i="1"/>
  <c r="BO50" i="1"/>
  <c r="AJ49" i="1"/>
  <c r="AN49" i="1"/>
  <c r="AD50" i="1"/>
  <c r="BI51" i="1"/>
  <c r="AG49" i="1"/>
  <c r="AM49" i="1"/>
  <c r="AI50" i="1"/>
  <c r="AS48" i="1"/>
  <c r="AE49" i="1"/>
  <c r="AT49" i="1"/>
  <c r="AP49" i="1"/>
  <c r="AO49" i="1"/>
  <c r="AF50" i="1"/>
  <c r="AL49" i="1"/>
  <c r="BU50" i="1"/>
  <c r="BX49" i="1"/>
  <c r="BR51" i="1"/>
  <c r="BJ50" i="1"/>
  <c r="BT50" i="1"/>
  <c r="BK52" i="1"/>
  <c r="BQ51" i="1"/>
  <c r="BY50" i="1"/>
  <c r="BS50" i="1"/>
  <c r="BN52" i="1"/>
  <c r="BO51" i="1"/>
  <c r="AR49" i="1"/>
  <c r="AK51" i="1"/>
  <c r="BM51" i="1"/>
  <c r="BP52" i="1"/>
  <c r="BL52" i="1"/>
  <c r="BW50" i="1"/>
  <c r="AO50" i="1"/>
  <c r="AH50" i="1"/>
  <c r="AJ50" i="1"/>
  <c r="AN50" i="1"/>
  <c r="BI52" i="1"/>
  <c r="AD51" i="1"/>
  <c r="AG50" i="1"/>
  <c r="AP50" i="1"/>
  <c r="AM50" i="1"/>
  <c r="AS49" i="1"/>
  <c r="AT50" i="1"/>
  <c r="AL50" i="1"/>
  <c r="AF51" i="1"/>
  <c r="AE50" i="1"/>
  <c r="BJ51" i="1"/>
  <c r="BX50" i="1"/>
  <c r="BK53" i="1"/>
  <c r="BQ52" i="1"/>
  <c r="BY51" i="1"/>
  <c r="BS51" i="1"/>
  <c r="BT51" i="1"/>
  <c r="BU51" i="1"/>
  <c r="BR52" i="1"/>
  <c r="BN53" i="1"/>
  <c r="BO52" i="1"/>
  <c r="BW51" i="1"/>
  <c r="AR50" i="1"/>
  <c r="AK52" i="1"/>
  <c r="BM52" i="1"/>
  <c r="BP53" i="1"/>
  <c r="BL53" i="1"/>
  <c r="AJ51" i="1"/>
  <c r="AP51" i="1"/>
  <c r="AI51" i="1"/>
  <c r="AO51" i="1"/>
  <c r="AH51" i="1"/>
  <c r="AD52" i="1"/>
  <c r="BI53" i="1"/>
  <c r="AG51" i="1"/>
  <c r="AN51" i="1"/>
  <c r="AS50" i="1"/>
  <c r="AE51" i="1"/>
  <c r="AM51" i="1"/>
  <c r="AI52" i="1"/>
  <c r="AT51" i="1"/>
  <c r="AF52" i="1"/>
  <c r="AL51" i="1"/>
  <c r="BY52" i="1"/>
  <c r="BX51" i="1"/>
  <c r="BR53" i="1"/>
  <c r="BU52" i="1"/>
  <c r="BQ53" i="1"/>
  <c r="BK54" i="1"/>
  <c r="BT52" i="1"/>
  <c r="BJ52" i="1"/>
  <c r="BS52" i="1"/>
  <c r="BO53" i="1"/>
  <c r="BN54" i="1"/>
  <c r="BW52" i="1"/>
  <c r="AJ52" i="1"/>
  <c r="AR51" i="1"/>
  <c r="BM53" i="1"/>
  <c r="BP54" i="1"/>
  <c r="BL54" i="1"/>
  <c r="AH52" i="1"/>
  <c r="AK53" i="1"/>
  <c r="BI54" i="1"/>
  <c r="AD53" i="1"/>
  <c r="AG52" i="1"/>
  <c r="AM52" i="1"/>
  <c r="AN52" i="1"/>
  <c r="AS51" i="1"/>
  <c r="AP52" i="1"/>
  <c r="AE52" i="1"/>
  <c r="AO52" i="1"/>
  <c r="AF53" i="1"/>
  <c r="AL52" i="1"/>
  <c r="AT52" i="1"/>
  <c r="BX52" i="1"/>
  <c r="BT53" i="1"/>
  <c r="BJ53" i="1"/>
  <c r="BY53" i="1"/>
  <c r="BQ54" i="1"/>
  <c r="BK55" i="1"/>
  <c r="BS53" i="1"/>
  <c r="BR54" i="1"/>
  <c r="BU53" i="1"/>
  <c r="BW53" i="1"/>
  <c r="BO54" i="1"/>
  <c r="AR52" i="1"/>
  <c r="AK54" i="1"/>
  <c r="BL55" i="1"/>
  <c r="BM54" i="1"/>
  <c r="BP55" i="1"/>
  <c r="BM55" i="1"/>
  <c r="AO53" i="1"/>
  <c r="AH53" i="1"/>
  <c r="AP53" i="1"/>
  <c r="AI53" i="1"/>
  <c r="AJ53" i="1"/>
  <c r="AD54" i="1"/>
  <c r="BI55" i="1"/>
  <c r="AG53" i="1"/>
  <c r="AN53" i="1"/>
  <c r="AS52" i="1"/>
  <c r="AE53" i="1"/>
  <c r="AT53" i="1"/>
  <c r="AM53" i="1"/>
  <c r="AF54" i="1"/>
  <c r="AL53" i="1"/>
  <c r="BS54" i="1"/>
  <c r="BR55" i="1"/>
  <c r="BJ54" i="1"/>
  <c r="BX53" i="1"/>
  <c r="BT55" i="1"/>
  <c r="BU54" i="1"/>
  <c r="BY54" i="1"/>
  <c r="BQ55" i="1"/>
  <c r="BK56" i="1"/>
  <c r="BT54" i="1"/>
  <c r="BO55" i="1"/>
  <c r="BW54" i="1"/>
  <c r="AJ54" i="1"/>
  <c r="AR53" i="1"/>
  <c r="BL56" i="1"/>
  <c r="BN55" i="1"/>
  <c r="BM56" i="1"/>
  <c r="AH54" i="1"/>
  <c r="AK55" i="1"/>
  <c r="BP56" i="1"/>
  <c r="AP54" i="1"/>
  <c r="AI54" i="1"/>
  <c r="BI56" i="1"/>
  <c r="AD55" i="1"/>
  <c r="AG54" i="1"/>
  <c r="AN54" i="1"/>
  <c r="AS53" i="1"/>
  <c r="BU55" i="1"/>
  <c r="AM54" i="1"/>
  <c r="AT54" i="1"/>
  <c r="AF55" i="1"/>
  <c r="AL54" i="1"/>
  <c r="AO54" i="1"/>
  <c r="AE54" i="1"/>
  <c r="AI55" i="1"/>
  <c r="BX54" i="1"/>
  <c r="BY55" i="1"/>
  <c r="BT56" i="1"/>
  <c r="BQ56" i="1"/>
  <c r="BK57" i="1"/>
  <c r="BJ55" i="1"/>
  <c r="BS55" i="1"/>
  <c r="BR56" i="1"/>
  <c r="BW55" i="1"/>
  <c r="BS56" i="1"/>
  <c r="BO56" i="1"/>
  <c r="AR54" i="1"/>
  <c r="BO57" i="1"/>
  <c r="BN56" i="1"/>
  <c r="AK56" i="1"/>
  <c r="BL57" i="1"/>
  <c r="BP57" i="1"/>
  <c r="AJ55" i="1"/>
  <c r="AO55" i="1"/>
  <c r="AH55" i="1"/>
  <c r="AD56" i="1"/>
  <c r="BI57" i="1"/>
  <c r="AG55" i="1"/>
  <c r="AN55" i="1"/>
  <c r="AS54" i="1"/>
  <c r="AT55" i="1"/>
  <c r="AM55" i="1"/>
  <c r="AP55" i="1"/>
  <c r="AL55" i="1"/>
  <c r="AF56" i="1"/>
  <c r="AE55" i="1"/>
  <c r="BX55" i="1"/>
  <c r="BJ56" i="1"/>
  <c r="BR57" i="1"/>
  <c r="BY56" i="1"/>
  <c r="BQ57" i="1"/>
  <c r="BK58" i="1"/>
  <c r="BU56" i="1"/>
  <c r="BN58" i="1"/>
  <c r="BW56" i="1"/>
  <c r="AR55" i="1"/>
  <c r="BM57" i="1"/>
  <c r="BP58" i="1"/>
  <c r="BN57" i="1"/>
  <c r="AK57" i="1"/>
  <c r="BL58" i="1"/>
  <c r="AP56" i="1"/>
  <c r="AI56" i="1"/>
  <c r="AJ56" i="1"/>
  <c r="AO56" i="1"/>
  <c r="AH56" i="1"/>
  <c r="BI58" i="1"/>
  <c r="AD57" i="1"/>
  <c r="AG56" i="1"/>
  <c r="AI57" i="1"/>
  <c r="AS55" i="1"/>
  <c r="AE56" i="1"/>
  <c r="AT56" i="1"/>
  <c r="AN56" i="1"/>
  <c r="AM56" i="1"/>
  <c r="AL56" i="1"/>
  <c r="AF57" i="1"/>
  <c r="BX56" i="1"/>
  <c r="BU57" i="1"/>
  <c r="BT57" i="1"/>
  <c r="BJ57" i="1"/>
  <c r="BR58" i="1"/>
  <c r="BY57" i="1"/>
  <c r="BS57" i="1"/>
  <c r="BQ58" i="1"/>
  <c r="BK59" i="1"/>
  <c r="AR56" i="1"/>
  <c r="BO58" i="1"/>
  <c r="BW57" i="1"/>
  <c r="AJ57" i="1"/>
  <c r="BM58" i="1"/>
  <c r="BP59" i="1"/>
  <c r="BL59" i="1"/>
  <c r="AK58" i="1"/>
  <c r="AO57" i="1"/>
  <c r="AH57" i="1"/>
  <c r="BI59" i="1"/>
  <c r="AD58" i="1"/>
  <c r="AG57" i="1"/>
  <c r="AI58" i="1"/>
  <c r="AN57" i="1"/>
  <c r="AP57" i="1"/>
  <c r="AM57" i="1"/>
  <c r="AS56" i="1"/>
  <c r="AT57" i="1"/>
  <c r="AE57" i="1"/>
  <c r="AF58" i="1"/>
  <c r="AL57" i="1"/>
  <c r="BS58" i="1"/>
  <c r="BR59" i="1"/>
  <c r="BY58" i="1"/>
  <c r="BX57" i="1"/>
  <c r="BT58" i="1"/>
  <c r="BJ58" i="1"/>
  <c r="BQ59" i="1"/>
  <c r="BK60" i="1"/>
  <c r="BU58" i="1"/>
  <c r="BN60" i="1"/>
  <c r="BO59" i="1"/>
  <c r="BW58" i="1"/>
  <c r="AR57" i="1"/>
  <c r="BT59" i="1"/>
  <c r="BM59" i="1"/>
  <c r="BP60" i="1"/>
  <c r="BL60" i="1"/>
  <c r="BN59" i="1"/>
  <c r="AH58" i="1"/>
  <c r="AK59" i="1"/>
  <c r="AJ58" i="1"/>
  <c r="AD59" i="1"/>
  <c r="BI60" i="1"/>
  <c r="AN58" i="1"/>
  <c r="AG58" i="1"/>
  <c r="AP58" i="1"/>
  <c r="AS57" i="1"/>
  <c r="AM58" i="1"/>
  <c r="AF59" i="1"/>
  <c r="AL58" i="1"/>
  <c r="AT58" i="1"/>
  <c r="AO58" i="1"/>
  <c r="AE58" i="1"/>
  <c r="BU59" i="1"/>
  <c r="BS59" i="1"/>
  <c r="BY59" i="1"/>
  <c r="BJ59" i="1"/>
  <c r="BX58" i="1"/>
  <c r="BR60" i="1"/>
  <c r="BK61" i="1"/>
  <c r="BQ60" i="1"/>
  <c r="BU60" i="1"/>
  <c r="BN61" i="1"/>
  <c r="BW59" i="1"/>
  <c r="AR58" i="1"/>
  <c r="AK60" i="1"/>
  <c r="BL61" i="1"/>
  <c r="BT60" i="1"/>
  <c r="BM60" i="1"/>
  <c r="BP61" i="1"/>
  <c r="BO60" i="1"/>
  <c r="AO59" i="1"/>
  <c r="AH59" i="1"/>
  <c r="AI59" i="1"/>
  <c r="AJ59" i="1"/>
  <c r="BI61" i="1"/>
  <c r="AD60" i="1"/>
  <c r="AN59" i="1"/>
  <c r="AG59" i="1"/>
  <c r="AS58" i="1"/>
  <c r="AM59" i="1"/>
  <c r="AP59" i="1"/>
  <c r="AT59" i="1"/>
  <c r="AL59" i="1"/>
  <c r="AF60" i="1"/>
  <c r="AE59" i="1"/>
  <c r="BS60" i="1"/>
  <c r="BX59" i="1"/>
  <c r="BY60" i="1"/>
  <c r="BJ60" i="1"/>
  <c r="BR61" i="1"/>
  <c r="BK62" i="1"/>
  <c r="BQ61" i="1"/>
  <c r="BU61" i="1"/>
  <c r="AR59" i="1"/>
  <c r="BO61" i="1"/>
  <c r="BW60" i="1"/>
  <c r="BL62" i="1"/>
  <c r="BM61" i="1"/>
  <c r="BP62" i="1"/>
  <c r="BT62" i="1"/>
  <c r="BM62" i="1"/>
  <c r="AK61" i="1"/>
  <c r="AJ60" i="1"/>
  <c r="AO60" i="1"/>
  <c r="AH60" i="1"/>
  <c r="AI60" i="1"/>
  <c r="AD61" i="1"/>
  <c r="BI62" i="1"/>
  <c r="AN60" i="1"/>
  <c r="AG60" i="1"/>
  <c r="AP60" i="1"/>
  <c r="AS59" i="1"/>
  <c r="AT60" i="1"/>
  <c r="AE60" i="1"/>
  <c r="AF61" i="1"/>
  <c r="AL60" i="1"/>
  <c r="AM60" i="1"/>
  <c r="BX60" i="1"/>
  <c r="BR62" i="1"/>
  <c r="BY61" i="1"/>
  <c r="BS61" i="1"/>
  <c r="BK63" i="1"/>
  <c r="BQ62" i="1"/>
  <c r="BJ61" i="1"/>
  <c r="BT61" i="1"/>
  <c r="BN63" i="1"/>
  <c r="BW61" i="1"/>
  <c r="AR60" i="1"/>
  <c r="BO62" i="1"/>
  <c r="BP63" i="1"/>
  <c r="BL63" i="1"/>
  <c r="BN62" i="1"/>
  <c r="AH61" i="1"/>
  <c r="AK62" i="1"/>
  <c r="AJ61" i="1"/>
  <c r="AI61" i="1"/>
  <c r="BI63" i="1"/>
  <c r="AD62" i="1"/>
  <c r="AG61" i="1"/>
  <c r="AP61" i="1"/>
  <c r="AN61" i="1"/>
  <c r="AO61" i="1"/>
  <c r="AT61" i="1"/>
  <c r="AE61" i="1"/>
  <c r="AS60" i="1"/>
  <c r="AL61" i="1"/>
  <c r="AF62" i="1"/>
  <c r="AM61" i="1"/>
  <c r="BX61" i="1"/>
  <c r="BJ62" i="1"/>
  <c r="BY62" i="1"/>
  <c r="BS62" i="1"/>
  <c r="BU62" i="1"/>
  <c r="BR63" i="1"/>
  <c r="BQ63" i="1"/>
  <c r="BK64" i="1"/>
  <c r="BS63" i="1"/>
  <c r="BU63" i="1"/>
  <c r="AR61" i="1"/>
  <c r="BW62" i="1"/>
  <c r="BM63" i="1"/>
  <c r="BP64" i="1"/>
  <c r="AK63" i="1"/>
  <c r="BO63" i="1"/>
  <c r="BL64" i="1"/>
  <c r="AJ62" i="1"/>
  <c r="AO62" i="1"/>
  <c r="AH62" i="1"/>
  <c r="AI62" i="1"/>
  <c r="AD63" i="1"/>
  <c r="BI64" i="1"/>
  <c r="AN62" i="1"/>
  <c r="AG62" i="1"/>
  <c r="AT62" i="1"/>
  <c r="AE62" i="1"/>
  <c r="AP62" i="1"/>
  <c r="AS61" i="1"/>
  <c r="AM62" i="1"/>
  <c r="AL62" i="1"/>
  <c r="AF63" i="1"/>
  <c r="BX62" i="1"/>
  <c r="BY63" i="1"/>
  <c r="BJ63" i="1"/>
  <c r="BT63" i="1"/>
  <c r="BR64" i="1"/>
  <c r="BQ64" i="1"/>
  <c r="BK65" i="1"/>
  <c r="BN65" i="1"/>
  <c r="BO64" i="1"/>
  <c r="AR62" i="1"/>
  <c r="BL65" i="1"/>
  <c r="BN64" i="1"/>
  <c r="AH63" i="1"/>
  <c r="AK64" i="1"/>
  <c r="BW63" i="1"/>
  <c r="BP65" i="1"/>
  <c r="BM64" i="1"/>
  <c r="AD64" i="1"/>
  <c r="AJ63" i="1"/>
  <c r="AI63" i="1"/>
  <c r="BI65" i="1"/>
  <c r="AN63" i="1"/>
  <c r="AG63" i="1"/>
  <c r="AP63" i="1"/>
  <c r="AS62" i="1"/>
  <c r="AE63" i="1"/>
  <c r="AM63" i="1"/>
  <c r="AT63" i="1"/>
  <c r="AO63" i="1"/>
  <c r="AF64" i="1"/>
  <c r="AL63" i="1"/>
  <c r="BU64" i="1"/>
  <c r="BX63" i="1"/>
  <c r="BJ64" i="1"/>
  <c r="BY64" i="1"/>
  <c r="BS64" i="1"/>
  <c r="BQ65" i="1"/>
  <c r="BK66" i="1"/>
  <c r="BT64" i="1"/>
  <c r="BR65" i="1"/>
  <c r="BU65" i="1"/>
  <c r="BN66" i="1"/>
  <c r="BW64" i="1"/>
  <c r="AR63" i="1"/>
  <c r="AH64" i="1"/>
  <c r="AK65" i="1"/>
  <c r="BL66" i="1"/>
  <c r="BP66" i="1"/>
  <c r="BM65" i="1"/>
  <c r="BO65" i="1"/>
  <c r="AJ64" i="1"/>
  <c r="AI64" i="1"/>
  <c r="AD65" i="1"/>
  <c r="BI66" i="1"/>
  <c r="AG64" i="1"/>
  <c r="AT64" i="1"/>
  <c r="AS63" i="1"/>
  <c r="AP64" i="1"/>
  <c r="AO64" i="1"/>
  <c r="AM64" i="1"/>
  <c r="AN64" i="1"/>
  <c r="AF65" i="1"/>
  <c r="AL64" i="1"/>
  <c r="AE64" i="1"/>
  <c r="BX64" i="1"/>
  <c r="BJ65" i="1"/>
  <c r="BY65" i="1"/>
  <c r="BS65" i="1"/>
  <c r="BR66" i="1"/>
  <c r="BK67" i="1"/>
  <c r="BQ66" i="1"/>
  <c r="BT65" i="1"/>
  <c r="BU66" i="1"/>
  <c r="BO66" i="1"/>
  <c r="AR64" i="1"/>
  <c r="BL67" i="1"/>
  <c r="BT66" i="1"/>
  <c r="BP67" i="1"/>
  <c r="BM66" i="1"/>
  <c r="BW65" i="1"/>
  <c r="AH65" i="1"/>
  <c r="AK66" i="1"/>
  <c r="AJ65" i="1"/>
  <c r="AI65" i="1"/>
  <c r="AD66" i="1"/>
  <c r="BI67" i="1"/>
  <c r="AG65" i="1"/>
  <c r="AE65" i="1"/>
  <c r="AS64" i="1"/>
  <c r="AM65" i="1"/>
  <c r="AT65" i="1"/>
  <c r="AN65" i="1"/>
  <c r="AP65" i="1"/>
  <c r="AF66" i="1"/>
  <c r="AL65" i="1"/>
  <c r="AO65" i="1"/>
  <c r="BN67" i="1"/>
  <c r="BS66" i="1"/>
  <c r="BX65" i="1"/>
  <c r="BJ66" i="1"/>
  <c r="BR67" i="1"/>
  <c r="BY66" i="1"/>
  <c r="BK68" i="1"/>
  <c r="BQ67" i="1"/>
  <c r="BW66" i="1"/>
  <c r="BO67" i="1"/>
  <c r="AJ66" i="1"/>
  <c r="AR65" i="1"/>
  <c r="BL68" i="1"/>
  <c r="BP68" i="1"/>
  <c r="BM67" i="1"/>
  <c r="AK67" i="1"/>
  <c r="BT68" i="1"/>
  <c r="BM68" i="1"/>
  <c r="AD67" i="1"/>
  <c r="AO66" i="1"/>
  <c r="AH66" i="1"/>
  <c r="AI66" i="1"/>
  <c r="BI68" i="1"/>
  <c r="AG66" i="1"/>
  <c r="AE66" i="1"/>
  <c r="AS65" i="1"/>
  <c r="AT66" i="1"/>
  <c r="AM66" i="1"/>
  <c r="AP66" i="1"/>
  <c r="AL66" i="1"/>
  <c r="AF67" i="1"/>
  <c r="AN66" i="1"/>
  <c r="BU67" i="1"/>
  <c r="BN68" i="1"/>
  <c r="BX66" i="1"/>
  <c r="BS67" i="1"/>
  <c r="BY67" i="1"/>
  <c r="BJ67" i="1"/>
  <c r="BR68" i="1"/>
  <c r="BT67" i="1"/>
  <c r="BK69" i="1"/>
  <c r="BQ68" i="1"/>
  <c r="BW67" i="1"/>
  <c r="AR66" i="1"/>
  <c r="BM69" i="1"/>
  <c r="BL69" i="1"/>
  <c r="AK68" i="1"/>
  <c r="BO68" i="1"/>
  <c r="BW68" i="1"/>
  <c r="BP69" i="1"/>
  <c r="AJ67" i="1"/>
  <c r="AP67" i="1"/>
  <c r="AI67" i="1"/>
  <c r="AO67" i="1"/>
  <c r="AH67" i="1"/>
  <c r="AD68" i="1"/>
  <c r="BI69" i="1"/>
  <c r="AG67" i="1"/>
  <c r="AS66" i="1"/>
  <c r="AN67" i="1"/>
  <c r="AE67" i="1"/>
  <c r="AT67" i="1"/>
  <c r="AI68" i="1"/>
  <c r="AM67" i="1"/>
  <c r="AL67" i="1"/>
  <c r="AF68" i="1"/>
  <c r="BX67" i="1"/>
  <c r="BS68" i="1"/>
  <c r="BY68" i="1"/>
  <c r="BJ68" i="1"/>
  <c r="BR69" i="1"/>
  <c r="BT69" i="1"/>
  <c r="BQ69" i="1"/>
  <c r="BK70" i="1"/>
  <c r="BU68" i="1"/>
  <c r="BN70" i="1"/>
  <c r="AN68" i="1"/>
  <c r="AR67" i="1"/>
  <c r="BU69" i="1"/>
  <c r="BN69" i="1"/>
  <c r="BL70" i="1"/>
  <c r="BO69" i="1"/>
  <c r="AK69" i="1"/>
  <c r="BP70" i="1"/>
  <c r="AO68" i="1"/>
  <c r="AH68" i="1"/>
  <c r="AJ68" i="1"/>
  <c r="AD69" i="1"/>
  <c r="BI70" i="1"/>
  <c r="AG68" i="1"/>
  <c r="AS67" i="1"/>
  <c r="AM68" i="1"/>
  <c r="AE68" i="1"/>
  <c r="AL68" i="1"/>
  <c r="AF69" i="1"/>
  <c r="AP68" i="1"/>
  <c r="AT68" i="1"/>
  <c r="BY69" i="1"/>
  <c r="BX68" i="1"/>
  <c r="BJ69" i="1"/>
  <c r="BR70" i="1"/>
  <c r="BQ70" i="1"/>
  <c r="BK71" i="1"/>
  <c r="BS69" i="1"/>
  <c r="BU70" i="1"/>
  <c r="AR68" i="1"/>
  <c r="AK70" i="1"/>
  <c r="BW69" i="1"/>
  <c r="BM71" i="1"/>
  <c r="BO70" i="1"/>
  <c r="BP71" i="1"/>
  <c r="BM70" i="1"/>
  <c r="BL71" i="1"/>
  <c r="AO69" i="1"/>
  <c r="AH69" i="1"/>
  <c r="AP69" i="1"/>
  <c r="AI69" i="1"/>
  <c r="AJ69" i="1"/>
  <c r="AD70" i="1"/>
  <c r="BI71" i="1"/>
  <c r="AG69" i="1"/>
  <c r="AS68" i="1"/>
  <c r="AN69" i="1"/>
  <c r="AT69" i="1"/>
  <c r="AE69" i="1"/>
  <c r="AM69" i="1"/>
  <c r="AF70" i="1"/>
  <c r="AL69" i="1"/>
  <c r="BY70" i="1"/>
  <c r="BJ70" i="1"/>
  <c r="BX69" i="1"/>
  <c r="BQ71" i="1"/>
  <c r="BK72" i="1"/>
  <c r="BT71" i="1"/>
  <c r="BS70" i="1"/>
  <c r="BR71" i="1"/>
  <c r="BT70" i="1"/>
  <c r="BS71" i="1"/>
  <c r="BO71" i="1"/>
  <c r="BW70" i="1"/>
  <c r="AK71" i="1"/>
  <c r="AR69" i="1"/>
  <c r="BP72" i="1"/>
  <c r="BN71" i="1"/>
  <c r="AJ70" i="1"/>
  <c r="BL72" i="1"/>
  <c r="AO70" i="1"/>
  <c r="AH70" i="1"/>
  <c r="AP70" i="1"/>
  <c r="AI70" i="1"/>
  <c r="AD71" i="1"/>
  <c r="BI72" i="1"/>
  <c r="AG70" i="1"/>
  <c r="AE70" i="1"/>
  <c r="AS69" i="1"/>
  <c r="AT70" i="1"/>
  <c r="AI71" i="1"/>
  <c r="AL70" i="1"/>
  <c r="AF71" i="1"/>
  <c r="AN70" i="1"/>
  <c r="AM70" i="1"/>
  <c r="BU71" i="1"/>
  <c r="BX70" i="1"/>
  <c r="BY71" i="1"/>
  <c r="BJ71" i="1"/>
  <c r="BQ72" i="1"/>
  <c r="BK73" i="1"/>
  <c r="BR72" i="1"/>
  <c r="BW71" i="1"/>
  <c r="BO72" i="1"/>
  <c r="AR70" i="1"/>
  <c r="BN72" i="1"/>
  <c r="BP73" i="1"/>
  <c r="BM72" i="1"/>
  <c r="BL73" i="1"/>
  <c r="BM73" i="1"/>
  <c r="AH71" i="1"/>
  <c r="AK72" i="1"/>
  <c r="AD72" i="1"/>
  <c r="AJ71" i="1"/>
  <c r="BI73" i="1"/>
  <c r="AG71" i="1"/>
  <c r="BX71" i="1"/>
  <c r="AS70" i="1"/>
  <c r="AE71" i="1"/>
  <c r="AN71" i="1"/>
  <c r="AO71" i="1"/>
  <c r="AT71" i="1"/>
  <c r="AF72" i="1"/>
  <c r="AL71" i="1"/>
  <c r="AP71" i="1"/>
  <c r="AM71" i="1"/>
  <c r="BU72" i="1"/>
  <c r="BY72" i="1"/>
  <c r="BJ72" i="1"/>
  <c r="BS72" i="1"/>
  <c r="BT73" i="1"/>
  <c r="BR73" i="1"/>
  <c r="BT72" i="1"/>
  <c r="BQ73" i="1"/>
  <c r="BK74" i="1"/>
  <c r="AR71" i="1"/>
  <c r="BP74" i="1"/>
  <c r="AJ72" i="1"/>
  <c r="AK73" i="1"/>
  <c r="BT74" i="1"/>
  <c r="BM74" i="1"/>
  <c r="BL74" i="1"/>
  <c r="BO73" i="1"/>
  <c r="BO74" i="1"/>
  <c r="BN73" i="1"/>
  <c r="BW72" i="1"/>
  <c r="AP72" i="1"/>
  <c r="AI72" i="1"/>
  <c r="AO72" i="1"/>
  <c r="AH72" i="1"/>
  <c r="AD73" i="1"/>
  <c r="BI74" i="1"/>
  <c r="AN72" i="1"/>
  <c r="AG72" i="1"/>
  <c r="AS71" i="1"/>
  <c r="AT72" i="1"/>
  <c r="AE72" i="1"/>
  <c r="AM72" i="1"/>
  <c r="AI73" i="1"/>
  <c r="AF73" i="1"/>
  <c r="AL72" i="1"/>
  <c r="BU73" i="1"/>
  <c r="BX72" i="1"/>
  <c r="BY73" i="1"/>
  <c r="BS73" i="1"/>
  <c r="BJ73" i="1"/>
  <c r="BQ74" i="1"/>
  <c r="BK75" i="1"/>
  <c r="BR74" i="1"/>
  <c r="AR72" i="1"/>
  <c r="BW73" i="1"/>
  <c r="BM75" i="1"/>
  <c r="BU74" i="1"/>
  <c r="BN74" i="1"/>
  <c r="BW74" i="1"/>
  <c r="BL75" i="1"/>
  <c r="AK74" i="1"/>
  <c r="BP75" i="1"/>
  <c r="AJ73" i="1"/>
  <c r="AO73" i="1"/>
  <c r="AH73" i="1"/>
  <c r="AD74" i="1"/>
  <c r="BI75" i="1"/>
  <c r="AG73" i="1"/>
  <c r="AS72" i="1"/>
  <c r="AE73" i="1"/>
  <c r="AT73" i="1"/>
  <c r="AP73" i="1"/>
  <c r="AM73" i="1"/>
  <c r="AI74" i="1"/>
  <c r="AN73" i="1"/>
  <c r="AF74" i="1"/>
  <c r="AL73" i="1"/>
  <c r="BX73" i="1"/>
  <c r="BS74" i="1"/>
  <c r="BJ74" i="1"/>
  <c r="BY74" i="1"/>
  <c r="BQ75" i="1"/>
  <c r="BK76" i="1"/>
  <c r="BT75" i="1"/>
  <c r="BR75" i="1"/>
  <c r="BP76" i="1"/>
  <c r="AR73" i="1"/>
  <c r="BL76" i="1"/>
  <c r="BU75" i="1"/>
  <c r="BN75" i="1"/>
  <c r="AN74" i="1"/>
  <c r="BO75" i="1"/>
  <c r="AK75" i="1"/>
  <c r="AJ74" i="1"/>
  <c r="AO74" i="1"/>
  <c r="AH74" i="1"/>
  <c r="AD75" i="1"/>
  <c r="BI76" i="1"/>
  <c r="AG74" i="1"/>
  <c r="AS73" i="1"/>
  <c r="AM74" i="1"/>
  <c r="AP74" i="1"/>
  <c r="AI75" i="1"/>
  <c r="AE74" i="1"/>
  <c r="AT74" i="1"/>
  <c r="AF75" i="1"/>
  <c r="AL74" i="1"/>
  <c r="BO76" i="1"/>
  <c r="BR76" i="1"/>
  <c r="BJ75" i="1"/>
  <c r="BY75" i="1"/>
  <c r="BX74" i="1"/>
  <c r="BQ76" i="1"/>
  <c r="BK77" i="1"/>
  <c r="BS75" i="1"/>
  <c r="AN75" i="1"/>
  <c r="AJ75" i="1"/>
  <c r="BW75" i="1"/>
  <c r="AR74" i="1"/>
  <c r="AK76" i="1"/>
  <c r="BU76" i="1"/>
  <c r="BN76" i="1"/>
  <c r="BL77" i="1"/>
  <c r="BP77" i="1"/>
  <c r="BM76" i="1"/>
  <c r="AO75" i="1"/>
  <c r="AH75" i="1"/>
  <c r="AD76" i="1"/>
  <c r="BI77" i="1"/>
  <c r="AG75" i="1"/>
  <c r="AS74" i="1"/>
  <c r="AP75" i="1"/>
  <c r="AI76" i="1"/>
  <c r="AF76" i="1"/>
  <c r="AL75" i="1"/>
  <c r="AE75" i="1"/>
  <c r="AT75" i="1"/>
  <c r="AM75" i="1"/>
  <c r="BX75" i="1"/>
  <c r="BR77" i="1"/>
  <c r="BS76" i="1"/>
  <c r="BY76" i="1"/>
  <c r="BJ76" i="1"/>
  <c r="BK78" i="1"/>
  <c r="BQ77" i="1"/>
  <c r="BT76" i="1"/>
  <c r="AR75" i="1"/>
  <c r="BW76" i="1"/>
  <c r="BL78" i="1"/>
  <c r="BM78" i="1"/>
  <c r="BT77" i="1"/>
  <c r="BP78" i="1"/>
  <c r="BM77" i="1"/>
  <c r="BO77" i="1"/>
  <c r="BU77" i="1"/>
  <c r="BN77" i="1"/>
  <c r="AK77" i="1"/>
  <c r="AJ76" i="1"/>
  <c r="AO76" i="1"/>
  <c r="AH76" i="1"/>
  <c r="AD77" i="1"/>
  <c r="BI78" i="1"/>
  <c r="AN76" i="1"/>
  <c r="AG76" i="1"/>
  <c r="AS75" i="1"/>
  <c r="AT76" i="1"/>
  <c r="AP76" i="1"/>
  <c r="AE76" i="1"/>
  <c r="AM76" i="1"/>
  <c r="AF77" i="1"/>
  <c r="AL76" i="1"/>
  <c r="AI77" i="1"/>
  <c r="BN78" i="1"/>
  <c r="BS77" i="1"/>
  <c r="BX76" i="1"/>
  <c r="BY77" i="1"/>
  <c r="BJ77" i="1"/>
  <c r="BR78" i="1"/>
  <c r="BT78" i="1"/>
  <c r="BK79" i="1"/>
  <c r="BQ78" i="1"/>
  <c r="AR76" i="1"/>
  <c r="BW77" i="1"/>
  <c r="BL79" i="1"/>
  <c r="BO78" i="1"/>
  <c r="BW78" i="1"/>
  <c r="BM79" i="1"/>
  <c r="AK78" i="1"/>
  <c r="BP79" i="1"/>
  <c r="AO77" i="1"/>
  <c r="AH77" i="1"/>
  <c r="AD78" i="1"/>
  <c r="AJ77" i="1"/>
  <c r="BI79" i="1"/>
  <c r="AG77" i="1"/>
  <c r="AS76" i="1"/>
  <c r="AT77" i="1"/>
  <c r="AN77" i="1"/>
  <c r="AE77" i="1"/>
  <c r="AP77" i="1"/>
  <c r="AM77" i="1"/>
  <c r="AL77" i="1"/>
  <c r="AF78" i="1"/>
  <c r="BU78" i="1"/>
  <c r="BN79" i="1"/>
  <c r="BX77" i="1"/>
  <c r="BY78" i="1"/>
  <c r="BJ78" i="1"/>
  <c r="BT79" i="1"/>
  <c r="BS78" i="1"/>
  <c r="BR79" i="1"/>
  <c r="BQ79" i="1"/>
  <c r="BK80" i="1"/>
  <c r="BN80" i="1"/>
  <c r="AR77" i="1"/>
  <c r="BO79" i="1"/>
  <c r="BW79" i="1"/>
  <c r="BL80" i="1"/>
  <c r="AK79" i="1"/>
  <c r="BP80" i="1"/>
  <c r="AD79" i="1"/>
  <c r="AO78" i="1"/>
  <c r="AH78" i="1"/>
  <c r="AP78" i="1"/>
  <c r="AI78" i="1"/>
  <c r="AJ78" i="1"/>
  <c r="BI80" i="1"/>
  <c r="AG78" i="1"/>
  <c r="AS77" i="1"/>
  <c r="AT78" i="1"/>
  <c r="AN78" i="1"/>
  <c r="AE78" i="1"/>
  <c r="AM78" i="1"/>
  <c r="AI79" i="1"/>
  <c r="AF79" i="1"/>
  <c r="AL78" i="1"/>
  <c r="BU79" i="1"/>
  <c r="BU80" i="1"/>
  <c r="BX78" i="1"/>
  <c r="BS79" i="1"/>
  <c r="BY79" i="1"/>
  <c r="BJ79" i="1"/>
  <c r="BR80" i="1"/>
  <c r="BQ80" i="1"/>
  <c r="BK81" i="1"/>
  <c r="BS80" i="1"/>
  <c r="AH80" i="1"/>
  <c r="AR78" i="1"/>
  <c r="BL81" i="1"/>
  <c r="BO80" i="1"/>
  <c r="BO81" i="1"/>
  <c r="BP81" i="1"/>
  <c r="BM80" i="1"/>
  <c r="AK80" i="1"/>
  <c r="AJ79" i="1"/>
  <c r="AO79" i="1"/>
  <c r="AH79" i="1"/>
  <c r="BI81" i="1"/>
  <c r="AD80" i="1"/>
  <c r="AG79" i="1"/>
  <c r="AS78" i="1"/>
  <c r="AN79" i="1"/>
  <c r="AE79" i="1"/>
  <c r="AT79" i="1"/>
  <c r="AM79" i="1"/>
  <c r="AF80" i="1"/>
  <c r="AL79" i="1"/>
  <c r="AP79" i="1"/>
  <c r="BX79" i="1"/>
  <c r="BJ80" i="1"/>
  <c r="BR81" i="1"/>
  <c r="BY80" i="1"/>
  <c r="BT80" i="1"/>
  <c r="BK82" i="1"/>
  <c r="BQ81" i="1"/>
  <c r="BS81" i="1"/>
  <c r="AO80" i="1"/>
  <c r="AR79" i="1"/>
  <c r="BW80" i="1"/>
  <c r="BL82" i="1"/>
  <c r="BP82" i="1"/>
  <c r="BM81" i="1"/>
  <c r="BN81" i="1"/>
  <c r="AJ80" i="1"/>
  <c r="AK81" i="1"/>
  <c r="AP80" i="1"/>
  <c r="AI80" i="1"/>
  <c r="AD81" i="1"/>
  <c r="BI82" i="1"/>
  <c r="AG80" i="1"/>
  <c r="BX80" i="1"/>
  <c r="AS79" i="1"/>
  <c r="AN80" i="1"/>
  <c r="AT80" i="1"/>
  <c r="AE80" i="1"/>
  <c r="AM80" i="1"/>
  <c r="AL80" i="1"/>
  <c r="AF81" i="1"/>
  <c r="BJ81" i="1"/>
  <c r="BY81" i="1"/>
  <c r="BR82" i="1"/>
  <c r="BT81" i="1"/>
  <c r="BN83" i="1"/>
  <c r="BQ82" i="1"/>
  <c r="BK83" i="1"/>
  <c r="BU81" i="1"/>
  <c r="AJ81" i="1"/>
  <c r="AR80" i="1"/>
  <c r="BW81" i="1"/>
  <c r="AK82" i="1"/>
  <c r="BL83" i="1"/>
  <c r="BO82" i="1"/>
  <c r="BP83" i="1"/>
  <c r="BM82" i="1"/>
  <c r="BN82" i="1"/>
  <c r="AO81" i="1"/>
  <c r="AH81" i="1"/>
  <c r="AP81" i="1"/>
  <c r="AI81" i="1"/>
  <c r="BI83" i="1"/>
  <c r="AD82" i="1"/>
  <c r="AG81" i="1"/>
  <c r="AT81" i="1"/>
  <c r="AS80" i="1"/>
  <c r="AN81" i="1"/>
  <c r="AM81" i="1"/>
  <c r="AE81" i="1"/>
  <c r="AL81" i="1"/>
  <c r="AF82" i="1"/>
  <c r="BY82" i="1"/>
  <c r="BX81" i="1"/>
  <c r="BJ82" i="1"/>
  <c r="BK84" i="1"/>
  <c r="BQ83" i="1"/>
  <c r="BS82" i="1"/>
  <c r="BR83" i="1"/>
  <c r="BT82" i="1"/>
  <c r="BU82" i="1"/>
  <c r="AR81" i="1"/>
  <c r="BO83" i="1"/>
  <c r="BO84" i="1"/>
  <c r="BP84" i="1"/>
  <c r="BM83" i="1"/>
  <c r="AK83" i="1"/>
  <c r="BW82" i="1"/>
  <c r="BL84" i="1"/>
  <c r="AJ82" i="1"/>
  <c r="AP82" i="1"/>
  <c r="AI82" i="1"/>
  <c r="AO82" i="1"/>
  <c r="AH82" i="1"/>
  <c r="AD83" i="1"/>
  <c r="BI84" i="1"/>
  <c r="AG82" i="1"/>
  <c r="AS81" i="1"/>
  <c r="AE82" i="1"/>
  <c r="AN82" i="1"/>
  <c r="AT82" i="1"/>
  <c r="AM82" i="1"/>
  <c r="AF83" i="1"/>
  <c r="AL82" i="1"/>
  <c r="BN84" i="1"/>
  <c r="BS83" i="1"/>
  <c r="BJ83" i="1"/>
  <c r="BX82" i="1"/>
  <c r="BY83" i="1"/>
  <c r="BR84" i="1"/>
  <c r="BK85" i="1"/>
  <c r="BQ84" i="1"/>
  <c r="BU83" i="1"/>
  <c r="BT83" i="1"/>
  <c r="BN85" i="1"/>
  <c r="BW83" i="1"/>
  <c r="AR82" i="1"/>
  <c r="AK84" i="1"/>
  <c r="BT84" i="1"/>
  <c r="BP85" i="1"/>
  <c r="BM84" i="1"/>
  <c r="BW84" i="1"/>
  <c r="BL85" i="1"/>
  <c r="AJ83" i="1"/>
  <c r="AO83" i="1"/>
  <c r="AH83" i="1"/>
  <c r="AP83" i="1"/>
  <c r="AI83" i="1"/>
  <c r="BI85" i="1"/>
  <c r="AD84" i="1"/>
  <c r="AN83" i="1"/>
  <c r="AG83" i="1"/>
  <c r="AS82" i="1"/>
  <c r="AM83" i="1"/>
  <c r="AE83" i="1"/>
  <c r="AF84" i="1"/>
  <c r="AL83" i="1"/>
  <c r="AT83" i="1"/>
  <c r="AI84" i="1"/>
  <c r="BU84" i="1"/>
  <c r="BX83" i="1"/>
  <c r="BJ84" i="1"/>
  <c r="BY84" i="1"/>
  <c r="BN86" i="1"/>
  <c r="BS84" i="1"/>
  <c r="BL86" i="1"/>
  <c r="BQ85" i="1"/>
  <c r="BR85" i="1"/>
  <c r="AR83" i="1"/>
  <c r="BP86" i="1"/>
  <c r="BM85" i="1"/>
  <c r="BK86" i="1"/>
  <c r="BO85" i="1"/>
  <c r="AK85" i="1"/>
  <c r="AJ84" i="1"/>
  <c r="AO84" i="1"/>
  <c r="AH84" i="1"/>
  <c r="AD85" i="1"/>
  <c r="BI86" i="1"/>
  <c r="AG84" i="1"/>
  <c r="AS83" i="1"/>
  <c r="AT84" i="1"/>
  <c r="AN84" i="1"/>
  <c r="AP84" i="1"/>
  <c r="AL84" i="1"/>
  <c r="AF85" i="1"/>
  <c r="AE84" i="1"/>
  <c r="AM84" i="1"/>
  <c r="BX84" i="1"/>
  <c r="BJ85" i="1"/>
  <c r="BY85" i="1"/>
  <c r="BT85" i="1"/>
  <c r="BN87" i="1"/>
  <c r="BS85" i="1"/>
  <c r="BQ86" i="1"/>
  <c r="BL87" i="1"/>
  <c r="BK87" i="1"/>
  <c r="BU85" i="1"/>
  <c r="BR86" i="1"/>
  <c r="AR84" i="1"/>
  <c r="AK86" i="1"/>
  <c r="BP87" i="1"/>
  <c r="BM86" i="1"/>
  <c r="BO86" i="1"/>
  <c r="AJ85" i="1"/>
  <c r="BW85" i="1"/>
  <c r="AO85" i="1"/>
  <c r="AH85" i="1"/>
  <c r="AP85" i="1"/>
  <c r="AI85" i="1"/>
  <c r="BI87" i="1"/>
  <c r="AD86" i="1"/>
  <c r="AN85" i="1"/>
  <c r="AG85" i="1"/>
  <c r="AS84" i="1"/>
  <c r="AE85" i="1"/>
  <c r="AT85" i="1"/>
  <c r="AI86" i="1"/>
  <c r="AM85" i="1"/>
  <c r="AF86" i="1"/>
  <c r="AG86" i="1"/>
  <c r="AL85" i="1"/>
  <c r="BO87" i="1"/>
  <c r="BS86" i="1"/>
  <c r="BX85" i="1"/>
  <c r="BJ86" i="1"/>
  <c r="BY86" i="1"/>
  <c r="BR87" i="1"/>
  <c r="BU86" i="1"/>
  <c r="BT86" i="1"/>
  <c r="BQ87" i="1"/>
  <c r="BL88" i="1"/>
  <c r="BK88" i="1"/>
  <c r="BS87" i="1"/>
  <c r="AR85" i="1"/>
  <c r="AJ86" i="1"/>
  <c r="AK87" i="1"/>
  <c r="BW86" i="1"/>
  <c r="BT87" i="1"/>
  <c r="BP88" i="1"/>
  <c r="BM87" i="1"/>
  <c r="BW87" i="1"/>
  <c r="AO86" i="1"/>
  <c r="AH86" i="1"/>
  <c r="AD87" i="1"/>
  <c r="BI88" i="1"/>
  <c r="AS85" i="1"/>
  <c r="AN86" i="1"/>
  <c r="AP86" i="1"/>
  <c r="AE86" i="1"/>
  <c r="AT86" i="1"/>
  <c r="AM86" i="1"/>
  <c r="AF87" i="1"/>
  <c r="AL86" i="1"/>
  <c r="AG87" i="1"/>
  <c r="AI87" i="1"/>
  <c r="BO88" i="1"/>
  <c r="BY87" i="1"/>
  <c r="BX86" i="1"/>
  <c r="BJ87" i="1"/>
  <c r="BR88" i="1"/>
  <c r="BU87" i="1"/>
  <c r="BK89" i="1"/>
  <c r="BQ88" i="1"/>
  <c r="BL89" i="1"/>
  <c r="AN87" i="1"/>
  <c r="AJ87" i="1"/>
  <c r="AK88" i="1"/>
  <c r="BN88" i="1"/>
  <c r="BT88" i="1"/>
  <c r="BP89" i="1"/>
  <c r="BM88" i="1"/>
  <c r="AR86" i="1"/>
  <c r="AO87" i="1"/>
  <c r="AH87" i="1"/>
  <c r="BI89" i="1"/>
  <c r="AD88" i="1"/>
  <c r="AE87" i="1"/>
  <c r="AP87" i="1"/>
  <c r="AT87" i="1"/>
  <c r="AM87" i="1"/>
  <c r="AL87" i="1"/>
  <c r="AF88" i="1"/>
  <c r="AS86" i="1"/>
  <c r="BU88" i="1"/>
  <c r="BX87" i="1"/>
  <c r="BJ88" i="1"/>
  <c r="BY88" i="1"/>
  <c r="BR89" i="1"/>
  <c r="BL90" i="1"/>
  <c r="BK90" i="1"/>
  <c r="BQ89" i="1"/>
  <c r="BS88" i="1"/>
  <c r="AR87" i="1"/>
  <c r="AS87" i="1"/>
  <c r="AG88" i="1"/>
  <c r="AN88" i="1"/>
  <c r="BW88" i="1"/>
  <c r="BO89" i="1"/>
  <c r="AK89" i="1"/>
  <c r="BT89" i="1"/>
  <c r="BP90" i="1"/>
  <c r="BM89" i="1"/>
  <c r="BM90" i="1"/>
  <c r="BU89" i="1"/>
  <c r="BN89" i="1"/>
  <c r="AJ88" i="1"/>
  <c r="AO88" i="1"/>
  <c r="AH88" i="1"/>
  <c r="AP88" i="1"/>
  <c r="AI88" i="1"/>
  <c r="AD89" i="1"/>
  <c r="BI90" i="1"/>
  <c r="AM88" i="1"/>
  <c r="AT88" i="1"/>
  <c r="AE88" i="1"/>
  <c r="AI89" i="1"/>
  <c r="AF89" i="1"/>
  <c r="AL88" i="1"/>
  <c r="AG89" i="1"/>
  <c r="BN90" i="1"/>
  <c r="BX88" i="1"/>
  <c r="BJ89" i="1"/>
  <c r="BY89" i="1"/>
  <c r="BS89" i="1"/>
  <c r="BR90" i="1"/>
  <c r="BT90" i="1"/>
  <c r="BQ90" i="1"/>
  <c r="BK91" i="1"/>
  <c r="BL91" i="1"/>
  <c r="AS88" i="1"/>
  <c r="BW89" i="1"/>
  <c r="AR88" i="1"/>
  <c r="BP91" i="1"/>
  <c r="BO90" i="1"/>
  <c r="BW90" i="1"/>
  <c r="AK90" i="1"/>
  <c r="AJ89" i="1"/>
  <c r="AO89" i="1"/>
  <c r="AH89" i="1"/>
  <c r="BI91" i="1"/>
  <c r="AD90" i="1"/>
  <c r="AN89" i="1"/>
  <c r="AP89" i="1"/>
  <c r="AT89" i="1"/>
  <c r="AI90" i="1"/>
  <c r="AE89" i="1"/>
  <c r="AM89" i="1"/>
  <c r="AF90" i="1"/>
  <c r="AL89" i="1"/>
  <c r="BX89" i="1"/>
  <c r="BS90" i="1"/>
  <c r="BY90" i="1"/>
  <c r="BJ90" i="1"/>
  <c r="BL92" i="1"/>
  <c r="BK92" i="1"/>
  <c r="BQ91" i="1"/>
  <c r="BR91" i="1"/>
  <c r="BU90" i="1"/>
  <c r="AR89" i="1"/>
  <c r="AS89" i="1"/>
  <c r="AE90" i="1"/>
  <c r="BP92" i="1"/>
  <c r="BM91" i="1"/>
  <c r="BU91" i="1"/>
  <c r="BN91" i="1"/>
  <c r="AH90" i="1"/>
  <c r="AK91" i="1"/>
  <c r="BO91" i="1"/>
  <c r="AJ90" i="1"/>
  <c r="AD91" i="1"/>
  <c r="BI92" i="1"/>
  <c r="AG90" i="1"/>
  <c r="AN90" i="1"/>
  <c r="AP90" i="1"/>
  <c r="AT90" i="1"/>
  <c r="AI91" i="1"/>
  <c r="AO90" i="1"/>
  <c r="AM90" i="1"/>
  <c r="AL90" i="1"/>
  <c r="BX90" i="1"/>
  <c r="BR92" i="1"/>
  <c r="BS91" i="1"/>
  <c r="BY91" i="1"/>
  <c r="BJ91" i="1"/>
  <c r="BK93" i="1"/>
  <c r="BL93" i="1"/>
  <c r="BQ92" i="1"/>
  <c r="BT91" i="1"/>
  <c r="BW91" i="1"/>
  <c r="AR90" i="1"/>
  <c r="AF91" i="1"/>
  <c r="AT91" i="1"/>
  <c r="AS90" i="1"/>
  <c r="BO92" i="1"/>
  <c r="BM93" i="1"/>
  <c r="BP93" i="1"/>
  <c r="BM92" i="1"/>
  <c r="AK92" i="1"/>
  <c r="BU92" i="1"/>
  <c r="BN92" i="1"/>
  <c r="AJ91" i="1"/>
  <c r="AO91" i="1"/>
  <c r="AH91" i="1"/>
  <c r="BI93" i="1"/>
  <c r="AD92" i="1"/>
  <c r="AG91" i="1"/>
  <c r="AN91" i="1"/>
  <c r="AP91" i="1"/>
  <c r="AM91" i="1"/>
  <c r="AL91" i="1"/>
  <c r="AF92" i="1"/>
  <c r="AE91" i="1"/>
  <c r="AI92" i="1"/>
  <c r="BX91" i="1"/>
  <c r="BJ92" i="1"/>
  <c r="BY92" i="1"/>
  <c r="BS92" i="1"/>
  <c r="BT93" i="1"/>
  <c r="BT92" i="1"/>
  <c r="BR93" i="1"/>
  <c r="BK94" i="1"/>
  <c r="BQ93" i="1"/>
  <c r="BL94" i="1"/>
  <c r="AT92" i="1"/>
  <c r="AS91" i="1"/>
  <c r="AN92" i="1"/>
  <c r="BW92" i="1"/>
  <c r="AR91" i="1"/>
  <c r="AJ92" i="1"/>
  <c r="BT94" i="1"/>
  <c r="BM94" i="1"/>
  <c r="BO93" i="1"/>
  <c r="BU93" i="1"/>
  <c r="BN93" i="1"/>
  <c r="AK93" i="1"/>
  <c r="BP94" i="1"/>
  <c r="AO92" i="1"/>
  <c r="AH92" i="1"/>
  <c r="AD93" i="1"/>
  <c r="BI94" i="1"/>
  <c r="AG92" i="1"/>
  <c r="AE92" i="1"/>
  <c r="AM92" i="1"/>
  <c r="AP92" i="1"/>
  <c r="AL92" i="1"/>
  <c r="BN94" i="1"/>
  <c r="BS93" i="1"/>
  <c r="BY93" i="1"/>
  <c r="BJ93" i="1"/>
  <c r="BX92" i="1"/>
  <c r="BR94" i="1"/>
  <c r="BQ94" i="1"/>
  <c r="BK95" i="1"/>
  <c r="BL95" i="1"/>
  <c r="BX93" i="1"/>
  <c r="BW93" i="1"/>
  <c r="BS94" i="1"/>
  <c r="AT93" i="1"/>
  <c r="AR92" i="1"/>
  <c r="AF93" i="1"/>
  <c r="AS92" i="1"/>
  <c r="AK94" i="1"/>
  <c r="BP95" i="1"/>
  <c r="BO94" i="1"/>
  <c r="BW94" i="1"/>
  <c r="AO93" i="1"/>
  <c r="AH93" i="1"/>
  <c r="AJ93" i="1"/>
  <c r="AP93" i="1"/>
  <c r="AI93" i="1"/>
  <c r="BI95" i="1"/>
  <c r="AD94" i="1"/>
  <c r="AG93" i="1"/>
  <c r="AN93" i="1"/>
  <c r="AE93" i="1"/>
  <c r="AM93" i="1"/>
  <c r="AF94" i="1"/>
  <c r="AL93" i="1"/>
  <c r="AI94" i="1"/>
  <c r="BO95" i="1"/>
  <c r="BN95" i="1"/>
  <c r="BU94" i="1"/>
  <c r="BY94" i="1"/>
  <c r="BJ94" i="1"/>
  <c r="BR95" i="1"/>
  <c r="BK96" i="1"/>
  <c r="BL96" i="1"/>
  <c r="BQ95" i="1"/>
  <c r="AN94" i="1"/>
  <c r="AS93" i="1"/>
  <c r="AR93" i="1"/>
  <c r="BX94" i="1"/>
  <c r="AJ94" i="1"/>
  <c r="BP96" i="1"/>
  <c r="BM95" i="1"/>
  <c r="BW95" i="1"/>
  <c r="AK95" i="1"/>
  <c r="AO94" i="1"/>
  <c r="AH94" i="1"/>
  <c r="AD95" i="1"/>
  <c r="BI96" i="1"/>
  <c r="AG94" i="1"/>
  <c r="AE94" i="1"/>
  <c r="AT94" i="1"/>
  <c r="AP94" i="1"/>
  <c r="AM94" i="1"/>
  <c r="AF95" i="1"/>
  <c r="AL94" i="1"/>
  <c r="BU95" i="1"/>
  <c r="BJ95" i="1"/>
  <c r="BY95" i="1"/>
  <c r="BR96" i="1"/>
  <c r="BS95" i="1"/>
  <c r="BT95" i="1"/>
  <c r="BK97" i="1"/>
  <c r="BL97" i="1"/>
  <c r="BQ96" i="1"/>
  <c r="AN95" i="1"/>
  <c r="AR94" i="1"/>
  <c r="AS94" i="1"/>
  <c r="BU96" i="1"/>
  <c r="BN96" i="1"/>
  <c r="BM97" i="1"/>
  <c r="AK96" i="1"/>
  <c r="BT96" i="1"/>
  <c r="BP97" i="1"/>
  <c r="BM96" i="1"/>
  <c r="BO96" i="1"/>
  <c r="AJ95" i="1"/>
  <c r="AP95" i="1"/>
  <c r="AI95" i="1"/>
  <c r="AO95" i="1"/>
  <c r="AH95" i="1"/>
  <c r="BI97" i="1"/>
  <c r="AD96" i="1"/>
  <c r="AG95" i="1"/>
  <c r="AT95" i="1"/>
  <c r="AE95" i="1"/>
  <c r="AI96" i="1"/>
  <c r="AF96" i="1"/>
  <c r="AL95" i="1"/>
  <c r="AM95" i="1"/>
  <c r="BN97" i="1"/>
  <c r="BS96" i="1"/>
  <c r="BX95" i="1"/>
  <c r="BJ96" i="1"/>
  <c r="BY96" i="1"/>
  <c r="BT97" i="1"/>
  <c r="BL98" i="1"/>
  <c r="BK98" i="1"/>
  <c r="BQ97" i="1"/>
  <c r="BR97" i="1"/>
  <c r="AN96" i="1"/>
  <c r="AS95" i="1"/>
  <c r="AR95" i="1"/>
  <c r="BW96" i="1"/>
  <c r="BP98" i="1"/>
  <c r="BO97" i="1"/>
  <c r="BW97" i="1"/>
  <c r="AK97" i="1"/>
  <c r="AJ96" i="1"/>
  <c r="AO96" i="1"/>
  <c r="AH96" i="1"/>
  <c r="AD97" i="1"/>
  <c r="BI98" i="1"/>
  <c r="AG96" i="1"/>
  <c r="AE96" i="1"/>
  <c r="AT96" i="1"/>
  <c r="AP96" i="1"/>
  <c r="AM96" i="1"/>
  <c r="AF97" i="1"/>
  <c r="AL96" i="1"/>
  <c r="BU97" i="1"/>
  <c r="BN98" i="1"/>
  <c r="BX96" i="1"/>
  <c r="BS97" i="1"/>
  <c r="BJ97" i="1"/>
  <c r="BY97" i="1"/>
  <c r="BK99" i="1"/>
  <c r="BQ98" i="1"/>
  <c r="BL99" i="1"/>
  <c r="BR98" i="1"/>
  <c r="AR96" i="1"/>
  <c r="AS96" i="1"/>
  <c r="AT97" i="1"/>
  <c r="AK98" i="1"/>
  <c r="BO98" i="1"/>
  <c r="BP99" i="1"/>
  <c r="BM98" i="1"/>
  <c r="BM99" i="1"/>
  <c r="AJ97" i="1"/>
  <c r="AP97" i="1"/>
  <c r="AI97" i="1"/>
  <c r="AO97" i="1"/>
  <c r="AH97" i="1"/>
  <c r="BI99" i="1"/>
  <c r="AD98" i="1"/>
  <c r="AG97" i="1"/>
  <c r="AN97" i="1"/>
  <c r="AM97" i="1"/>
  <c r="AE97" i="1"/>
  <c r="AI98" i="1"/>
  <c r="AF98" i="1"/>
  <c r="AL97" i="1"/>
  <c r="BU98" i="1"/>
  <c r="BN99" i="1"/>
  <c r="BX97" i="1"/>
  <c r="BT98" i="1"/>
  <c r="BJ98" i="1"/>
  <c r="BY98" i="1"/>
  <c r="BR99" i="1"/>
  <c r="BS98" i="1"/>
  <c r="BT99" i="1"/>
  <c r="BQ99" i="1"/>
  <c r="BK100" i="1"/>
  <c r="BL100" i="1"/>
  <c r="AR97" i="1"/>
  <c r="AE98" i="1"/>
  <c r="AS97" i="1"/>
  <c r="AN98" i="1"/>
  <c r="BW98" i="1"/>
  <c r="BP100" i="1"/>
  <c r="BM100" i="1"/>
  <c r="AK99" i="1"/>
  <c r="BO99" i="1"/>
  <c r="BW99" i="1"/>
  <c r="AJ98" i="1"/>
  <c r="AH98" i="1"/>
  <c r="AD99" i="1"/>
  <c r="BI100" i="1"/>
  <c r="AG98" i="1"/>
  <c r="AO98" i="1"/>
  <c r="AI99" i="1"/>
  <c r="AT98" i="1"/>
  <c r="AP98" i="1"/>
  <c r="AM98" i="1"/>
  <c r="AF99" i="1"/>
  <c r="AL98" i="1"/>
  <c r="BU99" i="1"/>
  <c r="BN100" i="1"/>
  <c r="BX98" i="1"/>
  <c r="BJ99" i="1"/>
  <c r="BY99" i="1"/>
  <c r="BT100" i="1"/>
  <c r="BS99" i="1"/>
  <c r="BK101" i="1"/>
  <c r="BQ100" i="1"/>
  <c r="BL101" i="1"/>
  <c r="BR100" i="1"/>
  <c r="AT99" i="1"/>
  <c r="AR98" i="1"/>
  <c r="AS98" i="1"/>
  <c r="AN99" i="1"/>
  <c r="BN101" i="1"/>
  <c r="BP101" i="1"/>
  <c r="AH99" i="1"/>
  <c r="AK100" i="1"/>
  <c r="BO100" i="1"/>
  <c r="BW100" i="1"/>
  <c r="AJ99" i="1"/>
  <c r="BI101" i="1"/>
  <c r="AD100" i="1"/>
  <c r="AG99" i="1"/>
  <c r="AP99" i="1"/>
  <c r="AM99" i="1"/>
  <c r="AO99" i="1"/>
  <c r="AF100" i="1"/>
  <c r="AL99" i="1"/>
  <c r="AE99" i="1"/>
  <c r="BU100" i="1"/>
  <c r="BX99" i="1"/>
  <c r="BY100" i="1"/>
  <c r="BJ100" i="1"/>
  <c r="BS100" i="1"/>
  <c r="BR101" i="1"/>
  <c r="BL102" i="1"/>
  <c r="BK102" i="1"/>
  <c r="BQ101" i="1"/>
  <c r="AR99" i="1"/>
  <c r="AS99" i="1"/>
  <c r="BU101" i="1"/>
  <c r="AK101" i="1"/>
  <c r="BP102" i="1"/>
  <c r="BM101" i="1"/>
  <c r="BO101" i="1"/>
  <c r="BT102" i="1"/>
  <c r="BM102" i="1"/>
  <c r="AJ100" i="1"/>
  <c r="AP100" i="1"/>
  <c r="AI100" i="1"/>
  <c r="AO100" i="1"/>
  <c r="AH100" i="1"/>
  <c r="AD101" i="1"/>
  <c r="BI102" i="1"/>
  <c r="AG100" i="1"/>
  <c r="AN100" i="1"/>
  <c r="AE100" i="1"/>
  <c r="AT100" i="1"/>
  <c r="AL100" i="1"/>
  <c r="AF101" i="1"/>
  <c r="AI101" i="1"/>
  <c r="AM100" i="1"/>
  <c r="BX100" i="1"/>
  <c r="BY101" i="1"/>
  <c r="BS101" i="1"/>
  <c r="BJ101" i="1"/>
  <c r="BT101" i="1"/>
  <c r="BK103" i="1"/>
  <c r="BQ102" i="1"/>
  <c r="BR102" i="1"/>
  <c r="BN103" i="1"/>
  <c r="AR100" i="1"/>
  <c r="AS100" i="1"/>
  <c r="BW101" i="1"/>
  <c r="AE101" i="1"/>
  <c r="BO102" i="1"/>
  <c r="BP103" i="1"/>
  <c r="BL103" i="1"/>
  <c r="AK102" i="1"/>
  <c r="BN102" i="1"/>
  <c r="BW102" i="1"/>
  <c r="AO101" i="1"/>
  <c r="AH101" i="1"/>
  <c r="AJ101" i="1"/>
  <c r="BI103" i="1"/>
  <c r="AD102" i="1"/>
  <c r="AG101" i="1"/>
  <c r="AN101" i="1"/>
  <c r="AP101" i="1"/>
  <c r="AI102" i="1"/>
  <c r="AT101" i="1"/>
  <c r="AM101" i="1"/>
  <c r="AF102" i="1"/>
  <c r="AL101" i="1"/>
  <c r="BU102" i="1"/>
  <c r="BJ102" i="1"/>
  <c r="BX101" i="1"/>
  <c r="BS102" i="1"/>
  <c r="BY102" i="1"/>
  <c r="BR103" i="1"/>
  <c r="AY104" i="1"/>
  <c r="BK104" i="1"/>
  <c r="BQ103" i="1"/>
  <c r="AZ104" i="1"/>
  <c r="BU103" i="1"/>
  <c r="AS101" i="1"/>
  <c r="AR101" i="1"/>
  <c r="AN102" i="1"/>
  <c r="BO103" i="1"/>
  <c r="AK103" i="1"/>
  <c r="BB105" i="1"/>
  <c r="BL104" i="1"/>
  <c r="BP104" i="1"/>
  <c r="BM103" i="1"/>
  <c r="AJ102" i="1"/>
  <c r="AO102" i="1"/>
  <c r="AH102" i="1"/>
  <c r="AD103" i="1"/>
  <c r="BI104" i="1"/>
  <c r="AG102" i="1"/>
  <c r="AT102" i="1"/>
  <c r="AP102" i="1"/>
  <c r="AI103" i="1"/>
  <c r="AE102" i="1"/>
  <c r="AF103" i="1"/>
  <c r="AL102" i="1"/>
  <c r="AM102" i="1"/>
  <c r="BN104" i="1"/>
  <c r="BX102" i="1"/>
  <c r="BT103" i="1"/>
  <c r="BY103" i="1"/>
  <c r="BJ103" i="1"/>
  <c r="BS103" i="1"/>
  <c r="BR104" i="1"/>
  <c r="BC104" i="1"/>
  <c r="AX105" i="1"/>
  <c r="AZ105" i="1"/>
  <c r="AY105" i="1"/>
  <c r="BK105" i="1"/>
  <c r="BQ104" i="1"/>
  <c r="BO104" i="1"/>
  <c r="BW103" i="1"/>
  <c r="AR102" i="1"/>
  <c r="AS102" i="1"/>
  <c r="BD105" i="1"/>
  <c r="BN105" i="1"/>
  <c r="AJ103" i="1"/>
  <c r="AK104" i="1"/>
  <c r="BB106" i="1"/>
  <c r="BB3" i="1"/>
  <c r="BL105" i="1"/>
  <c r="BP105" i="1"/>
  <c r="BM104" i="1"/>
  <c r="BW104" i="1"/>
  <c r="AO103" i="1"/>
  <c r="AH103" i="1"/>
  <c r="BI105" i="1"/>
  <c r="AD104" i="1"/>
  <c r="X104" i="1"/>
  <c r="Y105" i="1"/>
  <c r="AG103" i="1"/>
  <c r="AI104" i="1"/>
  <c r="AN103" i="1"/>
  <c r="AE103" i="1"/>
  <c r="AP103" i="1"/>
  <c r="AT103" i="1"/>
  <c r="AM103" i="1"/>
  <c r="AL103" i="1"/>
  <c r="T104" i="1"/>
  <c r="AF104" i="1"/>
  <c r="U104" i="1"/>
  <c r="BU104" i="1"/>
  <c r="BT104" i="1"/>
  <c r="BX103" i="1"/>
  <c r="BY104" i="1"/>
  <c r="BJ104" i="1"/>
  <c r="BS104" i="1"/>
  <c r="BA105" i="1"/>
  <c r="BE106" i="1"/>
  <c r="BC105" i="1"/>
  <c r="AX106" i="1"/>
  <c r="AX3" i="1"/>
  <c r="AZ106" i="1"/>
  <c r="BQ105" i="1"/>
  <c r="AY106" i="1"/>
  <c r="BR105" i="1"/>
  <c r="BE3" i="1"/>
  <c r="AR103" i="1"/>
  <c r="BK106" i="1"/>
  <c r="AY3" i="1"/>
  <c r="AS103" i="1"/>
  <c r="AN104" i="1"/>
  <c r="BL106" i="1"/>
  <c r="BL3" i="1"/>
  <c r="AZ3" i="1"/>
  <c r="BD106" i="1"/>
  <c r="BD3" i="1"/>
  <c r="BU105" i="1"/>
  <c r="BH3" i="1"/>
  <c r="AJ104" i="1"/>
  <c r="BF3" i="1"/>
  <c r="BP106" i="1"/>
  <c r="BP3" i="1"/>
  <c r="BM105" i="1"/>
  <c r="BO105" i="1"/>
  <c r="AK105" i="1"/>
  <c r="BT106" i="1"/>
  <c r="BM106" i="1"/>
  <c r="AO104" i="1"/>
  <c r="AH104" i="1"/>
  <c r="AD105" i="1"/>
  <c r="BI106" i="1"/>
  <c r="W105" i="1"/>
  <c r="AG104" i="1"/>
  <c r="X105" i="1"/>
  <c r="Y106" i="1"/>
  <c r="Y3" i="1"/>
  <c r="AP104" i="1"/>
  <c r="V105" i="1"/>
  <c r="AM104" i="1"/>
  <c r="T105" i="1"/>
  <c r="AF105" i="1"/>
  <c r="S105" i="1"/>
  <c r="U105" i="1"/>
  <c r="AL104" i="1"/>
  <c r="AE104" i="1"/>
  <c r="AT104" i="1"/>
  <c r="AI105" i="1"/>
  <c r="BG106" i="1"/>
  <c r="BG3" i="1"/>
  <c r="CR6" i="1"/>
  <c r="BX104" i="1"/>
  <c r="BS105" i="1"/>
  <c r="BJ105" i="1"/>
  <c r="BY105" i="1"/>
  <c r="BT105" i="1"/>
  <c r="BQ106" i="1"/>
  <c r="BQ3" i="1"/>
  <c r="BA106" i="1"/>
  <c r="BC106" i="1"/>
  <c r="BC3" i="1"/>
  <c r="BR106" i="1"/>
  <c r="BR3" i="1"/>
  <c r="BM3" i="1"/>
  <c r="Z2" i="1"/>
  <c r="CP6" i="1"/>
  <c r="AB2" i="1"/>
  <c r="AS104" i="1"/>
  <c r="AR104" i="1"/>
  <c r="BW105" i="1"/>
  <c r="AN105" i="1"/>
  <c r="BT3" i="1"/>
  <c r="BK3" i="1"/>
  <c r="BS106" i="1"/>
  <c r="BS3" i="1"/>
  <c r="BA3" i="1"/>
  <c r="BO106" i="1"/>
  <c r="BO3" i="1"/>
  <c r="BU106" i="1"/>
  <c r="BU3" i="1"/>
  <c r="BN106" i="1"/>
  <c r="BN3" i="1"/>
  <c r="AH105" i="1"/>
  <c r="AK106" i="1"/>
  <c r="AK3" i="1"/>
  <c r="AJ105" i="1"/>
  <c r="AD106" i="1"/>
  <c r="W106" i="1"/>
  <c r="W3" i="1"/>
  <c r="AG105" i="1"/>
  <c r="Z106" i="1"/>
  <c r="Z3" i="1"/>
  <c r="X106" i="1"/>
  <c r="X3" i="1"/>
  <c r="AC3" i="1"/>
  <c r="V106" i="1"/>
  <c r="AT105" i="1"/>
  <c r="AE105" i="1"/>
  <c r="AB106" i="1"/>
  <c r="AB3" i="1"/>
  <c r="CQ6" i="1"/>
  <c r="AP105" i="1"/>
  <c r="S106" i="1"/>
  <c r="T106" i="1"/>
  <c r="U106" i="1"/>
  <c r="AL105" i="1"/>
  <c r="AA3" i="1"/>
  <c r="AO105" i="1"/>
  <c r="AM105" i="1"/>
  <c r="BX105" i="1"/>
  <c r="BY106" i="1"/>
  <c r="BJ106" i="1"/>
  <c r="BV3" i="1"/>
  <c r="AA2" i="1"/>
  <c r="CO6" i="1"/>
  <c r="AC2" i="1"/>
  <c r="AR105" i="1"/>
  <c r="BY3" i="1"/>
  <c r="H6" i="1"/>
  <c r="AG106" i="1"/>
  <c r="AG3" i="1"/>
  <c r="U3" i="1"/>
  <c r="AL106" i="1"/>
  <c r="S3" i="1"/>
  <c r="AF106" i="1"/>
  <c r="T3" i="1"/>
  <c r="BW106" i="1"/>
  <c r="BW3" i="1"/>
  <c r="F6" i="1"/>
  <c r="AS105" i="1"/>
  <c r="AN106" i="1"/>
  <c r="AN3" i="1"/>
  <c r="V3" i="1"/>
  <c r="AJ106" i="1"/>
  <c r="AJ3" i="1"/>
  <c r="AO106" i="1"/>
  <c r="AO3" i="1"/>
  <c r="AH106" i="1"/>
  <c r="AH3" i="1"/>
  <c r="AP106" i="1"/>
  <c r="AP3" i="1"/>
  <c r="AI106" i="1"/>
  <c r="AI3" i="1"/>
  <c r="AQ3" i="1"/>
  <c r="AE106" i="1"/>
  <c r="AT106" i="1"/>
  <c r="AM106" i="1"/>
  <c r="AM3" i="1"/>
  <c r="BX106" i="1"/>
  <c r="AT3" i="1"/>
  <c r="H5" i="1"/>
  <c r="H7" i="1"/>
  <c r="BX3" i="1"/>
  <c r="AR106" i="1"/>
  <c r="AR3" i="1"/>
  <c r="F5" i="1"/>
  <c r="AF3" i="1"/>
  <c r="S5" i="2"/>
  <c r="I8" i="2"/>
  <c r="E15" i="4"/>
  <c r="BG15" i="4"/>
  <c r="AS106" i="1"/>
  <c r="AS3" i="1"/>
  <c r="AL3" i="1"/>
  <c r="G6" i="1"/>
  <c r="BH15" i="4"/>
  <c r="CT6" i="1"/>
  <c r="G5" i="1"/>
  <c r="R5" i="2"/>
  <c r="J6" i="2"/>
  <c r="D15" i="4"/>
  <c r="CS6" i="1"/>
  <c r="Q5" i="2"/>
  <c r="I6" i="2"/>
  <c r="F7" i="1"/>
  <c r="CE60" i="1"/>
  <c r="BE15" i="4"/>
  <c r="BI15" i="4"/>
  <c r="T5" i="2"/>
  <c r="J8" i="2"/>
  <c r="F15" i="4"/>
  <c r="H15" i="4"/>
  <c r="BF15" i="4"/>
  <c r="BJ15" i="4"/>
  <c r="G7" i="1"/>
  <c r="CU6" i="1"/>
  <c r="C15" i="4"/>
  <c r="G15" i="4"/>
  <c r="I11" i="2"/>
  <c r="N3" i="3"/>
  <c r="N9" i="3"/>
  <c r="J11" i="2"/>
  <c r="I13" i="2"/>
  <c r="I6" i="1"/>
  <c r="CE62" i="1"/>
  <c r="CF62" i="1"/>
  <c r="CE61" i="1"/>
  <c r="L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Guzauskas</author>
    <author>greguz</author>
  </authors>
  <commentList>
    <comment ref="L4" authorId="0" shapeId="0" xr:uid="{79A70DB1-35AC-403B-B744-297ED165A948}">
      <text>
        <r>
          <rPr>
            <b/>
            <sz val="9"/>
            <color indexed="81"/>
            <rFont val="Tahoma"/>
            <family val="2"/>
          </rPr>
          <t>This is not a parameter; change this on the "VOI-Parameters" sheet</t>
        </r>
      </text>
    </comment>
    <comment ref="Y4" authorId="0" shapeId="0" xr:uid="{E86B7819-AD60-4FD1-BACB-F74806086EB7}">
      <text>
        <r>
          <rPr>
            <sz val="9"/>
            <color indexed="81"/>
            <rFont val="Tahoma"/>
            <family val="2"/>
          </rPr>
          <t>Assuming ovarian cancer post-oophorectomy is the only possibility here.</t>
        </r>
      </text>
    </comment>
    <comment ref="AB4" authorId="0" shapeId="0" xr:uid="{D5B9534C-98B3-408A-8F19-8AA7CE528EFA}">
      <text>
        <r>
          <rPr>
            <sz val="9"/>
            <color indexed="81"/>
            <rFont val="Tahoma"/>
            <family val="2"/>
          </rPr>
          <t>Assuming ovarian cancer post-oophorectomy is the only possibility from the post-both state.</t>
        </r>
      </text>
    </comment>
    <comment ref="L5" authorId="0" shapeId="0" xr:uid="{9938C035-0CB2-467B-9997-A7D1197DF6BD}">
      <text>
        <r>
          <rPr>
            <b/>
            <sz val="9"/>
            <color indexed="81"/>
            <rFont val="Tahoma"/>
            <family val="2"/>
          </rPr>
          <t>This is not a parameter; change this on the "VOI-Parameters" sheet</t>
        </r>
      </text>
    </comment>
    <comment ref="CY5" authorId="1" shapeId="0" xr:uid="{49BC5C06-3772-4881-BCB4-3FEBBCA4B09B}">
      <text>
        <r>
          <rPr>
            <sz val="9"/>
            <color indexed="81"/>
            <rFont val="Tahoma"/>
            <family val="2"/>
          </rPr>
          <t>ftp://ftp.cdc.gov/pub/Health_Statistics/NCHS/Publications/NVSR/66_04/Table03.xlsx</t>
        </r>
      </text>
    </comment>
    <comment ref="DC5" authorId="0" shapeId="0" xr:uid="{6F3695F7-95B4-461D-A9F6-E09DFB36750C}">
      <text>
        <r>
          <rPr>
            <sz val="9"/>
            <color indexed="81"/>
            <rFont val="Tahoma"/>
            <family val="2"/>
          </rPr>
          <t>Kuchenbaecker KB, Hopper JL, Barnes DR, Phillips KA, Mooij TM, Roos-Blom MJ,
Jervis S, van Leeuwen FE, Milne RL, Andrieu N, Goldgar DE, Terry MB, Rookus MA,
Easton DF, Antoniou AC; BRCA1 and BRCA2 Cohort Consortium, McGuffog L, Evans DG, 
Barrowdale D, Frost D, Adlard J, Ong KR, Izatt L, Tischkowitz M, Eeles R,
Davidson R, Hodgson S, Ellis S, Nogues C, Lasset C, Stoppa-Lyonnet D, Fricker JP,
Faivre L, Berthet P, Hooning MJ, van der Kolk LE, Kets CM, Adank MA, John EM,
Chung WK, Andrulis IL, Southey M, Daly MB, Buys SS, Osorio A, Engel C, Kast K,
Schmutzler RK, Caldes T, Jakubowska A, Simard J, Friedlander ML, McLachlan SA,
Machackova E, Foretova L, Tan YY, Singer CF, Olah E, Gerdes AM, Arver B, Olsson
H. Risks of Breast, Ovarian, and Contralateral Breast Cancer for BRCA1 and BRCA2 
Mutation Carriers. JAMA. 2017 Jun 20;317(23):2402-2416. doi:
10.1001/jama.2017.7112. PubMed PMID: 28632866.</t>
        </r>
      </text>
    </comment>
    <comment ref="DO5" authorId="0" shapeId="0" xr:uid="{9A076E48-9552-4A61-B1E1-89EAA54CC32A}">
      <text>
        <r>
          <rPr>
            <sz val="9"/>
            <color indexed="81"/>
            <rFont val="Tahoma"/>
            <family val="2"/>
          </rPr>
          <t>Chai X, Friebel TM, Singer CF, Evans DG, Lynch HT, Isaacs C, Garber JE,
Neuhausen SL, Matloff E, Eeles R, Tung N, Weitzel JN, Couch FJ, Hulick PJ, Ganz
PA, Daly MB, Olopade OI, Tomlinson G, Blum JL, Domchek SM, Chen J, Rebbeck TR.
Use of risk-reducing surgeries in a prospective cohort of 1,499 BRCA1 and BRCA2
mutation carriers. Breast Cancer Res Treat. 2014 Nov;148(2):397-406. doi:
10.1007/s10549-014-3134-0. Epub 2014 Oct 14. PubMed PMID: 25311111; PubMed
Central PMCID: PMC4224991.</t>
        </r>
      </text>
    </comment>
    <comment ref="EA5" authorId="0" shapeId="0" xr:uid="{6CF57582-9155-493F-8326-9041C32092C2}">
      <text>
        <r>
          <rPr>
            <sz val="9"/>
            <color indexed="81"/>
            <rFont val="Tahoma"/>
            <family val="2"/>
          </rPr>
          <t>Domchek SM, Friebel TM, Singer CF, Evans DG, Lynch HT, Isaacs C, Garber JE,
Neuhausen SL, Matloff E, Eeles R, Pichert G, Van t'veer L, Tung N, Weitzel JN,
Couch FJ, Rubinstein WS, Ganz PA, Daly MB, Olopade OI, Tomlinson G, Schildkraut
J, Blum JL, Rebbeck TR. Association of risk-reducing surgery in BRCA1 or BRCA2
mutation carriers with cancer risk and mortality. JAMA. 2010 Sep 1;304(9):967-75.</t>
        </r>
      </text>
    </comment>
    <comment ref="EO5" authorId="0" shapeId="0" xr:uid="{FC608466-1292-4809-A0A4-034B098CDE5A}">
      <text>
        <r>
          <rPr>
            <sz val="9"/>
            <color indexed="81"/>
            <rFont val="Tahoma"/>
            <family val="2"/>
          </rPr>
          <t>Kuchenbaecker KB, Hopper JL, Barnes DR, Phillips KA, Mooij TM, Roos-Blom MJ,
Jervis S, van Leeuwen FE, Milne RL, Andrieu N, Goldgar DE, Terry MB, Rookus MA,
Easton DF, Antoniou AC; BRCA1 and BRCA2 Cohort Consortium, McGuffog L, Evans DG, 
Barrowdale D, Frost D, Adlard J, Ong KR, Izatt L, Tischkowitz M, Eeles R,
Davidson R, Hodgson S, Ellis S, Nogues C, Lasset C, Stoppa-Lyonnet D, Fricker JP,
Faivre L, Berthet P, Hooning MJ, van der Kolk LE, Kets CM, Adank MA, John EM,
Chung WK, Andrulis IL, Southey M, Daly MB, Buys SS, Osorio A, Engel C, Kast K,
Schmutzler RK, Caldes T, Jakubowska A, Simard J, Friedlander ML, McLachlan SA,
Machackova E, Foretova L, Tan YY, Singer CF, Olah E, Gerdes AM, Arver B, Olsson
H. Risks of Breast, Ovarian, and Contralateral Breast Cancer for BRCA1 and BRCA2 
Mutation Carriers. JAMA. 2017 Jun 20;317(23):2402-2416. doi:
10.1001/jama.2017.7112. PubMed PMID: 28632866.</t>
        </r>
      </text>
    </comment>
    <comment ref="EY5" authorId="0" shapeId="0" xr:uid="{FFDDCA78-158F-4474-B32D-7E180A8ED449}">
      <text>
        <r>
          <rPr>
            <sz val="9"/>
            <color indexed="81"/>
            <rFont val="Tahoma"/>
            <family val="2"/>
          </rPr>
          <t>Chai X, Friebel TM, Singer CF, Evans DG, Lynch HT, Isaacs C, Garber JE,
Neuhausen SL, Matloff E, Eeles R, Tung N, Weitzel JN, Couch FJ, Hulick PJ, Ganz
PA, Daly MB, Olopade OI, Tomlinson G, Blum JL, Domchek SM, Chen J, Rebbeck TR.
Use of risk-reducing surgeries in a prospective cohort of 1,499 BRCA1 and BRCA2
mutation carriers. Breast Cancer Res Treat. 2014 Nov;148(2):397-406. doi:
10.1007/s10549-014-3134-0. Epub 2014 Oct 14. PubMed PMID: 25311111; PubMed
Central PMCID: PMC4224991.</t>
        </r>
      </text>
    </comment>
    <comment ref="L6" authorId="0" shapeId="0" xr:uid="{2633063F-079D-4216-B898-75D3B34AA1EB}">
      <text>
        <r>
          <rPr>
            <b/>
            <sz val="9"/>
            <color indexed="81"/>
            <rFont val="Tahoma"/>
            <family val="2"/>
          </rPr>
          <t>This is not a parameter; change this on the "VOI-Parameters" sheet</t>
        </r>
      </text>
    </comment>
    <comment ref="EY6" authorId="0" shapeId="0" xr:uid="{B366D39B-3F6D-439B-B8B9-72398694E472}">
      <text>
        <r>
          <rPr>
            <sz val="9"/>
            <color indexed="81"/>
            <rFont val="Tahoma"/>
            <family val="2"/>
          </rPr>
          <t>Chai X, Friebel TM, Singer CF, Evans DG, Lynch HT, Isaacs C, Garber JE,
Neuhausen SL, Matloff E, Eeles R, Tung N, Weitzel JN, Couch FJ, Hulick PJ, Ganz
PA, Daly MB, Olopade OI, Tomlinson G, Blum JL, Domchek SM, Chen J, Rebbeck TR.
Use of risk-reducing surgeries in a prospective cohort of 1,499 BRCA1 and BRCA2
mutation carriers. Breast Cancer Res Treat. 2014 Nov;148(2):397-406. doi:
10.1007/s10549-014-3134-0. Epub 2014 Oct 14. PubMed PMID: 25311111; PubMed
Central PMCID: PMC4224991.</t>
        </r>
      </text>
    </comment>
    <comment ref="FI21" authorId="0" shapeId="0" xr:uid="{FF7BCED0-64F1-4436-B3E2-A03B4B191AE6}">
      <text>
        <r>
          <rPr>
            <sz val="9"/>
            <color indexed="81"/>
            <rFont val="Tahoma"/>
            <family val="2"/>
          </rPr>
          <t>https://www.cdc.gov/nchs/data/nvsr/nvsr66/nvsr66_04.pdf
Table 20. Survivorship, by age, race, and sex: Death-registration states, 1900–1902 to 1919–1921, and United States, 1929–1931 to 2014.
Females</t>
        </r>
      </text>
    </comment>
    <comment ref="EY30" authorId="0" shapeId="0" xr:uid="{5C297078-EAE0-4851-9D2A-3263D9BE4FA2}">
      <text>
        <r>
          <rPr>
            <sz val="9"/>
            <color indexed="81"/>
            <rFont val="Tahoma"/>
            <family val="2"/>
          </rPr>
          <t>Chai X, Friebel TM, Singer CF, Evans DG, Lynch HT, Isaacs C, Garber JE,
Neuhausen SL, Matloff E, Eeles R, Tung N, Weitzel JN, Couch FJ, Hulick PJ, Ganz
PA, Daly MB, Olopade OI, Tomlinson G, Blum JL, Domchek SM, Chen J, Rebbeck TR.
Use of risk-reducing surgeries in a prospective cohort of 1,499 BRCA1 and BRCA2
mutation carriers. Breast Cancer Res Treat. 2014 Nov;148(2):397-406. doi:
10.1007/s10549-014-3134-0. Epub 2014 Oct 14. PubMed PMID: 25311111; PubMed
Central PMCID: PMC4224991.</t>
        </r>
      </text>
    </comment>
    <comment ref="N36" authorId="0" shapeId="0" xr:uid="{83084C1D-0BD9-4CB3-B46E-BEAC7CFE4F2D}">
      <text>
        <r>
          <rPr>
            <sz val="9"/>
            <color indexed="81"/>
            <rFont val="Tahoma"/>
            <family val="2"/>
          </rPr>
          <t>Hartmann LC, Lindor NM. The Role of Risk-Reducing Surgery in Hereditary Breast
and Ovarian Cancer. N Engl J Med. 2016 Feb 4;374(5):454-68.
Values from Table S7 of appendix</t>
        </r>
      </text>
    </comment>
    <comment ref="N37" authorId="0" shapeId="0" xr:uid="{784DB61E-FB69-4E60-A4E5-F17C28441A0D}">
      <text>
        <r>
          <rPr>
            <sz val="9"/>
            <color indexed="81"/>
            <rFont val="Tahoma"/>
            <family val="2"/>
          </rPr>
          <t>Hartmann LC, Lindor NM. The Role of Risk-Reducing Surgery in Hereditary Breast
and Ovarian Cancer. N Engl J Med. 2016 Feb 4;374(5):454-68.
Values from Table S7 of appendix</t>
        </r>
      </text>
    </comment>
    <comment ref="N38" authorId="0" shapeId="0" xr:uid="{6ECAC2D3-4BC8-47C5-A683-34CC875A1F5B}">
      <text>
        <r>
          <rPr>
            <sz val="9"/>
            <color indexed="81"/>
            <rFont val="Tahoma"/>
            <family val="2"/>
          </rPr>
          <t>Hartmann LC, Lindor NM. The Role of Risk-Reducing Surgery in Hereditary Breast
and Ovarian Cancer. N Engl J Med. 2016 Feb 4;374(5):454-68.
Values from Table S7 of appendix</t>
        </r>
      </text>
    </comment>
    <comment ref="N41" authorId="0" shapeId="0" xr:uid="{3C60E83E-36C8-4F6B-9BBA-BEA55F04D108}">
      <text>
        <r>
          <rPr>
            <sz val="9"/>
            <color indexed="81"/>
            <rFont val="Tahoma"/>
            <family val="2"/>
          </rPr>
          <t>Kuchenbaecker KB, Hopper JL, Barnes DR, Phillips KA, Mooij TM, Roos-Blom MJ,
Jervis S, van Leeuwen FE, Milne RL, Andrieu N, Goldgar DE, Terry MB, Rookus MA,
Easton DF, Antoniou AC; BRCA1 and BRCA2 Cohort Consortium, McGuffog L, Evans DG, 
Barrowdale D, Frost D, Adlard J, Ong KR, Izatt L, Tischkowitz M, Eeles R,
Davidson R, Hodgson S, Ellis S, Nogues C, Lasset C, Stoppa-Lyonnet D, Fricker JP,
Faivre L, Berthet P, Hooning MJ, van der Kolk LE, Kets CM, Adank MA, John EM,
Chung WK, Andrulis IL, Southey M, Daly MB, Buys SS, Osorio A, Engel C, Kast K,
Schmutzler RK, Caldes T, Jakubowska A, Simard J, Friedlander ML, McLachlan SA,
Machackova E, Foretova L, Tan YY, Singer CF, Olah E, Gerdes AM, Arver B, Olsson
H. Risks of Breast, Ovarian, and Contralateral Breast Cancer for BRCA1 and BRCA2 
Mutation Carriers. JAMA. 2017 Jun 20;317(23):2402-2416. doi:
10.1001/jama.2017.7112. PubMed PMID: 28632866.</t>
        </r>
      </text>
    </comment>
    <comment ref="N42" authorId="0" shapeId="0" xr:uid="{877809ED-296F-46EE-80F3-65787BE9D619}">
      <text>
        <r>
          <rPr>
            <sz val="9"/>
            <color indexed="81"/>
            <rFont val="Tahoma"/>
            <family val="2"/>
          </rPr>
          <t>Kuchenbaecker KB, Hopper JL, Barnes DR, Phillips KA, Mooij TM, Roos-Blom MJ,
Jervis S, van Leeuwen FE, Milne RL, Andrieu N, Goldgar DE, Terry MB, Rookus MA,
Easton DF, Antoniou AC; BRCA1 and BRCA2 Cohort Consortium, McGuffog L, Evans DG, 
Barrowdale D, Frost D, Adlard J, Ong KR, Izatt L, Tischkowitz M, Eeles R,
Davidson R, Hodgson S, Ellis S, Nogues C, Lasset C, Stoppa-Lyonnet D, Fricker JP,
Faivre L, Berthet P, Hooning MJ, van der Kolk LE, Kets CM, Adank MA, John EM,
Chung WK, Andrulis IL, Southey M, Daly MB, Buys SS, Osorio A, Engel C, Kast K,
Schmutzler RK, Caldes T, Jakubowska A, Simard J, Friedlander ML, McLachlan SA,
Machackova E, Foretova L, Tan YY, Singer CF, Olah E, Gerdes AM, Arver B, Olsson
H. Risks of Breast, Ovarian, and Contralateral Breast Cancer for BRCA1 and BRCA2 
Mutation Carriers. JAMA. 2017 Jun 20;317(23):2402-2416. doi:
10.1001/jama.2017.7112. PubMed PMID: 28632866.</t>
        </r>
      </text>
    </comment>
    <comment ref="FH44" authorId="0" shapeId="0" xr:uid="{1158C44F-8833-4425-A2C7-38EEAD99557A}">
      <text>
        <r>
          <rPr>
            <sz val="9"/>
            <color indexed="81"/>
            <rFont val="Tahoma"/>
            <family val="2"/>
          </rPr>
          <t>Hartmann LC, Lindor NM. The Role of Risk-Reducing Surgery in Hereditary Breast
and Ovarian Cancer. N Engl J Med. 2016 Feb 4;374(5):454-68.
Values from Table S7 of appendix</t>
        </r>
      </text>
    </comment>
    <comment ref="N47" authorId="0" shapeId="0" xr:uid="{B5A0FA42-72FB-4A30-9A2D-DB855E72ADE3}">
      <text>
        <r>
          <rPr>
            <sz val="9"/>
            <color indexed="81"/>
            <rFont val="Tahoma"/>
            <family val="2"/>
          </rPr>
          <t>Domchek SM, Friebel TM, Singer CF, Evans DG, Lynch HT, Isaacs C, Garber JE,
Neuhausen SL, Matloff E, Eeles R, Pichert G, Van t'veer L, Tung N, Weitzel JN,
Couch FJ, Rubinstein WS, Ganz PA, Daly MB, Olopade OI, Tomlinson G, Schildkraut
J, Blum JL, Rebbeck TR. Association of risk-reducing surgery in BRCA1 or BRCA2
mutation carriers with cancer risk and mortality. JAMA. 2010 Sep 1;304(9):967-75.</t>
        </r>
      </text>
    </comment>
    <comment ref="N48" authorId="0" shapeId="0" xr:uid="{BE1C0DB3-0AA3-4052-8678-87433554902C}">
      <text>
        <r>
          <rPr>
            <sz val="9"/>
            <color indexed="81"/>
            <rFont val="Tahoma"/>
            <family val="2"/>
          </rPr>
          <t>Domchek SM, Friebel TM, Singer CF, Evans DG, Lynch HT, Isaacs C, Garber JE,
Neuhausen SL, Matloff E, Eeles R, Pichert G, Van t'veer L, Tung N, Weitzel JN,
Couch FJ, Rubinstein WS, Ganz PA, Daly MB, Olopade OI, Tomlinson G, Schildkraut
J, Blum JL, Rebbeck TR. Association of risk-reducing surgery in BRCA1 or BRCA2
mutation carriers with cancer risk and mortality. JAMA. 2010 Sep 1;304(9):967-75.</t>
        </r>
      </text>
    </comment>
    <comment ref="N50" authorId="0" shapeId="0" xr:uid="{741ED16F-AD8B-4D13-A3BF-9293AD90484B}">
      <text>
        <r>
          <rPr>
            <sz val="9"/>
            <color indexed="81"/>
            <rFont val="Tahoma"/>
            <family val="2"/>
          </rPr>
          <t>Domchek SM, Friebel TM, Singer CF, Evans DG, Lynch HT, Isaacs C, Garber JE,
Neuhausen SL, Matloff E, Eeles R, Pichert G, Van t'veer L, Tung N, Weitzel JN,
Couch FJ, Rubinstein WS, Ganz PA, Daly MB, Olopade OI, Tomlinson G, Schildkraut
J, Blum JL, Rebbeck TR. Association of risk-reducing surgery in BRCA1 or BRCA2
mutation carriers with cancer risk and mortality. JAMA. 2010 Sep 1;304(9):967-75.</t>
        </r>
      </text>
    </comment>
    <comment ref="N51" authorId="0" shapeId="0" xr:uid="{0F12063D-91F6-4FD6-9CF6-1FA1A671BAFB}">
      <text>
        <r>
          <rPr>
            <sz val="9"/>
            <color indexed="81"/>
            <rFont val="Tahoma"/>
            <family val="2"/>
          </rPr>
          <t>Domchek SM, Friebel TM, Singer CF, Evans DG, Lynch HT, Isaacs C, Garber JE,
Neuhausen SL, Matloff E, Eeles R, Pichert G, Van t'veer L, Tung N, Weitzel JN,
Couch FJ, Rubinstein WS, Ganz PA, Daly MB, Olopade OI, Tomlinson G, Schildkraut
J, Blum JL, Rebbeck TR. Association of risk-reducing surgery in BRCA1 or BRCA2
mutation carriers with cancer risk and mortality. JAMA. 2010 Sep 1;304(9):967-75.</t>
        </r>
      </text>
    </comment>
    <comment ref="N53" authorId="0" shapeId="0" xr:uid="{44E3B35D-8F97-4C58-9827-36961620B45A}">
      <text>
        <r>
          <rPr>
            <sz val="9"/>
            <color indexed="81"/>
            <rFont val="Tahoma"/>
            <family val="2"/>
          </rPr>
          <t>Domchek SM, Friebel TM, Singer CF, Evans DG, Lynch HT, Isaacs C, Garber JE,
Neuhausen SL, Matloff E, Eeles R, Pichert G, Van t'veer L, Tung N, Weitzel JN,
Couch FJ, Rubinstein WS, Ganz PA, Daly MB, Olopade OI, Tomlinson G, Schildkraut
J, Blum JL, Rebbeck TR. Association of risk-reducing surgery in BRCA1 or BRCA2
mutation carriers with cancer risk and mortality. JAMA. 2010 Sep 1;304(9):967-75.</t>
        </r>
      </text>
    </comment>
    <comment ref="N54" authorId="0" shapeId="0" xr:uid="{B75C4030-7FC8-424C-9FA1-7A230A643A42}">
      <text>
        <r>
          <rPr>
            <sz val="9"/>
            <color indexed="81"/>
            <rFont val="Tahoma"/>
            <family val="2"/>
          </rPr>
          <t>Domchek SM, Friebel TM, Singer CF, Evans DG, Lynch HT, Isaacs C, Garber JE,
Neuhausen SL, Matloff E, Eeles R, Pichert G, Van t'veer L, Tung N, Weitzel JN,
Couch FJ, Rubinstein WS, Ganz PA, Daly MB, Olopade OI, Tomlinson G, Schildkraut
J, Blum JL, Rebbeck TR. Association of risk-reducing surgery in BRCA1 or BRCA2
mutation carriers with cancer risk and mortality. JAMA. 2010 Sep 1;304(9):967-75.</t>
        </r>
      </text>
    </comment>
    <comment ref="EY54" authorId="0" shapeId="0" xr:uid="{EA09D02B-ED28-4778-9DB9-BF69A8E0D7E3}">
      <text>
        <r>
          <rPr>
            <sz val="9"/>
            <color indexed="81"/>
            <rFont val="Tahoma"/>
            <family val="2"/>
          </rPr>
          <t>Chai X, Friebel TM, Singer CF, Evans DG, Lynch HT, Isaacs C, Garber JE,
Neuhausen SL, Matloff E, Eeles R, Tung N, Weitzel JN, Couch FJ, Hulick PJ, Ganz
PA, Daly MB, Olopade OI, Tomlinson G, Blum JL, Domchek SM, Chen J, Rebbeck TR.
Use of risk-reducing surgeries in a prospective cohort of 1,499 BRCA1 and BRCA2
mutation carriers. Breast Cancer Res Treat. 2014 Nov;148(2):397-406. doi:
10.1007/s10549-014-3134-0. Epub 2014 Oct 14. PubMed PMID: 25311111; PubMed
Central PMCID: PMC4224991.</t>
        </r>
      </text>
    </comment>
    <comment ref="N56" authorId="0" shapeId="0" xr:uid="{061FFAE8-57B8-4832-9747-C92E1E1721E2}">
      <text>
        <r>
          <rPr>
            <sz val="9"/>
            <color indexed="81"/>
            <rFont val="Tahoma"/>
            <family val="2"/>
          </rPr>
          <t>Domchek SM, Friebel TM, Singer CF, Evans DG, Lynch HT, Isaacs C, Garber JE,
Neuhausen SL, Matloff E, Eeles R, Pichert G, Van t'veer L, Tung N, Weitzel JN,
Couch FJ, Rubinstein WS, Ganz PA, Daly MB, Olopade OI, Tomlinson G, Schildkraut
J, Blum JL, Rebbeck TR. Association of risk-reducing surgery in BRCA1 or BRCA2
mutation carriers with cancer risk and mortality. JAMA. 2010 Sep 1;304(9):967-75.</t>
        </r>
      </text>
    </comment>
    <comment ref="N57" authorId="0" shapeId="0" xr:uid="{C9B2E9D8-A998-4C58-8DBB-E89D5EA9A60A}">
      <text>
        <r>
          <rPr>
            <sz val="9"/>
            <color indexed="81"/>
            <rFont val="Tahoma"/>
            <family val="2"/>
          </rPr>
          <t>Domchek SM, Friebel TM, Singer CF, Evans DG, Lynch HT, Isaacs C, Garber JE,
Neuhausen SL, Matloff E, Eeles R, Pichert G, Van t'veer L, Tung N, Weitzel JN,
Couch FJ, Rubinstein WS, Ganz PA, Daly MB, Olopade OI, Tomlinson G, Schildkraut
J, Blum JL, Rebbeck TR. Association of risk-reducing surgery in BRCA1 or BRCA2
mutation carriers with cancer risk and mortality. JAMA. 2010 Sep 1;304(9):967-75.</t>
        </r>
      </text>
    </comment>
    <comment ref="B64" authorId="0" shapeId="0" xr:uid="{1E1A658C-D971-4C00-A156-E3573970AD17}">
      <text>
        <r>
          <rPr>
            <b/>
            <sz val="9"/>
            <color indexed="81"/>
            <rFont val="Tahoma"/>
            <family val="2"/>
          </rPr>
          <t>Greg Guzauskas:</t>
        </r>
        <r>
          <rPr>
            <sz val="9"/>
            <color indexed="81"/>
            <rFont val="Tahoma"/>
            <family val="2"/>
          </rPr>
          <t xml:space="preserve">
Maybe move to main parameter page, and use same "well" utility for all models?</t>
        </r>
      </text>
    </comment>
    <comment ref="N65" authorId="0" shapeId="0" xr:uid="{0B02DFE6-FF85-4687-8D7A-CC7998CF57E0}">
      <text>
        <r>
          <rPr>
            <sz val="9"/>
            <color indexed="81"/>
            <rFont val="Tahoma"/>
            <family val="2"/>
          </rPr>
          <t>Peasgood T, Ward SE, Brazier J. Health-state utility values in breast cancer. 
Expert Rev Pharmacoecon Outcomes Res. 2010 Oct;10(5):553-66. doi:
10.1586/erp.10.65. Review. PubMed PMID: 20950071.</t>
        </r>
      </text>
    </comment>
    <comment ref="N66" authorId="0" shapeId="0" xr:uid="{217F3F02-DD48-42BB-916E-E796D4A28096}">
      <text>
        <r>
          <rPr>
            <sz val="9"/>
            <color indexed="81"/>
            <rFont val="Tahoma"/>
            <family val="2"/>
          </rPr>
          <t>APPENDIX: 
Manchanda R, Patel S, Gordeev VS, Antoniou AC, Smith S, Lee A, Hopper JL,
MacInnis RJ, Turnbull C, Ramus SJ, Gayther SA, Pharoah PDP, Menon U, Jacobs I,
Legood R. Cost-effectiveness of Population-Based BRCA1, BRCA2, RAD51C, RAD51D,
BRIP1, PALB2 Mutation Testing in Unselected General Population Women. J Natl
Cancer Inst. 2018 Jan 18. doi: 10.1093/jnci/djx265. [Epub ahead of print] PubMed 
PMID: 29361001.</t>
        </r>
      </text>
    </comment>
    <comment ref="N67" authorId="0" shapeId="0" xr:uid="{24650D70-A3F8-41B7-B11B-98896EC3E374}">
      <text>
        <r>
          <rPr>
            <sz val="9"/>
            <color indexed="81"/>
            <rFont val="Tahoma"/>
            <family val="2"/>
          </rPr>
          <t>APPENDIX: 
Manchanda R, Patel S, Gordeev VS, Antoniou AC, Smith S, Lee A, Hopper JL,
MacInnis RJ, Turnbull C, Ramus SJ, Gayther SA, Pharoah PDP, Menon U, Jacobs I,
Legood R. Cost-effectiveness of Population-Based BRCA1, BRCA2, RAD51C, RAD51D,
BRIP1, PALB2 Mutation Testing in Unselected General Population Women. J Natl
Cancer Inst. 2018 Jan 18. doi: 10.1093/jnci/djx265. [Epub ahead of print] PubMed 
PMID: 29361001.</t>
        </r>
      </text>
    </comment>
    <comment ref="N68" authorId="0" shapeId="0" xr:uid="{A529D3F7-CA20-4A79-89B3-A79A7E9A7369}">
      <text>
        <r>
          <rPr>
            <sz val="9"/>
            <color indexed="81"/>
            <rFont val="Tahoma"/>
            <family val="2"/>
          </rPr>
          <t>Havrilesky LJ, Broadwater G, Davis DM, Nolte KC, Barnett JC, Myers ER,
Kulasingam S. Determination of quality of life-related utilities for health
states relevant to ovarian cancer diagnosis and treatment. Gynecol Oncol. 2009
May;113(2):216-20. doi: 10.1016/j.ygyno.2008.12.026. Epub 2009 Feb 12. PubMed
PMID: 19217148; PubMed Central PMCID: PMC2713675.</t>
        </r>
      </text>
    </comment>
    <comment ref="N69" authorId="0" shapeId="0" xr:uid="{4DF9DC36-EE84-4DB6-969E-5359AF5BB483}">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70" authorId="0" shapeId="0" xr:uid="{43375021-957E-4965-93F4-E0ABD9B28803}">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71" authorId="0" shapeId="0" xr:uid="{15D0768A-A8C2-4D61-B89F-F4B35A9A38C6}">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74" authorId="0" shapeId="0" xr:uid="{2162F1C2-7E6E-4C88-AD7F-236BF8FAD57A}">
      <text>
        <r>
          <rPr>
            <sz val="9"/>
            <color indexed="81"/>
            <rFont val="Tahoma"/>
            <family val="2"/>
          </rPr>
          <t>MASTECTOMY FOR MALIGNANCY W/O CC/MCC</t>
        </r>
      </text>
    </comment>
    <comment ref="N75" authorId="0" shapeId="0" xr:uid="{EC3D5805-4836-4142-9D96-FAB2BBA4598B}">
      <text>
        <r>
          <rPr>
            <sz val="9"/>
            <color indexed="81"/>
            <rFont val="Tahoma"/>
            <family val="2"/>
          </rPr>
          <t>UTERINE &amp; ADNEXA PROC FOR NON-MALIGNANCY W/O CC/MCC</t>
        </r>
      </text>
    </comment>
    <comment ref="EY78" authorId="0" shapeId="0" xr:uid="{8B282775-CC34-4866-9EBC-430DFCE80C18}">
      <text>
        <r>
          <rPr>
            <sz val="9"/>
            <color indexed="81"/>
            <rFont val="Tahoma"/>
            <family val="2"/>
          </rPr>
          <t>Chai X, Friebel TM, Singer CF, Evans DG, Lynch HT, Isaacs C, Garber JE,
Neuhausen SL, Matloff E, Eeles R, Tung N, Weitzel JN, Couch FJ, Hulick PJ, Ganz
PA, Daly MB, Olopade OI, Tomlinson G, Blum JL, Domchek SM, Chen J, Rebbeck TR.
Use of risk-reducing surgeries in a prospective cohort of 1,499 BRCA1 and BRCA2
mutation carriers. Breast Cancer Res Treat. 2014 Nov;148(2):397-406. doi:
10.1007/s10549-014-3134-0. Epub 2014 Oct 14. PubMed PMID: 25311111; PubMed
Central PMCID: PMC4224991.</t>
        </r>
      </text>
    </comment>
    <comment ref="N79" authorId="0" shapeId="0" xr:uid="{EA3FEA06-3A94-44F0-974F-0098C0BDB321}">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80" authorId="0" shapeId="0" xr:uid="{9B3FAD01-AB66-4B71-98BD-C801AFBE1D25}">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81" authorId="0" shapeId="0" xr:uid="{18A6D67E-A72D-461B-B5EF-C9BA28DF8A55}">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82" authorId="0" shapeId="0" xr:uid="{361F5D97-3FCE-4FB3-ABCB-60295465A516}">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83" authorId="0" shapeId="0" xr:uid="{0BFA5725-834E-4A73-8AAF-165B58F3A2DE}">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84" authorId="0" shapeId="0" xr:uid="{9902D49B-EBFA-470C-8592-464CC44A3137}">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86" authorId="0" shapeId="0" xr:uid="{E7FEC972-3713-4305-99B9-5D26314FA750}">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87" authorId="0" shapeId="0" xr:uid="{81CFEFAD-9FDA-4B21-8C8D-80D8C5D8E726}">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88" authorId="0" shapeId="0" xr:uid="{A12E8B52-5C5E-4273-B99F-8A83DA6DA84D}">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89" authorId="0" shapeId="0" xr:uid="{A7C2AF68-CD86-445E-91C2-7550428F0BC8}">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90" authorId="0" shapeId="0" xr:uid="{986591DE-AFF4-463B-B5EC-89E05127FF18}">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 ref="N91" authorId="0" shapeId="0" xr:uid="{CF6A0233-0BA0-44DA-B6CD-1DCCFD498252}">
      <text>
        <r>
          <rPr>
            <sz val="9"/>
            <color indexed="81"/>
            <rFont val="Tahoma"/>
            <family val="2"/>
          </rPr>
          <t>Li Y, Arellano AR, Bare LA, Bender RA, Strom CM, Devlin JJ. A Multigene Test
Could Cost-Effectively Help Extend Life Expectancy for Women at Risk of
Hereditary Breast Cancer. Value Health. 2017 Apr;20(4):547-555.</t>
        </r>
      </text>
    </comment>
  </commentList>
</comments>
</file>

<file path=xl/sharedStrings.xml><?xml version="1.0" encoding="utf-8"?>
<sst xmlns="http://schemas.openxmlformats.org/spreadsheetml/2006/main" count="1078" uniqueCount="402">
  <si>
    <t>RISE Decision Model</t>
  </si>
  <si>
    <t>Disease 2</t>
  </si>
  <si>
    <t>Disease 3</t>
  </si>
  <si>
    <t>MARKOV MODEL: TEST</t>
  </si>
  <si>
    <t>Dead</t>
  </si>
  <si>
    <t>Sum</t>
  </si>
  <si>
    <t>Cost</t>
  </si>
  <si>
    <t>QALYs</t>
  </si>
  <si>
    <t>Life Years</t>
  </si>
  <si>
    <t>MARKOV MODEL: NO TEST</t>
  </si>
  <si>
    <t>OWSA</t>
  </si>
  <si>
    <t>Parameter</t>
  </si>
  <si>
    <t>Low Input</t>
  </si>
  <si>
    <t>Low Result</t>
  </si>
  <si>
    <t>High Result</t>
  </si>
  <si>
    <t>Spread</t>
  </si>
  <si>
    <t>Live</t>
  </si>
  <si>
    <t>Custom</t>
  </si>
  <si>
    <t>Default</t>
  </si>
  <si>
    <t>Probabilistic</t>
  </si>
  <si>
    <t>&lt; Range &gt;</t>
  </si>
  <si>
    <t>β</t>
  </si>
  <si>
    <t>n</t>
  </si>
  <si>
    <t>Distribution</t>
  </si>
  <si>
    <t>Source</t>
  </si>
  <si>
    <t>α/SE</t>
  </si>
  <si>
    <t>Test</t>
  </si>
  <si>
    <t>No Test</t>
  </si>
  <si>
    <t>Incremental</t>
  </si>
  <si>
    <t>ONE-WAY SENSITIVITY</t>
  </si>
  <si>
    <t>VOI &amp; FIXED PARAMETERS</t>
  </si>
  <si>
    <t>dummy</t>
  </si>
  <si>
    <t>Cohort Size</t>
  </si>
  <si>
    <t>WTP</t>
  </si>
  <si>
    <t>EVSI n</t>
  </si>
  <si>
    <t>Range</t>
  </si>
  <si>
    <t>Prior</t>
  </si>
  <si>
    <t>Prior Draw SE</t>
  </si>
  <si>
    <t>New Draw</t>
  </si>
  <si>
    <t>Posterior</t>
  </si>
  <si>
    <t>Posterior SE</t>
  </si>
  <si>
    <t>For OWSA</t>
  </si>
  <si>
    <t>Cost of Genetic Test</t>
  </si>
  <si>
    <t>Normal</t>
  </si>
  <si>
    <t>Cost of Counseling</t>
  </si>
  <si>
    <t>Cost of Post-Test Counseling</t>
  </si>
  <si>
    <t>Cost of Variant Review</t>
  </si>
  <si>
    <t>Adherence: Patients Who Use Recommendation</t>
  </si>
  <si>
    <t>Arrhythmogenic right ventricular cardiomyopathy</t>
  </si>
  <si>
    <t>Beta</t>
  </si>
  <si>
    <t>Familial hypercholesterolemia</t>
  </si>
  <si>
    <t>Hereditary Breast and Ovarian Cancer</t>
  </si>
  <si>
    <t>Hypertrophic / dilated cardiomyopathy</t>
  </si>
  <si>
    <t>Long QT Syndromes Types 1, 2 and 3</t>
  </si>
  <si>
    <t>Lynch Syndrome</t>
  </si>
  <si>
    <t xml:space="preserve">Malignant hyperthermia susceptibility </t>
  </si>
  <si>
    <t>Rare conditions (combined)</t>
  </si>
  <si>
    <t>Prevalence</t>
  </si>
  <si>
    <t>Penetrance</t>
  </si>
  <si>
    <t>Avoidance of Screening</t>
  </si>
  <si>
    <t>QALY loss from avoiding screening</t>
  </si>
  <si>
    <t>Proportion who avoid screening</t>
  </si>
  <si>
    <t>Screening/Testing Costs</t>
  </si>
  <si>
    <t>Prior&gt;Post.</t>
  </si>
  <si>
    <t>VOI-SPECIFIC PARAMETERS</t>
  </si>
  <si>
    <t>Geisinger</t>
  </si>
  <si>
    <t>FIXED PARAMETERS</t>
  </si>
  <si>
    <t>Patient Age</t>
  </si>
  <si>
    <t>Discount</t>
  </si>
  <si>
    <t>Incremental Cost</t>
  </si>
  <si>
    <t>High Input</t>
  </si>
  <si>
    <t>Incremental QALYs</t>
  </si>
  <si>
    <t>INMB $50K WTP</t>
  </si>
  <si>
    <t>INMB $100K WTP</t>
  </si>
  <si>
    <t>INMB $150K WTP</t>
  </si>
  <si>
    <t>INMB $200K WTP</t>
  </si>
  <si>
    <t>QALY loss</t>
  </si>
  <si>
    <t>Ppn Avoid</t>
  </si>
  <si>
    <t>Min</t>
  </si>
  <si>
    <t>Lower</t>
  </si>
  <si>
    <t>Mean</t>
  </si>
  <si>
    <t>Upper</t>
  </si>
  <si>
    <t>Max</t>
  </si>
  <si>
    <t>Dist.</t>
  </si>
  <si>
    <t>LOOPS:</t>
  </si>
  <si>
    <t>CEAC</t>
  </si>
  <si>
    <t>Test NMB</t>
  </si>
  <si>
    <t>Don't NMB</t>
  </si>
  <si>
    <t>Max NMB</t>
  </si>
  <si>
    <t>LIVE</t>
  </si>
  <si>
    <t>WTP:</t>
  </si>
  <si>
    <t>EVSI Inner Loop Simulations</t>
  </si>
  <si>
    <t>EVSI Outer Loop Simulations</t>
  </si>
  <si>
    <t>Net Opportunity Loss</t>
  </si>
  <si>
    <t>AVG:</t>
  </si>
  <si>
    <t>Threshold</t>
  </si>
  <si>
    <t>Year</t>
  </si>
  <si>
    <t>Patients</t>
  </si>
  <si>
    <t>Total:</t>
  </si>
  <si>
    <t>$50,000 WTP</t>
  </si>
  <si>
    <t>$100,000 WTP</t>
  </si>
  <si>
    <t>$150,000 WTP</t>
  </si>
  <si>
    <t>$200,000 WTP</t>
  </si>
  <si>
    <t>From</t>
  </si>
  <si>
    <t>To</t>
  </si>
  <si>
    <t>SE $50K</t>
  </si>
  <si>
    <t>SE $100K</t>
  </si>
  <si>
    <t>SE $150K</t>
  </si>
  <si>
    <t>SE $200K</t>
  </si>
  <si>
    <t>Group</t>
  </si>
  <si>
    <t>Adherence</t>
  </si>
  <si>
    <t>Screen Avoidance</t>
  </si>
  <si>
    <t>EXPECTED VALUE OF PERFECT INFORMATION</t>
  </si>
  <si>
    <t>Per Patient</t>
  </si>
  <si>
    <t>Population</t>
  </si>
  <si>
    <t>EFFECTIVE POPULATION</t>
  </si>
  <si>
    <t>(do vlookup for number of people by age group, so can change age)</t>
  </si>
  <si>
    <t>EXPECTED VALUE OF PERFECT INFORMATION: PARAMETERS</t>
  </si>
  <si>
    <t>PARTIAL EVPI</t>
  </si>
  <si>
    <t>EXPECTED VALUE OF SAMPLE INFORMATION</t>
  </si>
  <si>
    <t>Trial N</t>
  </si>
  <si>
    <t>EXPECTED VALUE OF SAMPLE INFORMATION: PARAMETERS</t>
  </si>
  <si>
    <t>PARTIAL EVSI</t>
  </si>
  <si>
    <t>EVSI graph</t>
  </si>
  <si>
    <t>Test Cost</t>
  </si>
  <si>
    <t>Test QALYs</t>
  </si>
  <si>
    <t>No Test Cost</t>
  </si>
  <si>
    <t>No Test QALYs</t>
  </si>
  <si>
    <t>Incr Cost</t>
  </si>
  <si>
    <t>Incr QALYs</t>
  </si>
  <si>
    <t>ICER</t>
  </si>
  <si>
    <t>PARAMETERS</t>
  </si>
  <si>
    <t>Name</t>
  </si>
  <si>
    <t>Mast</t>
  </si>
  <si>
    <t>Ooph</t>
  </si>
  <si>
    <t>SENSITIVITY ANALYSES</t>
  </si>
  <si>
    <t>PROBABILISTIC SENSITIVITY</t>
  </si>
  <si>
    <t>ICER Plane</t>
  </si>
  <si>
    <t>Cost-Effectiveness Acceptability Curve</t>
  </si>
  <si>
    <t>Age</t>
  </si>
  <si>
    <t>OWSA %</t>
  </si>
  <si>
    <t>Inner Loops</t>
  </si>
  <si>
    <t>Outer Loops / PSA Sims</t>
  </si>
  <si>
    <t>OVERALL COST-EFFECTIVENESS RESULTS</t>
  </si>
  <si>
    <t>Pr. Death</t>
  </si>
  <si>
    <t>CDC Life Table, Females, 2014</t>
  </si>
  <si>
    <t>Incremental CER</t>
  </si>
  <si>
    <t>Breast &amp; Ovarian Cancer</t>
  </si>
  <si>
    <t>Overall Results</t>
  </si>
  <si>
    <t>DISEASE MODEL RESULTS</t>
  </si>
  <si>
    <t>B&amp;O Cancer</t>
  </si>
  <si>
    <t xml:space="preserve">&lt; Test  </t>
  </si>
  <si>
    <t xml:space="preserve">  No Test &gt;</t>
  </si>
  <si>
    <t>Disease 4</t>
  </si>
  <si>
    <t>Disease 5</t>
  </si>
  <si>
    <t>Disease 6</t>
  </si>
  <si>
    <t>Disease 7</t>
  </si>
  <si>
    <t>Disease 8</t>
  </si>
  <si>
    <t>Disease 9</t>
  </si>
  <si>
    <t>Age at Diagnosis</t>
  </si>
  <si>
    <t>Age Lookup</t>
  </si>
  <si>
    <t>https://seer.cancer.gov/csr/1975_2014/browse_csr.php</t>
  </si>
  <si>
    <t>α</t>
  </si>
  <si>
    <t>PSA</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</si>
  <si>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</si>
  <si>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</si>
  <si>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</si>
  <si>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</si>
  <si>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</si>
  <si>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</si>
  <si>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</si>
  <si>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</si>
  <si>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</si>
  <si>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</si>
  <si>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</si>
  <si>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</si>
  <si>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</si>
  <si>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</si>
  <si>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</si>
  <si>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</si>
  <si>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</si>
  <si>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</si>
  <si>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</si>
  <si>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</si>
  <si>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</si>
  <si>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</si>
  <si>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</si>
  <si>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</si>
  <si>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</si>
  <si>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https://www.mrexcel.com/forum/excel-questions/347468-multiple-linear-regression-vba.html</t>
  </si>
  <si>
    <t>NET MONETARY BENEFIT</t>
  </si>
  <si>
    <t>Decision Tree</t>
  </si>
  <si>
    <t>BOC Results</t>
  </si>
  <si>
    <t>BC</t>
  </si>
  <si>
    <t>OC</t>
  </si>
  <si>
    <t>APPENDIX</t>
  </si>
  <si>
    <t>&lt;20</t>
  </si>
  <si>
    <t>21-30</t>
  </si>
  <si>
    <t>31-40</t>
  </si>
  <si>
    <t>41-50</t>
  </si>
  <si>
    <t>51-60</t>
  </si>
  <si>
    <t>61-70</t>
  </si>
  <si>
    <t>71-80</t>
  </si>
  <si>
    <t xml:space="preserve">Prev: </t>
  </si>
  <si>
    <t xml:space="preserve">Adh: </t>
  </si>
  <si>
    <t xml:space="preserve">Pen: </t>
  </si>
  <si>
    <t>Kuchenbaecker JAMA 2017</t>
  </si>
  <si>
    <t>BRCA1</t>
  </si>
  <si>
    <t>BRCA2</t>
  </si>
  <si>
    <t>boc_aff_bc</t>
  </si>
  <si>
    <t>No Intervention</t>
  </si>
  <si>
    <t>Mastectomy</t>
  </si>
  <si>
    <t>Oophorectomy</t>
  </si>
  <si>
    <t>BC Year 1</t>
  </si>
  <si>
    <t>OC Year 1</t>
  </si>
  <si>
    <t>OC Year 2+</t>
  </si>
  <si>
    <t>BC Year 2+</t>
  </si>
  <si>
    <t>Total Cost</t>
  </si>
  <si>
    <t>BC QALYs</t>
  </si>
  <si>
    <t>OC QALYs</t>
  </si>
  <si>
    <t>Interv. QALYs</t>
  </si>
  <si>
    <t>Total QALYs</t>
  </si>
  <si>
    <t>PostC QALYs</t>
  </si>
  <si>
    <t>Mast Cost</t>
  </si>
  <si>
    <t>Ooph Cost</t>
  </si>
  <si>
    <t>Year 2+ Cost</t>
  </si>
  <si>
    <t>BC Cost</t>
  </si>
  <si>
    <t>OC Cost</t>
  </si>
  <si>
    <t>Total LYs</t>
  </si>
  <si>
    <t>Proportion Previously Unaffected</t>
  </si>
  <si>
    <t>boc_unaff</t>
  </si>
  <si>
    <t>boc_known</t>
  </si>
  <si>
    <t>Post-Mast</t>
  </si>
  <si>
    <t>Post-Ooph</t>
  </si>
  <si>
    <t>Post-Both</t>
  </si>
  <si>
    <t>2nd Surgery</t>
  </si>
  <si>
    <t>BC/OC MORTALITY TRANSITION PROBABILITIES DERIVED FROM SEER</t>
  </si>
  <si>
    <t>Mutation</t>
  </si>
  <si>
    <t>Other</t>
  </si>
  <si>
    <t>BRCA1 Mastectomy Uptake</t>
  </si>
  <si>
    <t>BRCA2 Mastectomy Uptake</t>
  </si>
  <si>
    <t>BC Comb.</t>
  </si>
  <si>
    <t>OC Comb.</t>
  </si>
  <si>
    <t>Cum. Inc.</t>
  </si>
  <si>
    <t>5-Yr Prob</t>
  </si>
  <si>
    <t>Cumulative</t>
  </si>
  <si>
    <t>Chai et al. Intervention Uptake Probabilities</t>
  </si>
  <si>
    <t>Cumu. Live</t>
  </si>
  <si>
    <t>5-Yr Surv</t>
  </si>
  <si>
    <t>&lt;45</t>
  </si>
  <si>
    <t>45-54</t>
  </si>
  <si>
    <t>55-64</t>
  </si>
  <si>
    <t>65-74</t>
  </si>
  <si>
    <t>75+</t>
  </si>
  <si>
    <t>HR: Breast Cancer Post-Mastectomy</t>
  </si>
  <si>
    <t>HR: Breast Cancer Post-Oophorectomy</t>
  </si>
  <si>
    <t>HR: Ovarian Cancer Post-Mastectomy</t>
  </si>
  <si>
    <t>HR: Ovarian Cancer Post-Oophorectomy</t>
  </si>
  <si>
    <t>Risk-Reducing Interventions</t>
  </si>
  <si>
    <t>boc_hr_bc_mast_1</t>
  </si>
  <si>
    <t>boc_hr_bc_mast_2</t>
  </si>
  <si>
    <t>boc_hr_bc_ooph_1</t>
  </si>
  <si>
    <t>boc_hr_bc_ooph_2</t>
  </si>
  <si>
    <t>boc_hr_oc_mast_1</t>
  </si>
  <si>
    <t>boc_hr_oc_mast_2</t>
  </si>
  <si>
    <t>boc_hr_oc_ooph_1</t>
  </si>
  <si>
    <t>boc_hr_oc_ooph_2</t>
  </si>
  <si>
    <t>LogNormal</t>
  </si>
  <si>
    <t>BC_Mast</t>
  </si>
  <si>
    <t>BC_Ooph</t>
  </si>
  <si>
    <t>OC_Mast</t>
  </si>
  <si>
    <t>OC_Ooph</t>
  </si>
  <si>
    <t>Mast Comb.</t>
  </si>
  <si>
    <t>Ooph Comb.</t>
  </si>
  <si>
    <t>Mortality</t>
  </si>
  <si>
    <t>Post-Cancer</t>
  </si>
  <si>
    <t>boc_unkn_mast</t>
  </si>
  <si>
    <t>boc_unkn_ooph</t>
  </si>
  <si>
    <t>Utility: Well</t>
  </si>
  <si>
    <t>util_well</t>
  </si>
  <si>
    <t>Li et al.</t>
  </si>
  <si>
    <t>Disutility (1-year): Mastectomy</t>
  </si>
  <si>
    <t>Well QALYs</t>
  </si>
  <si>
    <t>Post Int QALYs</t>
  </si>
  <si>
    <t>Ppn Breast Cancer Among Previously Affected</t>
  </si>
  <si>
    <t>Combined</t>
  </si>
  <si>
    <t>Chai_Breast Cancer Res Treat. 2014</t>
  </si>
  <si>
    <t>For_OWSA</t>
  </si>
  <si>
    <t>Domchek JAMA 2010 HRs applied to Cancer Incidence: Impact_Of Risk-Reducing Surgery</t>
  </si>
  <si>
    <t>BRCA1_Oophorectomy Uptake</t>
  </si>
  <si>
    <t>BRCA2_Oophorectomy Uptake</t>
  </si>
  <si>
    <t>BREAST &amp;_OVARIAN CANCER PARAMETERS</t>
  </si>
  <si>
    <t>Breast cancer—initial</t>
  </si>
  <si>
    <t>Breast cancer—continuing</t>
  </si>
  <si>
    <t>Breast cancer—last year</t>
  </si>
  <si>
    <t>Ovarian cancer—initial</t>
  </si>
  <si>
    <t>Ovarian cancer—continuing</t>
  </si>
  <si>
    <t>Ovarian cancer—last year</t>
  </si>
  <si>
    <t>Cancer Treatment Costs</t>
  </si>
  <si>
    <t>&lt;65 years old</t>
  </si>
  <si>
    <t>MS-DRG 583</t>
  </si>
  <si>
    <t>MS-DRG 743</t>
  </si>
  <si>
    <t>reduction:</t>
  </si>
  <si>
    <t>SE</t>
  </si>
  <si>
    <t>Survivors/100K</t>
  </si>
  <si>
    <t>%</t>
  </si>
  <si>
    <t>1-Yr Conv.</t>
  </si>
  <si>
    <t>Time Horizon</t>
  </si>
  <si>
    <t>Breast Cancer 5-Year Relative Mortality</t>
  </si>
  <si>
    <t>Ovarian Cancer 5-Year Relative Mortality</t>
  </si>
  <si>
    <t>Assumption</t>
  </si>
  <si>
    <t>Domchek JAMA</t>
  </si>
  <si>
    <t>Calculated By Age</t>
  </si>
  <si>
    <t>No Mutation</t>
  </si>
  <si>
    <t>n =</t>
  </si>
  <si>
    <t>BRCA1 or 2</t>
  </si>
  <si>
    <t>weight =</t>
  </si>
  <si>
    <t>MODELED</t>
  </si>
  <si>
    <t>Mutation Distribution</t>
  </si>
  <si>
    <t>Quick Switches</t>
  </si>
  <si>
    <t>Breast Cancer Incidence On/Off</t>
  </si>
  <si>
    <t>Ovarian Cancer Incidence On/Off</t>
  </si>
  <si>
    <t>Background Mortality On/Off</t>
  </si>
  <si>
    <t>Breast Cancer Relative Mortality On/Off</t>
  </si>
  <si>
    <t>Ovarian Cancer Relative Mortality On/Off</t>
  </si>
  <si>
    <r>
      <rPr>
        <i/>
        <sz val="11"/>
        <color theme="1"/>
        <rFont val="Calibri"/>
        <family val="2"/>
      </rPr>
      <t>≥</t>
    </r>
    <r>
      <rPr>
        <i/>
        <sz val="11"/>
        <color theme="1"/>
        <rFont val="Arial"/>
        <family val="2"/>
      </rPr>
      <t>65 years old</t>
    </r>
  </si>
  <si>
    <t>boc_cost_bc_initial_64</t>
  </si>
  <si>
    <t>boc_cost_bc_initial_65</t>
  </si>
  <si>
    <t>boc_cost_bc_cont_65</t>
  </si>
  <si>
    <t>boc_cost_bc_cont_64</t>
  </si>
  <si>
    <t>boc_cost_bc_last_64</t>
  </si>
  <si>
    <t>boc_cost_oc_cont_64</t>
  </si>
  <si>
    <t>boc_cost_oc_last_64</t>
  </si>
  <si>
    <t>boc_cost_oc_initial_64</t>
  </si>
  <si>
    <t>boc_cost_bc_last_65</t>
  </si>
  <si>
    <t>boc_cost_oc_initial_65</t>
  </si>
  <si>
    <t>boc_cost_oc_cont_65</t>
  </si>
  <si>
    <t>boc_cost_oc_last_65</t>
  </si>
  <si>
    <t>boc_mut_brca1</t>
  </si>
  <si>
    <t>boc_mut_brca2</t>
  </si>
  <si>
    <t>boc_mut_other</t>
  </si>
  <si>
    <t>boc_util_bc</t>
  </si>
  <si>
    <t>boc_util_oc</t>
  </si>
  <si>
    <t>boc_disutil_mast</t>
  </si>
  <si>
    <t>boc_disutil_ooph</t>
  </si>
  <si>
    <t>boc_disutil_know</t>
  </si>
  <si>
    <t>boc_cost_mast</t>
  </si>
  <si>
    <t>boc_cost_ooph</t>
  </si>
  <si>
    <t>Hartmann et al.</t>
  </si>
  <si>
    <t>Risk-Reducing Intervention Costs</t>
  </si>
  <si>
    <t>Quality Of Life</t>
  </si>
  <si>
    <r>
      <t xml:space="preserve">Ppn Mut. Status Previously Known, </t>
    </r>
    <r>
      <rPr>
        <u/>
        <sz val="11"/>
        <color theme="1"/>
        <rFont val="Arial"/>
        <family val="2"/>
      </rPr>
      <t>Unaffected</t>
    </r>
  </si>
  <si>
    <t>C. Death Cost</t>
  </si>
  <si>
    <t>Max Axis</t>
  </si>
  <si>
    <t>Ticks</t>
  </si>
  <si>
    <t>Min Axis</t>
  </si>
  <si>
    <t>Utility: Ovarian Cancer</t>
  </si>
  <si>
    <t>Disutility (1-year): Oophorectomy</t>
  </si>
  <si>
    <t>Disutility (1-year): Knowledge Of Variant</t>
  </si>
  <si>
    <t>Utility: Breast Cancer</t>
  </si>
  <si>
    <t>Patent Age</t>
  </si>
  <si>
    <t>Intervention Uptake: No Test</t>
  </si>
  <si>
    <t>Mastectomy Uptake On/Off (for Test comparator)</t>
  </si>
  <si>
    <t>Oophorectomy Uptake On/Off (for Test comparator)</t>
  </si>
  <si>
    <t>Validation: Turning off intervention uptake, setting knowledge of variant disutility to zero, and setting intervention uptakes for the No Test comparator to zero results in equal QALYs and life years. Difference in cost is driven only by cost of the genomic test (on the "VOI_Parameters" sheet).</t>
  </si>
  <si>
    <t>Previous BC (secondary y-axis)</t>
  </si>
  <si>
    <t>Previous OC (secondary y-axis)</t>
  </si>
  <si>
    <t>No Test Previous BC</t>
  </si>
  <si>
    <t>No Test Previous OC</t>
  </si>
  <si>
    <t>Test Inc. BC</t>
  </si>
  <si>
    <t>Test Inc. OC</t>
  </si>
  <si>
    <t>No Test Inc. BC</t>
  </si>
  <si>
    <t>No Test Inc. OC</t>
  </si>
  <si>
    <t>Incr. QALYs* (secondary y-axis)</t>
  </si>
  <si>
    <t>Test QALYs*</t>
  </si>
  <si>
    <t>No Test QALYs*</t>
  </si>
  <si>
    <t>BRCA1 Positive_Breast Cancer Cumulative Incidence</t>
  </si>
  <si>
    <t>BRCA2 Positive_Breast Cancer Cumulative Incidence</t>
  </si>
  <si>
    <t>BRCA1 Positive_Ovarian Cancer Cumulative Incidence</t>
  </si>
  <si>
    <t>BRCA2 Positive_Ovarian Cancer Cumulative Incidence</t>
  </si>
  <si>
    <t>Inc/1000 PY</t>
  </si>
  <si>
    <t>Tr Pr.</t>
  </si>
  <si>
    <t>BRCA1 Positive_Breast Cancer Annual Incidence Parameters</t>
  </si>
  <si>
    <t>BRCA2 Positive_Breast Cancer Annual Incidence Parameters</t>
  </si>
  <si>
    <t>BRCA1 Positive_Ovarian Cancer Annual Incidence Parameters</t>
  </si>
  <si>
    <t>BRCA2 Positive_Ovarian Cancer Annual Incidence Parameters</t>
  </si>
  <si>
    <t>Previous Mastectomy On/Off</t>
  </si>
  <si>
    <t>Previous Oophorectomy On/Off</t>
  </si>
  <si>
    <t>Previous Breast Cancer On/Off</t>
  </si>
  <si>
    <t>Previous Ovarian Cancer On/Off</t>
  </si>
  <si>
    <t>boc_util_pc_bc</t>
  </si>
  <si>
    <t>boc_util_pc_oc</t>
  </si>
  <si>
    <t>Utility: Post Breast Cancer</t>
  </si>
  <si>
    <t>Utility: Post Ovarian Cancer</t>
  </si>
  <si>
    <t>Havrilseky et al.</t>
  </si>
  <si>
    <t>Peasgood et al.</t>
  </si>
  <si>
    <t>Manchanda et al.</t>
  </si>
  <si>
    <t>ooph higher than mast in untested</t>
  </si>
  <si>
    <t>better to break down ooph by age, i.e. post- and premenopausal</t>
  </si>
  <si>
    <t>Mast: extremely rare without testing. LCIS patients only, someone with multiple biopsies and patient pushing for it</t>
  </si>
  <si>
    <t>Prior BC: contralateral not typically recommended, but Geisinger tends to discourage so may be lower than national avg</t>
  </si>
  <si>
    <t>National rates: some figures in the appendix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</si>
</sst>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44" formatCode="_(&quot;$&quot;* #,##0.00_);_(&quot;$&quot;* \(#,##0.00\);_(&quot;$&quot;* &quot;-&quot;??_);_(@_)"/>
    <numFmt numFmtId="43" formatCode="_(* #,##0.00_);_(* \(#,##0.00\);_(* &quot;-&quot;??_);_(@_)"/>
    <numFmt numFmtId="164" formatCode="0.0000"/>
    <numFmt numFmtId="165" formatCode="&quot;$&quot;#,##0"/>
    <numFmt numFmtId="166" formatCode="0.000"/>
    <numFmt numFmtId="167" formatCode="0.000%"/>
    <numFmt numFmtId="168" formatCode="_(* #,##0_);_(* \(#,##0\);_(* &quot;-&quot;??_);_(@_)"/>
    <numFmt numFmtId="169" formatCode="0.0%"/>
    <numFmt numFmtId="170" formatCode="&quot;$&quot;#,##0.00"/>
    <numFmt numFmtId="171" formatCode="&quot;INB &quot;&quot;$&quot;#,###"/>
    <numFmt numFmtId="172" formatCode="0.00000"/>
    <numFmt numFmtId="173" formatCode="_(&quot;$&quot;* #,##0_);_(&quot;$&quot;* \(#,##0\);_(&quot;$&quot;* &quot;-&quot;??_);_(@_)"/>
    <numFmt numFmtId="174" formatCode="&quot;$&quot;#,##0;[Red]&quot;$&quot;#,##0"/>
    <numFmt numFmtId="175" formatCode="&quot;$&quot;#,###"/>
    <numFmt numFmtId="176" formatCode="0.0"/>
  </numFmts>
  <fonts count="30" x14ac:knownFonts="1">
    <font>
      <sz val="11"/>
      <color theme="1"/>
      <name val="Arial"/>
      <family val="2"/>
    </font>
    <font>
      <sz val="11"/>
      <color theme="1"/>
      <name val="Arial"/>
      <family val="2"/>
    </font>
    <font>
      <sz val="11"/>
      <color rgb="FFFF0000"/>
      <name val="Arial"/>
      <family val="2"/>
    </font>
    <font>
      <b/>
      <sz val="11"/>
      <color theme="1"/>
      <name val="Arial"/>
      <family val="2"/>
    </font>
    <font>
      <sz val="11"/>
      <color theme="0"/>
      <name val="Arial"/>
      <family val="2"/>
    </font>
    <font>
      <sz val="14"/>
      <color theme="0"/>
      <name val="Arial"/>
      <family val="2"/>
    </font>
    <font>
      <sz val="16"/>
      <color theme="0"/>
      <name val="Arial"/>
      <family val="2"/>
    </font>
    <font>
      <sz val="11"/>
      <name val="Arial"/>
      <family val="2"/>
    </font>
    <font>
      <i/>
      <sz val="11"/>
      <color theme="1"/>
      <name val="Arial"/>
      <family val="2"/>
    </font>
    <font>
      <sz val="11"/>
      <color theme="4"/>
      <name val="Arial"/>
      <family val="2"/>
    </font>
    <font>
      <sz val="11"/>
      <color theme="2" tint="-9.9978637043366805E-2"/>
      <name val="Arial"/>
      <family val="2"/>
    </font>
    <font>
      <sz val="11"/>
      <color theme="8" tint="0.79998168889431442"/>
      <name val="Arial"/>
      <family val="2"/>
    </font>
    <font>
      <b/>
      <i/>
      <sz val="11"/>
      <color theme="1"/>
      <name val="Arial"/>
      <family val="2"/>
    </font>
    <font>
      <b/>
      <u/>
      <sz val="11"/>
      <color theme="1"/>
      <name val="Arial"/>
      <family val="2"/>
    </font>
    <font>
      <sz val="10"/>
      <name val="Arial"/>
      <family val="2"/>
    </font>
    <font>
      <sz val="11"/>
      <color rgb="FF000000"/>
      <name val="Calibri"/>
      <family val="2"/>
    </font>
    <font>
      <b/>
      <sz val="8"/>
      <color theme="1"/>
      <name val="Arial"/>
      <family val="2"/>
    </font>
    <font>
      <b/>
      <sz val="10"/>
      <color theme="1"/>
      <name val="Arial"/>
      <family val="2"/>
    </font>
    <font>
      <sz val="10"/>
      <color theme="1"/>
      <name val="Arial"/>
      <family val="2"/>
    </font>
    <font>
      <sz val="11"/>
      <color theme="2"/>
      <name val="Arial"/>
      <family val="2"/>
    </font>
    <font>
      <b/>
      <i/>
      <sz val="11"/>
      <color theme="0"/>
      <name val="Arial"/>
      <family val="2"/>
    </font>
    <font>
      <sz val="11"/>
      <color theme="1"/>
      <name val="Century Gothic"/>
      <family val="2"/>
      <scheme val="minor"/>
    </font>
    <font>
      <sz val="9"/>
      <color indexed="81"/>
      <name val="Tahoma"/>
      <family val="2"/>
    </font>
    <font>
      <sz val="11"/>
      <color theme="0" tint="-4.9989318521683403E-2"/>
      <name val="Arial"/>
      <family val="2"/>
    </font>
    <font>
      <u/>
      <sz val="11"/>
      <color theme="10"/>
      <name val="Arial"/>
      <family val="2"/>
    </font>
    <font>
      <u/>
      <sz val="11"/>
      <name val="Arial"/>
      <family val="2"/>
    </font>
    <font>
      <b/>
      <sz val="9"/>
      <color indexed="81"/>
      <name val="Tahoma"/>
      <family val="2"/>
    </font>
    <font>
      <i/>
      <sz val="11"/>
      <color theme="1"/>
      <name val="Calibri"/>
      <family val="2"/>
    </font>
    <font>
      <u/>
      <sz val="11"/>
      <color theme="1"/>
      <name val="Arial"/>
      <family val="2"/>
    </font>
    <font>
      <sz val="11"/>
      <color rgb="FF000000"/>
      <name val="Arial"/>
      <family val="2"/>
    </font>
  </fonts>
  <fills count="14">
    <fill>
      <patternFill patternType="none"/>
    </fill>
    <fill>
      <patternFill patternType="gray125"/>
    </fill>
    <fill>
      <patternFill patternType="solid">
        <fgColor theme="9"/>
        <bgColor indexed="64"/>
      </patternFill>
    </fill>
    <fill>
      <patternFill patternType="solid">
        <fgColor theme="3"/>
        <bgColor indexed="64"/>
      </patternFill>
    </fill>
    <fill>
      <patternFill patternType="solid">
        <fgColor theme="2"/>
        <bgColor indexed="64"/>
      </patternFill>
    </fill>
    <fill>
      <patternFill patternType="solid">
        <fgColor theme="1"/>
        <bgColor indexed="64"/>
      </patternFill>
    </fill>
    <fill>
      <patternFill patternType="solid">
        <fgColor theme="4" tint="0.79998168889431442"/>
        <bgColor indexed="64"/>
      </patternFill>
    </fill>
    <fill>
      <patternFill patternType="solid">
        <fgColor theme="8"/>
        <bgColor indexed="64"/>
      </patternFill>
    </fill>
    <fill>
      <patternFill patternType="solid">
        <fgColor theme="4"/>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theme="0" tint="-4.9989318521683403E-2"/>
        <bgColor indexed="64"/>
      </patternFill>
    </fill>
    <fill>
      <patternFill patternType="solid">
        <fgColor rgb="FFFFFF00"/>
        <bgColor indexed="64"/>
      </patternFill>
    </fill>
  </fills>
  <borders count="35">
    <border>
      <left/>
      <right/>
      <top/>
      <bottom/>
      <diagonal/>
    </border>
    <border>
      <left/>
      <right/>
      <top/>
      <bottom style="medium">
        <color theme="8"/>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top style="thin">
        <color theme="8"/>
      </top>
      <bottom style="thin">
        <color theme="8"/>
      </bottom>
      <diagonal/>
    </border>
    <border>
      <left/>
      <right/>
      <top/>
      <bottom style="thin">
        <color theme="3"/>
      </bottom>
      <diagonal/>
    </border>
    <border>
      <left style="thin">
        <color theme="6"/>
      </left>
      <right/>
      <top/>
      <bottom/>
      <diagonal/>
    </border>
    <border>
      <left/>
      <right/>
      <top/>
      <bottom style="thin">
        <color auto="1"/>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left>
      <right/>
      <top/>
      <bottom/>
      <diagonal/>
    </border>
    <border>
      <left/>
      <right/>
      <top/>
      <bottom style="medium">
        <color indexed="64"/>
      </bottom>
      <diagonal/>
    </border>
    <border>
      <left/>
      <right/>
      <top style="medium">
        <color indexed="64"/>
      </top>
      <bottom style="thin">
        <color indexed="64"/>
      </bottom>
      <diagonal/>
    </border>
    <border>
      <left style="mediumDashed">
        <color theme="8"/>
      </left>
      <right/>
      <top style="mediumDashed">
        <color theme="8"/>
      </top>
      <bottom/>
      <diagonal/>
    </border>
    <border>
      <left/>
      <right/>
      <top style="mediumDashed">
        <color theme="8"/>
      </top>
      <bottom/>
      <diagonal/>
    </border>
    <border>
      <left/>
      <right style="mediumDashed">
        <color theme="8"/>
      </right>
      <top style="mediumDashed">
        <color theme="8"/>
      </top>
      <bottom/>
      <diagonal/>
    </border>
    <border>
      <left style="mediumDashed">
        <color theme="8"/>
      </left>
      <right/>
      <top/>
      <bottom/>
      <diagonal/>
    </border>
    <border>
      <left/>
      <right style="mediumDashed">
        <color theme="8"/>
      </right>
      <top/>
      <bottom/>
      <diagonal/>
    </border>
    <border>
      <left style="mediumDashed">
        <color theme="8"/>
      </left>
      <right/>
      <top/>
      <bottom style="mediumDashed">
        <color theme="8"/>
      </bottom>
      <diagonal/>
    </border>
    <border>
      <left/>
      <right/>
      <top/>
      <bottom style="mediumDashed">
        <color theme="8"/>
      </bottom>
      <diagonal/>
    </border>
    <border>
      <left/>
      <right style="mediumDashed">
        <color theme="8"/>
      </right>
      <top/>
      <bottom style="mediumDashed">
        <color theme="8"/>
      </bottom>
      <diagonal/>
    </border>
    <border>
      <left style="thin">
        <color theme="0"/>
      </left>
      <right/>
      <top style="thin">
        <color indexed="64"/>
      </top>
      <bottom/>
      <diagonal/>
    </border>
    <border>
      <left style="thin">
        <color auto="1"/>
      </left>
      <right style="thin">
        <color auto="1"/>
      </right>
      <top/>
      <bottom/>
      <diagonal/>
    </border>
    <border>
      <left style="thin">
        <color indexed="64"/>
      </left>
      <right style="thin">
        <color auto="1"/>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auto="1"/>
      </right>
      <top style="thin">
        <color indexed="64"/>
      </top>
      <bottom/>
      <diagonal/>
    </border>
    <border>
      <left/>
      <right style="thick">
        <color theme="3"/>
      </right>
      <top/>
      <bottom style="thick">
        <color theme="3"/>
      </bottom>
      <diagonal/>
    </border>
    <border>
      <left style="thick">
        <color theme="3"/>
      </left>
      <right style="thick">
        <color theme="3"/>
      </right>
      <top/>
      <bottom style="thick">
        <color theme="3"/>
      </bottom>
      <diagonal/>
    </border>
    <border>
      <left style="thick">
        <color theme="3"/>
      </left>
      <right/>
      <top style="medium">
        <color theme="8"/>
      </top>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1" fillId="0" borderId="0"/>
    <xf numFmtId="0" fontId="24" fillId="0" borderId="0" applyNumberFormat="0" applyFill="0" applyBorder="0" applyAlignment="0" applyProtection="0"/>
  </cellStyleXfs>
  <cellXfs count="507">
    <xf numFmtId="0" fontId="0" fillId="0" borderId="0" xfId="0"/>
    <xf numFmtId="0" fontId="0" fillId="3" borderId="0" xfId="0" applyFill="1"/>
    <xf numFmtId="0" fontId="4" fillId="3" borderId="0" xfId="0" applyFont="1" applyFill="1"/>
    <xf numFmtId="0" fontId="6" fillId="3" borderId="1" xfId="0" applyFont="1" applyFill="1" applyBorder="1" applyAlignment="1">
      <alignment horizontal="left" vertical="center" indent="1"/>
    </xf>
    <xf numFmtId="0" fontId="0" fillId="3" borderId="1" xfId="0" applyFill="1" applyBorder="1"/>
    <xf numFmtId="0" fontId="0" fillId="7" borderId="0" xfId="0" applyFill="1"/>
    <xf numFmtId="0" fontId="4" fillId="7" borderId="0" xfId="0" applyFont="1" applyFill="1"/>
    <xf numFmtId="0" fontId="0" fillId="4" borderId="0" xfId="0" applyFill="1"/>
    <xf numFmtId="0" fontId="0" fillId="0" borderId="3" xfId="0" applyBorder="1"/>
    <xf numFmtId="0" fontId="0" fillId="0" borderId="2" xfId="0" applyBorder="1"/>
    <xf numFmtId="0" fontId="0" fillId="0" borderId="0" xfId="0" applyAlignment="1">
      <alignment horizontal="center"/>
    </xf>
    <xf numFmtId="0" fontId="0" fillId="4" borderId="0" xfId="0" applyFill="1" applyAlignment="1">
      <alignment horizontal="center"/>
    </xf>
    <xf numFmtId="0" fontId="4" fillId="2" borderId="0" xfId="0" applyFont="1" applyFill="1"/>
    <xf numFmtId="0" fontId="4" fillId="8" borderId="0" xfId="0" applyFont="1" applyFill="1"/>
    <xf numFmtId="0" fontId="0" fillId="4" borderId="0" xfId="0" applyFill="1" applyAlignment="1">
      <alignment horizontal="centerContinuous"/>
    </xf>
    <xf numFmtId="0" fontId="0" fillId="0" borderId="0" xfId="0" applyAlignment="1">
      <alignment horizontal="left" indent="1"/>
    </xf>
    <xf numFmtId="0" fontId="4" fillId="7" borderId="0" xfId="0" applyFont="1" applyFill="1" applyAlignment="1">
      <alignment horizontal="left" indent="1"/>
    </xf>
    <xf numFmtId="0" fontId="4" fillId="2" borderId="0" xfId="0" applyFont="1" applyFill="1" applyAlignment="1">
      <alignment horizontal="left" indent="1"/>
    </xf>
    <xf numFmtId="0" fontId="4" fillId="8" borderId="0" xfId="0" applyFont="1" applyFill="1" applyAlignment="1">
      <alignment horizontal="left" indent="1"/>
    </xf>
    <xf numFmtId="0" fontId="0" fillId="4" borderId="0" xfId="0" applyFill="1" applyBorder="1" applyAlignment="1">
      <alignment horizontal="center"/>
    </xf>
    <xf numFmtId="0" fontId="0" fillId="4" borderId="0" xfId="0" applyFill="1" applyBorder="1"/>
    <xf numFmtId="0" fontId="4" fillId="0" borderId="0" xfId="0" applyFont="1"/>
    <xf numFmtId="0" fontId="7" fillId="4" borderId="0" xfId="0" applyFont="1" applyFill="1"/>
    <xf numFmtId="2" fontId="0" fillId="0" borderId="0" xfId="0" applyNumberFormat="1" applyAlignment="1">
      <alignment horizontal="center"/>
    </xf>
    <xf numFmtId="0" fontId="0" fillId="0" borderId="0" xfId="0" applyFont="1"/>
    <xf numFmtId="0" fontId="7" fillId="0" borderId="0" xfId="0" applyFont="1" applyAlignment="1">
      <alignment horizontal="center"/>
    </xf>
    <xf numFmtId="0" fontId="0" fillId="0" borderId="0" xfId="0" applyFont="1" applyFill="1"/>
    <xf numFmtId="0" fontId="0" fillId="0" borderId="0" xfId="0" applyFont="1" applyFill="1" applyBorder="1"/>
    <xf numFmtId="0" fontId="0" fillId="0" borderId="0" xfId="0" applyFont="1" applyBorder="1" applyAlignment="1">
      <alignment horizontal="right" indent="1"/>
    </xf>
    <xf numFmtId="165" fontId="0" fillId="0" borderId="0" xfId="0" applyNumberFormat="1" applyFont="1" applyAlignment="1">
      <alignment horizontal="center"/>
    </xf>
    <xf numFmtId="166" fontId="7" fillId="0" borderId="0" xfId="0" applyNumberFormat="1" applyFont="1" applyFill="1" applyBorder="1" applyAlignment="1">
      <alignment horizontal="center"/>
    </xf>
    <xf numFmtId="167" fontId="0" fillId="0" borderId="0" xfId="0" applyNumberFormat="1" applyFont="1" applyBorder="1" applyAlignment="1">
      <alignment horizontal="center"/>
    </xf>
    <xf numFmtId="167" fontId="0" fillId="0" borderId="0" xfId="0" applyNumberFormat="1" applyFont="1" applyBorder="1" applyAlignment="1">
      <alignment horizontal="centerContinuous"/>
    </xf>
    <xf numFmtId="1" fontId="0" fillId="0" borderId="0" xfId="0" applyNumberFormat="1" applyFont="1" applyBorder="1" applyAlignment="1">
      <alignment horizontal="center"/>
    </xf>
    <xf numFmtId="0" fontId="0" fillId="0" borderId="0" xfId="0" applyFont="1" applyBorder="1" applyAlignment="1">
      <alignment horizontal="center"/>
    </xf>
    <xf numFmtId="0" fontId="0" fillId="0" borderId="0" xfId="0" applyFont="1" applyBorder="1" applyAlignment="1">
      <alignment horizontal="left" indent="1"/>
    </xf>
    <xf numFmtId="0" fontId="0" fillId="0" borderId="0" xfId="0" applyFill="1"/>
    <xf numFmtId="2" fontId="7" fillId="0" borderId="0" xfId="0" applyNumberFormat="1" applyFont="1" applyFill="1" applyBorder="1" applyAlignment="1">
      <alignment horizontal="center"/>
    </xf>
    <xf numFmtId="165" fontId="7" fillId="0" borderId="0" xfId="0" applyNumberFormat="1" applyFont="1" applyFill="1" applyBorder="1" applyAlignment="1">
      <alignment horizontal="center"/>
    </xf>
    <xf numFmtId="0" fontId="0" fillId="0" borderId="0" xfId="0" applyFont="1" applyBorder="1" applyAlignment="1">
      <alignment horizontal="right"/>
    </xf>
    <xf numFmtId="0" fontId="3" fillId="0" borderId="0" xfId="0" applyFont="1" applyBorder="1"/>
    <xf numFmtId="0" fontId="0" fillId="0" borderId="0" xfId="0" applyFont="1" applyBorder="1" applyAlignment="1">
      <alignment horizontal="centerContinuous"/>
    </xf>
    <xf numFmtId="166" fontId="7" fillId="6" borderId="0" xfId="0" applyNumberFormat="1" applyFont="1" applyFill="1" applyBorder="1" applyAlignment="1">
      <alignment horizontal="center"/>
    </xf>
    <xf numFmtId="0" fontId="0" fillId="6" borderId="0" xfId="0" applyFont="1" applyFill="1"/>
    <xf numFmtId="167" fontId="7" fillId="0" borderId="0" xfId="3" applyNumberFormat="1" applyFont="1" applyFill="1" applyBorder="1" applyAlignment="1">
      <alignment horizontal="center"/>
    </xf>
    <xf numFmtId="9" fontId="7" fillId="0" borderId="0" xfId="3" applyFont="1" applyFill="1" applyBorder="1" applyAlignment="1">
      <alignment horizontal="center"/>
    </xf>
    <xf numFmtId="0" fontId="0" fillId="3" borderId="0" xfId="0" applyFill="1" applyBorder="1"/>
    <xf numFmtId="0" fontId="0" fillId="0" borderId="0" xfId="0" applyBorder="1"/>
    <xf numFmtId="0" fontId="0" fillId="0" borderId="0" xfId="0" applyFont="1" applyBorder="1"/>
    <xf numFmtId="0" fontId="0" fillId="0" borderId="0" xfId="0" applyFont="1" applyFill="1" applyBorder="1" applyAlignment="1">
      <alignment horizontal="center"/>
    </xf>
    <xf numFmtId="0" fontId="0" fillId="0" borderId="0" xfId="0" applyFont="1" applyFill="1" applyBorder="1" applyAlignment="1">
      <alignment horizontal="right"/>
    </xf>
    <xf numFmtId="1" fontId="7" fillId="0" borderId="0" xfId="0" applyNumberFormat="1" applyFont="1" applyBorder="1"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2" fontId="0" fillId="0" borderId="0" xfId="0" applyNumberFormat="1" applyFont="1" applyBorder="1" applyAlignment="1">
      <alignment horizontal="center"/>
    </xf>
    <xf numFmtId="0" fontId="8" fillId="0" borderId="0" xfId="0" applyNumberFormat="1" applyFont="1" applyBorder="1" applyAlignment="1">
      <alignment horizontal="center"/>
    </xf>
    <xf numFmtId="165" fontId="0" fillId="0" borderId="0" xfId="0" applyNumberFormat="1" applyFont="1" applyBorder="1" applyAlignment="1">
      <alignment horizontal="center"/>
    </xf>
    <xf numFmtId="0" fontId="0" fillId="0" borderId="0" xfId="0" quotePrefix="1" applyFont="1" applyBorder="1" applyAlignment="1">
      <alignment horizontal="center"/>
    </xf>
    <xf numFmtId="166" fontId="0" fillId="0" borderId="0" xfId="0" applyNumberFormat="1" applyFont="1" applyBorder="1" applyAlignment="1">
      <alignment horizontal="center"/>
    </xf>
    <xf numFmtId="166" fontId="7" fillId="0" borderId="0" xfId="0" applyNumberFormat="1" applyFont="1" applyBorder="1" applyAlignment="1">
      <alignment horizontal="center"/>
    </xf>
    <xf numFmtId="0" fontId="7" fillId="0" borderId="0" xfId="0" applyFont="1" applyBorder="1" applyAlignment="1">
      <alignment horizontal="center"/>
    </xf>
    <xf numFmtId="166" fontId="4" fillId="0" borderId="0" xfId="0" applyNumberFormat="1" applyFont="1" applyBorder="1" applyAlignment="1">
      <alignment horizontal="center"/>
    </xf>
    <xf numFmtId="10" fontId="0" fillId="0" borderId="0" xfId="3" applyNumberFormat="1" applyFont="1" applyBorder="1" applyAlignment="1">
      <alignment horizontal="center"/>
    </xf>
    <xf numFmtId="2" fontId="4" fillId="0" borderId="0" xfId="0" applyNumberFormat="1" applyFont="1" applyBorder="1" applyAlignment="1">
      <alignment horizontal="center"/>
    </xf>
    <xf numFmtId="0" fontId="0" fillId="0" borderId="0" xfId="0" applyFill="1" applyBorder="1"/>
    <xf numFmtId="2" fontId="7" fillId="0" borderId="0" xfId="0" applyNumberFormat="1" applyFont="1" applyBorder="1" applyAlignment="1">
      <alignment horizontal="center"/>
    </xf>
    <xf numFmtId="0" fontId="0" fillId="0" borderId="0" xfId="0" applyBorder="1" applyAlignment="1">
      <alignment horizontal="left" indent="1"/>
    </xf>
    <xf numFmtId="43" fontId="0" fillId="0" borderId="0" xfId="0" applyNumberFormat="1" applyBorder="1"/>
    <xf numFmtId="166" fontId="0" fillId="0" borderId="0" xfId="0" applyNumberFormat="1" applyFont="1" applyFill="1" applyBorder="1" applyAlignment="1">
      <alignment horizontal="center"/>
    </xf>
    <xf numFmtId="9" fontId="0" fillId="0" borderId="0" xfId="3" applyFont="1" applyBorder="1" applyAlignment="1">
      <alignment horizontal="center"/>
    </xf>
    <xf numFmtId="9" fontId="7" fillId="0" borderId="0" xfId="3" applyFont="1" applyBorder="1" applyAlignment="1">
      <alignment horizontal="center"/>
    </xf>
    <xf numFmtId="0" fontId="11" fillId="8" borderId="0" xfId="0" applyFont="1" applyFill="1" applyBorder="1" applyAlignment="1">
      <alignment horizontal="center"/>
    </xf>
    <xf numFmtId="0" fontId="11" fillId="8" borderId="0" xfId="0" applyFont="1" applyFill="1" applyAlignment="1">
      <alignment horizontal="center"/>
    </xf>
    <xf numFmtId="0" fontId="2" fillId="0" borderId="0" xfId="0" applyFont="1" applyBorder="1" applyAlignment="1">
      <alignment horizontal="center" shrinkToFit="1"/>
    </xf>
    <xf numFmtId="0" fontId="0" fillId="0" borderId="0" xfId="0" applyFont="1" applyBorder="1" applyAlignment="1">
      <alignment horizontal="center" shrinkToFit="1"/>
    </xf>
    <xf numFmtId="0" fontId="0" fillId="0" borderId="0" xfId="0" applyBorder="1" applyAlignment="1">
      <alignment horizontal="center"/>
    </xf>
    <xf numFmtId="0" fontId="13" fillId="0" borderId="0" xfId="0" applyFont="1" applyBorder="1"/>
    <xf numFmtId="0" fontId="7" fillId="0" borderId="0" xfId="0" applyFont="1" applyBorder="1" applyAlignment="1">
      <alignment horizontal="left" indent="1"/>
    </xf>
    <xf numFmtId="0" fontId="13" fillId="0" borderId="0" xfId="0" applyFont="1"/>
    <xf numFmtId="0" fontId="9" fillId="0" borderId="0" xfId="0" applyFont="1" applyBorder="1" applyAlignment="1">
      <alignment horizontal="center"/>
    </xf>
    <xf numFmtId="0" fontId="9" fillId="0" borderId="0" xfId="0" applyFont="1" applyBorder="1" applyAlignment="1">
      <alignment horizontal="center" shrinkToFit="1"/>
    </xf>
    <xf numFmtId="0" fontId="0" fillId="6" borderId="0" xfId="0" applyFont="1" applyFill="1" applyBorder="1" applyAlignment="1">
      <alignment horizontal="center"/>
    </xf>
    <xf numFmtId="0" fontId="8" fillId="6" borderId="0" xfId="0" applyNumberFormat="1" applyFont="1" applyFill="1" applyBorder="1" applyAlignment="1">
      <alignment horizontal="center"/>
    </xf>
    <xf numFmtId="0" fontId="0" fillId="6" borderId="0" xfId="0" applyNumberFormat="1" applyFont="1" applyFill="1" applyBorder="1" applyAlignment="1">
      <alignment horizontal="center"/>
    </xf>
    <xf numFmtId="0" fontId="10" fillId="6" borderId="0" xfId="0" applyNumberFormat="1" applyFont="1" applyFill="1" applyBorder="1" applyAlignment="1">
      <alignment horizontal="center"/>
    </xf>
    <xf numFmtId="167" fontId="10" fillId="6" borderId="0" xfId="0" applyNumberFormat="1" applyFont="1" applyFill="1" applyBorder="1" applyAlignment="1">
      <alignment horizontal="center"/>
    </xf>
    <xf numFmtId="0" fontId="0" fillId="6" borderId="0" xfId="0" applyFont="1" applyFill="1" applyBorder="1"/>
    <xf numFmtId="167" fontId="0" fillId="6" borderId="0" xfId="0" applyNumberFormat="1" applyFont="1" applyFill="1" applyBorder="1" applyAlignment="1">
      <alignment horizontal="center"/>
    </xf>
    <xf numFmtId="165" fontId="0" fillId="6" borderId="0" xfId="0" applyNumberFormat="1" applyFont="1" applyFill="1" applyBorder="1" applyAlignment="1">
      <alignment horizontal="center"/>
    </xf>
    <xf numFmtId="166" fontId="0" fillId="6" borderId="0" xfId="0" applyNumberFormat="1" applyFont="1" applyFill="1" applyBorder="1" applyAlignment="1">
      <alignment horizontal="center"/>
    </xf>
    <xf numFmtId="9" fontId="0" fillId="6" borderId="0" xfId="3" applyFont="1" applyFill="1" applyBorder="1" applyAlignment="1">
      <alignment horizontal="center"/>
    </xf>
    <xf numFmtId="0" fontId="0" fillId="4" borderId="0" xfId="0" applyFont="1" applyFill="1" applyBorder="1" applyAlignment="1">
      <alignment horizontal="left" indent="1"/>
    </xf>
    <xf numFmtId="0" fontId="4" fillId="3" borderId="7" xfId="0" applyFont="1" applyFill="1" applyBorder="1"/>
    <xf numFmtId="0" fontId="0" fillId="3" borderId="7" xfId="0" applyFont="1" applyFill="1" applyBorder="1" applyAlignment="1">
      <alignment horizontal="center"/>
    </xf>
    <xf numFmtId="0" fontId="14" fillId="0" borderId="0" xfId="0" applyFont="1" applyFill="1"/>
    <xf numFmtId="0" fontId="7" fillId="0" borderId="0" xfId="0" applyFont="1" applyFill="1"/>
    <xf numFmtId="165" fontId="7" fillId="0" borderId="0" xfId="0" applyNumberFormat="1" applyFont="1" applyAlignment="1">
      <alignment horizontal="right"/>
    </xf>
    <xf numFmtId="170" fontId="14" fillId="0" borderId="0" xfId="0" applyNumberFormat="1" applyFont="1" applyFill="1"/>
    <xf numFmtId="0" fontId="7" fillId="0" borderId="0" xfId="0" applyFont="1" applyFill="1" applyAlignment="1">
      <alignment horizontal="left"/>
    </xf>
    <xf numFmtId="170" fontId="7" fillId="0" borderId="0" xfId="0" applyNumberFormat="1" applyFont="1" applyFill="1"/>
    <xf numFmtId="9" fontId="0" fillId="0" borderId="0" xfId="3" applyFont="1" applyAlignment="1">
      <alignment horizontal="center"/>
    </xf>
    <xf numFmtId="165" fontId="0" fillId="0" borderId="0" xfId="0" applyNumberFormat="1" applyAlignment="1">
      <alignment horizontal="center"/>
    </xf>
    <xf numFmtId="165" fontId="0" fillId="0" borderId="0" xfId="2" applyNumberFormat="1" applyFont="1" applyAlignment="1">
      <alignment horizontal="center"/>
    </xf>
    <xf numFmtId="0" fontId="7" fillId="0" borderId="0" xfId="0" applyFont="1" applyFill="1" applyAlignment="1">
      <alignment vertical="center"/>
    </xf>
    <xf numFmtId="2" fontId="7" fillId="0" borderId="0" xfId="0" applyNumberFormat="1" applyFont="1" applyFill="1" applyAlignment="1">
      <alignment horizontal="center" vertical="center"/>
    </xf>
    <xf numFmtId="165" fontId="7" fillId="0" borderId="0" xfId="0" applyNumberFormat="1" applyFont="1" applyFill="1" applyAlignment="1">
      <alignment horizontal="center" vertical="center"/>
    </xf>
    <xf numFmtId="167" fontId="7" fillId="0" borderId="0" xfId="0" applyNumberFormat="1" applyFont="1" applyFill="1" applyAlignment="1">
      <alignment horizontal="center" vertical="center"/>
    </xf>
    <xf numFmtId="2" fontId="0" fillId="0" borderId="0" xfId="1" applyNumberFormat="1" applyFont="1" applyAlignment="1">
      <alignment horizontal="center"/>
    </xf>
    <xf numFmtId="165" fontId="7" fillId="0" borderId="0" xfId="2" applyNumberFormat="1" applyFont="1" applyFill="1" applyAlignment="1">
      <alignment horizontal="center" vertical="center"/>
    </xf>
    <xf numFmtId="1" fontId="14" fillId="0" borderId="0" xfId="0" applyNumberFormat="1" applyFont="1" applyFill="1"/>
    <xf numFmtId="0" fontId="14" fillId="0" borderId="0" xfId="0" applyFont="1" applyFill="1" applyAlignment="1">
      <alignment horizontal="right"/>
    </xf>
    <xf numFmtId="0" fontId="14" fillId="0" borderId="0" xfId="0" applyFont="1" applyFill="1" applyAlignment="1">
      <alignment horizontal="left"/>
    </xf>
    <xf numFmtId="165" fontId="7" fillId="0" borderId="0" xfId="0" applyNumberFormat="1" applyFont="1" applyFill="1" applyAlignment="1">
      <alignment horizontal="center"/>
    </xf>
    <xf numFmtId="2" fontId="0" fillId="0" borderId="0" xfId="0" applyNumberFormat="1" applyFill="1" applyBorder="1" applyAlignment="1">
      <alignment horizontal="center"/>
    </xf>
    <xf numFmtId="164" fontId="0" fillId="0" borderId="0" xfId="0" applyNumberFormat="1" applyFill="1" applyBorder="1" applyAlignment="1">
      <alignment horizontal="center"/>
    </xf>
    <xf numFmtId="172" fontId="0" fillId="0" borderId="0" xfId="0" applyNumberFormat="1" applyFill="1" applyBorder="1" applyAlignment="1">
      <alignment horizontal="center"/>
    </xf>
    <xf numFmtId="169" fontId="0" fillId="0" borderId="0" xfId="0" applyNumberFormat="1" applyFill="1"/>
    <xf numFmtId="0" fontId="0" fillId="0" borderId="8" xfId="0" applyFill="1" applyBorder="1"/>
    <xf numFmtId="165" fontId="0" fillId="0" borderId="0" xfId="0" applyNumberFormat="1"/>
    <xf numFmtId="0" fontId="0" fillId="0" borderId="0" xfId="0" applyFill="1" applyAlignment="1">
      <alignment horizontal="right"/>
    </xf>
    <xf numFmtId="0" fontId="0" fillId="0" borderId="0" xfId="0" applyNumberFormat="1" applyFill="1" applyAlignment="1">
      <alignment horizontal="right"/>
    </xf>
    <xf numFmtId="0" fontId="0" fillId="0" borderId="0" xfId="0" applyNumberFormat="1"/>
    <xf numFmtId="1" fontId="0" fillId="0" borderId="0" xfId="0" applyNumberFormat="1"/>
    <xf numFmtId="7" fontId="0" fillId="0" borderId="0" xfId="0" applyNumberFormat="1"/>
    <xf numFmtId="6" fontId="0" fillId="0" borderId="0" xfId="0" applyNumberFormat="1" applyBorder="1"/>
    <xf numFmtId="0" fontId="0" fillId="0" borderId="0" xfId="0" applyNumberFormat="1" applyBorder="1"/>
    <xf numFmtId="0" fontId="0" fillId="0" borderId="9" xfId="0" applyNumberFormat="1" applyBorder="1"/>
    <xf numFmtId="0" fontId="0" fillId="0" borderId="9" xfId="0" applyBorder="1" applyAlignment="1">
      <alignment horizontal="center"/>
    </xf>
    <xf numFmtId="0" fontId="2" fillId="0" borderId="0" xfId="0" applyFont="1"/>
    <xf numFmtId="174" fontId="18" fillId="0" borderId="0" xfId="0" applyNumberFormat="1" applyFont="1"/>
    <xf numFmtId="0" fontId="0" fillId="4" borderId="0" xfId="0" applyFill="1" applyBorder="1" applyAlignment="1">
      <alignment horizontal="right"/>
    </xf>
    <xf numFmtId="165" fontId="0" fillId="4" borderId="0" xfId="0" applyNumberFormat="1" applyFill="1" applyBorder="1"/>
    <xf numFmtId="165" fontId="0" fillId="4" borderId="0" xfId="0" applyNumberFormat="1" applyFill="1" applyBorder="1" applyAlignment="1">
      <alignment shrinkToFit="1"/>
    </xf>
    <xf numFmtId="0" fontId="4" fillId="4" borderId="0" xfId="0" applyFont="1" applyFill="1" applyBorder="1"/>
    <xf numFmtId="0" fontId="4" fillId="3" borderId="0" xfId="0" applyFont="1" applyFill="1" applyBorder="1"/>
    <xf numFmtId="0" fontId="4" fillId="3" borderId="0" xfId="0" applyFont="1" applyFill="1" applyBorder="1" applyAlignment="1">
      <alignment horizontal="right"/>
    </xf>
    <xf numFmtId="168" fontId="0" fillId="4" borderId="0" xfId="1" applyNumberFormat="1" applyFont="1" applyFill="1" applyBorder="1" applyAlignment="1">
      <alignment horizontal="right" shrinkToFit="1"/>
    </xf>
    <xf numFmtId="1" fontId="0" fillId="4" borderId="0" xfId="0" applyNumberFormat="1" applyFill="1" applyBorder="1"/>
    <xf numFmtId="0" fontId="4" fillId="7" borderId="0" xfId="0" applyFont="1" applyFill="1" applyBorder="1" applyAlignment="1">
      <alignment horizontal="right"/>
    </xf>
    <xf numFmtId="1" fontId="4" fillId="7" borderId="0" xfId="0" applyNumberFormat="1" applyFont="1" applyFill="1" applyBorder="1"/>
    <xf numFmtId="0" fontId="4" fillId="3" borderId="0" xfId="0" applyFont="1" applyFill="1" applyBorder="1" applyAlignment="1">
      <alignment horizontal="left"/>
    </xf>
    <xf numFmtId="0" fontId="0" fillId="9" borderId="6" xfId="0" applyFill="1" applyBorder="1" applyAlignment="1">
      <alignment horizontal="center"/>
    </xf>
    <xf numFmtId="0" fontId="0" fillId="9" borderId="6" xfId="0" applyNumberFormat="1" applyFill="1" applyBorder="1" applyAlignment="1">
      <alignment horizontal="center"/>
    </xf>
    <xf numFmtId="0" fontId="19" fillId="0" borderId="0" xfId="0" applyFont="1" applyBorder="1"/>
    <xf numFmtId="0" fontId="19" fillId="0" borderId="0" xfId="0" applyFont="1" applyFill="1" applyBorder="1"/>
    <xf numFmtId="0" fontId="0" fillId="4" borderId="0" xfId="0" applyNumberFormat="1" applyFill="1" applyBorder="1"/>
    <xf numFmtId="0" fontId="13" fillId="4" borderId="0" xfId="0" applyFont="1" applyFill="1" applyBorder="1"/>
    <xf numFmtId="165" fontId="0" fillId="4" borderId="0" xfId="0" applyNumberFormat="1" applyFill="1" applyBorder="1" applyAlignment="1">
      <alignment horizontal="center"/>
    </xf>
    <xf numFmtId="0" fontId="0" fillId="4" borderId="0" xfId="0" applyFill="1" applyBorder="1" applyAlignment="1">
      <alignment horizontal="left" indent="1"/>
    </xf>
    <xf numFmtId="165" fontId="0" fillId="4" borderId="0" xfId="0" applyNumberFormat="1" applyFill="1" applyBorder="1" applyAlignment="1">
      <alignment horizontal="right"/>
    </xf>
    <xf numFmtId="0" fontId="2" fillId="4" borderId="0" xfId="0" applyNumberFormat="1" applyFont="1" applyFill="1" applyBorder="1"/>
    <xf numFmtId="170" fontId="0" fillId="4" borderId="0" xfId="0" applyNumberFormat="1" applyFill="1" applyBorder="1" applyAlignment="1">
      <alignment horizontal="center"/>
    </xf>
    <xf numFmtId="170" fontId="0" fillId="4" borderId="0" xfId="0" applyNumberFormat="1" applyFill="1" applyBorder="1"/>
    <xf numFmtId="165" fontId="0" fillId="4" borderId="9" xfId="0" applyNumberFormat="1" applyFill="1" applyBorder="1" applyAlignment="1">
      <alignment horizontal="center"/>
    </xf>
    <xf numFmtId="0" fontId="0" fillId="4" borderId="9" xfId="0" applyFill="1" applyBorder="1" applyAlignment="1">
      <alignment horizontal="center"/>
    </xf>
    <xf numFmtId="0" fontId="0" fillId="4" borderId="0" xfId="0" applyFill="1" applyBorder="1" applyAlignment="1">
      <alignment horizontal="right" indent="2"/>
    </xf>
    <xf numFmtId="3" fontId="0" fillId="4" borderId="0" xfId="1" applyNumberFormat="1" applyFont="1" applyFill="1" applyBorder="1" applyAlignment="1">
      <alignment horizontal="right" indent="2"/>
    </xf>
    <xf numFmtId="3" fontId="0" fillId="4" borderId="0" xfId="1" applyNumberFormat="1" applyFont="1" applyFill="1" applyBorder="1" applyAlignment="1">
      <alignment horizontal="right" indent="2" shrinkToFit="1"/>
    </xf>
    <xf numFmtId="0" fontId="0" fillId="0" borderId="13" xfId="0" applyBorder="1"/>
    <xf numFmtId="6" fontId="0" fillId="0" borderId="13" xfId="0" applyNumberFormat="1" applyBorder="1"/>
    <xf numFmtId="0" fontId="0" fillId="0" borderId="4" xfId="0" applyBorder="1"/>
    <xf numFmtId="0" fontId="0" fillId="0" borderId="9" xfId="0" applyBorder="1"/>
    <xf numFmtId="173" fontId="0" fillId="0" borderId="9" xfId="0" applyNumberFormat="1" applyBorder="1" applyAlignment="1">
      <alignment shrinkToFit="1"/>
    </xf>
    <xf numFmtId="6" fontId="0" fillId="0" borderId="9" xfId="0" applyNumberFormat="1" applyBorder="1" applyAlignment="1">
      <alignment shrinkToFit="1"/>
    </xf>
    <xf numFmtId="6" fontId="0" fillId="0" borderId="14" xfId="0" applyNumberFormat="1" applyBorder="1"/>
    <xf numFmtId="173" fontId="0" fillId="0" borderId="11" xfId="0" applyNumberFormat="1" applyBorder="1" applyAlignment="1">
      <alignment shrinkToFit="1"/>
    </xf>
    <xf numFmtId="6" fontId="0" fillId="0" borderId="11" xfId="0" applyNumberFormat="1" applyBorder="1" applyAlignment="1">
      <alignment shrinkToFit="1"/>
    </xf>
    <xf numFmtId="6" fontId="0" fillId="0" borderId="15" xfId="0" applyNumberFormat="1" applyBorder="1"/>
    <xf numFmtId="173" fontId="0" fillId="0" borderId="12" xfId="0" applyNumberFormat="1" applyBorder="1" applyAlignment="1">
      <alignment shrinkToFit="1"/>
    </xf>
    <xf numFmtId="6" fontId="0" fillId="0" borderId="12" xfId="0" applyNumberFormat="1" applyBorder="1" applyAlignment="1">
      <alignment shrinkToFit="1"/>
    </xf>
    <xf numFmtId="0" fontId="0" fillId="0" borderId="13" xfId="0" applyBorder="1" applyAlignment="1">
      <alignment horizontal="left"/>
    </xf>
    <xf numFmtId="0" fontId="12" fillId="0" borderId="4" xfId="0" applyFont="1" applyBorder="1" applyAlignment="1">
      <alignment horizontal="left"/>
    </xf>
    <xf numFmtId="170" fontId="12" fillId="0" borderId="4" xfId="0" applyNumberFormat="1" applyFont="1" applyBorder="1"/>
    <xf numFmtId="0" fontId="0" fillId="0" borderId="9" xfId="0" applyBorder="1" applyAlignment="1">
      <alignment horizontal="left"/>
    </xf>
    <xf numFmtId="0" fontId="4" fillId="3" borderId="0" xfId="0" applyFont="1" applyFill="1" applyAlignment="1">
      <alignment horizontal="center"/>
    </xf>
    <xf numFmtId="0" fontId="5" fillId="3" borderId="0" xfId="0" applyFont="1" applyFill="1" applyAlignment="1">
      <alignment horizontal="center" vertical="center"/>
    </xf>
    <xf numFmtId="0" fontId="4" fillId="3" borderId="0" xfId="0" applyFont="1" applyFill="1" applyAlignment="1">
      <alignment horizontal="right"/>
    </xf>
    <xf numFmtId="2" fontId="7" fillId="3" borderId="1" xfId="0" applyNumberFormat="1" applyFont="1" applyFill="1" applyBorder="1" applyAlignment="1">
      <alignment horizontal="center"/>
    </xf>
    <xf numFmtId="0" fontId="12" fillId="4" borderId="3" xfId="0" applyFont="1" applyFill="1" applyBorder="1" applyAlignment="1">
      <alignment horizontal="center"/>
    </xf>
    <xf numFmtId="0" fontId="0" fillId="4" borderId="2" xfId="0" applyNumberFormat="1" applyFont="1" applyFill="1" applyBorder="1" applyAlignment="1">
      <alignment horizontal="right"/>
    </xf>
    <xf numFmtId="0" fontId="4" fillId="3" borderId="14" xfId="0" applyFont="1" applyFill="1" applyBorder="1"/>
    <xf numFmtId="0" fontId="4" fillId="3" borderId="13" xfId="0" applyFont="1" applyFill="1" applyBorder="1"/>
    <xf numFmtId="0" fontId="4" fillId="3" borderId="15" xfId="0" applyFont="1" applyFill="1" applyBorder="1"/>
    <xf numFmtId="0" fontId="4" fillId="3" borderId="5" xfId="0" applyFont="1" applyFill="1" applyBorder="1"/>
    <xf numFmtId="0" fontId="20" fillId="3" borderId="5" xfId="0" applyFont="1" applyFill="1" applyBorder="1" applyAlignment="1">
      <alignment horizontal="center"/>
    </xf>
    <xf numFmtId="0" fontId="4" fillId="3" borderId="5" xfId="0" applyFont="1" applyFill="1" applyBorder="1" applyAlignment="1">
      <alignment horizontal="center"/>
    </xf>
    <xf numFmtId="0" fontId="4" fillId="3" borderId="11" xfId="0" applyFont="1" applyFill="1" applyBorder="1" applyAlignment="1">
      <alignment horizontal="center"/>
    </xf>
    <xf numFmtId="0" fontId="4" fillId="3" borderId="5" xfId="0" applyFont="1" applyFill="1" applyBorder="1" applyAlignment="1">
      <alignment horizontal="left"/>
    </xf>
    <xf numFmtId="2" fontId="0" fillId="0" borderId="14" xfId="0" applyNumberFormat="1" applyFill="1" applyBorder="1" applyAlignment="1">
      <alignment horizontal="center"/>
    </xf>
    <xf numFmtId="2" fontId="0" fillId="0" borderId="13" xfId="0" applyNumberFormat="1" applyFill="1" applyBorder="1" applyAlignment="1">
      <alignment horizontal="center"/>
    </xf>
    <xf numFmtId="2" fontId="0" fillId="0" borderId="15" xfId="0" applyNumberFormat="1" applyFill="1" applyBorder="1" applyAlignment="1">
      <alignment horizontal="center"/>
    </xf>
    <xf numFmtId="2" fontId="0" fillId="0" borderId="5" xfId="0" applyNumberFormat="1" applyFill="1" applyBorder="1" applyAlignment="1">
      <alignment horizontal="center"/>
    </xf>
    <xf numFmtId="2" fontId="0" fillId="0" borderId="10" xfId="0" applyNumberFormat="1" applyFill="1" applyBorder="1" applyAlignment="1">
      <alignment horizontal="center"/>
    </xf>
    <xf numFmtId="2" fontId="0" fillId="0" borderId="11" xfId="0" applyNumberFormat="1" applyFill="1" applyBorder="1" applyAlignment="1">
      <alignment horizontal="center"/>
    </xf>
    <xf numFmtId="2" fontId="0" fillId="0" borderId="9" xfId="0" applyNumberFormat="1" applyFill="1" applyBorder="1" applyAlignment="1">
      <alignment horizontal="center"/>
    </xf>
    <xf numFmtId="164" fontId="0" fillId="0" borderId="9" xfId="0" applyNumberFormat="1" applyFill="1" applyBorder="1" applyAlignment="1">
      <alignment horizontal="center"/>
    </xf>
    <xf numFmtId="2" fontId="0" fillId="0" borderId="12" xfId="0" applyNumberFormat="1" applyFill="1" applyBorder="1" applyAlignment="1">
      <alignment horizontal="center"/>
    </xf>
    <xf numFmtId="0" fontId="17" fillId="0" borderId="13" xfId="0" applyFont="1" applyFill="1" applyBorder="1" applyAlignment="1">
      <alignment horizontal="center" vertical="center"/>
    </xf>
    <xf numFmtId="0" fontId="17" fillId="0" borderId="9" xfId="0" applyFont="1" applyFill="1" applyBorder="1" applyAlignment="1">
      <alignment horizontal="center" vertical="center"/>
    </xf>
    <xf numFmtId="0" fontId="0" fillId="0" borderId="13" xfId="0" applyBorder="1" applyAlignment="1">
      <alignment horizontal="center"/>
    </xf>
    <xf numFmtId="164" fontId="0" fillId="0" borderId="5" xfId="0" applyNumberFormat="1" applyFill="1" applyBorder="1" applyAlignment="1">
      <alignment horizontal="center"/>
    </xf>
    <xf numFmtId="172" fontId="0" fillId="0" borderId="10" xfId="0" applyNumberFormat="1" applyFill="1" applyBorder="1" applyAlignment="1">
      <alignment horizontal="center"/>
    </xf>
    <xf numFmtId="164" fontId="0" fillId="0" borderId="10" xfId="0" applyNumberFormat="1" applyFill="1" applyBorder="1" applyAlignment="1">
      <alignment horizontal="center"/>
    </xf>
    <xf numFmtId="164" fontId="0" fillId="0" borderId="11" xfId="0" applyNumberFormat="1" applyFill="1" applyBorder="1" applyAlignment="1">
      <alignment horizontal="center"/>
    </xf>
    <xf numFmtId="164" fontId="0" fillId="0" borderId="12" xfId="0" applyNumberFormat="1" applyFill="1" applyBorder="1" applyAlignment="1">
      <alignment horizontal="center"/>
    </xf>
    <xf numFmtId="0" fontId="0" fillId="10" borderId="4" xfId="0" applyNumberFormat="1" applyFill="1" applyBorder="1" applyAlignment="1">
      <alignment horizontal="center"/>
    </xf>
    <xf numFmtId="0" fontId="0" fillId="4" borderId="3" xfId="0" applyNumberFormat="1" applyFill="1" applyBorder="1" applyAlignment="1">
      <alignment horizontal="center"/>
    </xf>
    <xf numFmtId="0" fontId="0" fillId="4" borderId="4" xfId="0" applyNumberFormat="1" applyFill="1" applyBorder="1" applyAlignment="1">
      <alignment horizontal="center"/>
    </xf>
    <xf numFmtId="0" fontId="0" fillId="4" borderId="2" xfId="0" applyNumberFormat="1" applyFill="1" applyBorder="1" applyAlignment="1">
      <alignment horizontal="center"/>
    </xf>
    <xf numFmtId="2" fontId="7" fillId="4" borderId="0" xfId="0" applyNumberFormat="1" applyFont="1" applyFill="1" applyBorder="1" applyAlignment="1">
      <alignment horizontal="center"/>
    </xf>
    <xf numFmtId="165" fontId="0" fillId="0" borderId="5" xfId="0" applyNumberFormat="1" applyFont="1" applyFill="1" applyBorder="1" applyAlignment="1">
      <alignment horizontal="center"/>
    </xf>
    <xf numFmtId="0" fontId="0" fillId="0" borderId="10" xfId="0" applyNumberFormat="1" applyFont="1" applyFill="1" applyBorder="1" applyAlignment="1">
      <alignment horizontal="center"/>
    </xf>
    <xf numFmtId="165" fontId="0" fillId="0" borderId="5" xfId="0" applyNumberFormat="1" applyFont="1" applyFill="1" applyBorder="1" applyAlignment="1">
      <alignment horizontal="center" shrinkToFit="1"/>
    </xf>
    <xf numFmtId="165" fontId="18" fillId="0" borderId="5" xfId="0" applyNumberFormat="1" applyFont="1" applyFill="1" applyBorder="1" applyAlignment="1">
      <alignment horizontal="center" shrinkToFit="1"/>
    </xf>
    <xf numFmtId="165" fontId="0" fillId="0" borderId="11" xfId="0" applyNumberFormat="1" applyFont="1" applyFill="1" applyBorder="1" applyAlignment="1">
      <alignment horizontal="center" shrinkToFit="1"/>
    </xf>
    <xf numFmtId="0" fontId="3" fillId="0" borderId="14" xfId="0" applyFont="1" applyFill="1" applyBorder="1" applyAlignment="1">
      <alignment horizontal="center"/>
    </xf>
    <xf numFmtId="0" fontId="3" fillId="0" borderId="15" xfId="0" applyFont="1" applyFill="1" applyBorder="1" applyAlignment="1">
      <alignment horizontal="center"/>
    </xf>
    <xf numFmtId="2" fontId="0" fillId="0" borderId="10" xfId="0" applyNumberFormat="1" applyFont="1" applyFill="1" applyBorder="1" applyAlignment="1">
      <alignment horizontal="center" shrinkToFit="1"/>
    </xf>
    <xf numFmtId="2" fontId="0" fillId="0" borderId="12" xfId="0" applyNumberFormat="1" applyFont="1" applyFill="1" applyBorder="1" applyAlignment="1">
      <alignment horizontal="center" shrinkToFit="1"/>
    </xf>
    <xf numFmtId="0" fontId="18" fillId="4" borderId="3" xfId="2" applyNumberFormat="1" applyFont="1" applyFill="1" applyBorder="1" applyAlignment="1">
      <alignment horizontal="right"/>
    </xf>
    <xf numFmtId="171" fontId="17" fillId="0" borderId="14" xfId="0" applyNumberFormat="1" applyFont="1" applyFill="1" applyBorder="1" applyAlignment="1">
      <alignment horizontal="center"/>
    </xf>
    <xf numFmtId="171" fontId="17" fillId="0" borderId="15" xfId="0" applyNumberFormat="1" applyFont="1" applyFill="1" applyBorder="1" applyAlignment="1">
      <alignment horizontal="center"/>
    </xf>
    <xf numFmtId="0" fontId="0" fillId="0" borderId="5" xfId="0" applyNumberFormat="1" applyFont="1" applyFill="1" applyBorder="1" applyAlignment="1">
      <alignment horizontal="center"/>
    </xf>
    <xf numFmtId="165" fontId="0" fillId="0" borderId="5" xfId="1" applyNumberFormat="1" applyFont="1" applyFill="1" applyBorder="1" applyAlignment="1">
      <alignment horizontal="center" shrinkToFit="1"/>
    </xf>
    <xf numFmtId="165" fontId="0" fillId="0" borderId="11" xfId="1" applyNumberFormat="1" applyFont="1" applyFill="1" applyBorder="1" applyAlignment="1">
      <alignment horizontal="center" shrinkToFit="1"/>
    </xf>
    <xf numFmtId="0" fontId="0" fillId="4" borderId="3" xfId="0" applyNumberFormat="1" applyFont="1" applyFill="1" applyBorder="1" applyAlignment="1">
      <alignment horizontal="right"/>
    </xf>
    <xf numFmtId="9" fontId="0" fillId="9" borderId="6" xfId="3" applyFont="1" applyFill="1" applyBorder="1" applyAlignment="1">
      <alignment horizontal="center"/>
    </xf>
    <xf numFmtId="0" fontId="4" fillId="3" borderId="0" xfId="0" applyFont="1" applyFill="1" applyAlignment="1">
      <alignment horizontal="left" indent="1"/>
    </xf>
    <xf numFmtId="0" fontId="0" fillId="0" borderId="0" xfId="0" applyFont="1" applyFill="1" applyBorder="1" applyAlignment="1">
      <alignment horizontal="center"/>
    </xf>
    <xf numFmtId="0" fontId="7" fillId="0" borderId="0" xfId="0" applyFont="1" applyAlignment="1">
      <alignment horizontal="center" shrinkToFit="1"/>
    </xf>
    <xf numFmtId="0" fontId="0" fillId="4" borderId="0" xfId="0" applyFill="1" applyBorder="1" applyAlignment="1">
      <alignment horizontal="left"/>
    </xf>
    <xf numFmtId="165" fontId="7" fillId="4" borderId="0" xfId="0" applyNumberFormat="1" applyFont="1" applyFill="1" applyAlignment="1">
      <alignment horizontal="center"/>
    </xf>
    <xf numFmtId="9" fontId="7" fillId="4" borderId="0" xfId="3" applyFont="1" applyFill="1" applyAlignment="1">
      <alignment horizontal="center"/>
    </xf>
    <xf numFmtId="0" fontId="0" fillId="4" borderId="0" xfId="0" applyFont="1" applyFill="1"/>
    <xf numFmtId="2" fontId="0" fillId="0" borderId="0" xfId="0" applyNumberFormat="1"/>
    <xf numFmtId="166" fontId="0" fillId="0" borderId="0" xfId="0" applyNumberFormat="1" applyAlignment="1">
      <alignment horizontal="center"/>
    </xf>
    <xf numFmtId="0" fontId="0" fillId="11" borderId="0" xfId="0" applyFill="1"/>
    <xf numFmtId="0" fontId="0" fillId="12" borderId="0" xfId="0" applyFill="1"/>
    <xf numFmtId="0" fontId="0" fillId="12" borderId="5" xfId="0" applyFill="1" applyBorder="1"/>
    <xf numFmtId="0" fontId="0" fillId="12" borderId="0" xfId="0" applyFill="1" applyBorder="1"/>
    <xf numFmtId="0" fontId="4" fillId="11" borderId="0" xfId="0" applyFont="1" applyFill="1" applyAlignment="1">
      <alignment horizontal="left" indent="1"/>
    </xf>
    <xf numFmtId="0" fontId="4" fillId="11" borderId="0" xfId="0" applyFont="1" applyFill="1" applyAlignment="1"/>
    <xf numFmtId="0" fontId="0" fillId="4" borderId="0" xfId="0" applyFont="1" applyFill="1" applyBorder="1" applyAlignment="1">
      <alignment horizontal="center"/>
    </xf>
    <xf numFmtId="1" fontId="7" fillId="0" borderId="0" xfId="0" applyNumberFormat="1" applyFont="1" applyFill="1" applyBorder="1" applyAlignment="1">
      <alignment horizontal="center"/>
    </xf>
    <xf numFmtId="9" fontId="0" fillId="0" borderId="0" xfId="3" applyFont="1" applyFill="1" applyBorder="1" applyAlignment="1">
      <alignment horizontal="center"/>
    </xf>
    <xf numFmtId="9" fontId="0" fillId="0" borderId="0" xfId="0" applyNumberFormat="1" applyFont="1" applyFill="1" applyBorder="1" applyAlignment="1">
      <alignment horizontal="center"/>
    </xf>
    <xf numFmtId="0" fontId="0" fillId="0" borderId="0" xfId="0" applyFont="1" applyFill="1" applyBorder="1" applyAlignment="1">
      <alignment horizontal="left"/>
    </xf>
    <xf numFmtId="0" fontId="7" fillId="0" borderId="0" xfId="0" applyFont="1" applyFill="1" applyBorder="1" applyAlignment="1">
      <alignment horizontal="left"/>
    </xf>
    <xf numFmtId="0" fontId="7" fillId="0" borderId="0" xfId="0" applyNumberFormat="1" applyFont="1" applyFill="1" applyBorder="1" applyAlignment="1">
      <alignment horizontal="center"/>
    </xf>
    <xf numFmtId="0" fontId="0" fillId="0" borderId="0" xfId="3" applyNumberFormat="1" applyFont="1" applyFill="1" applyBorder="1" applyAlignment="1">
      <alignment horizontal="center"/>
    </xf>
    <xf numFmtId="0" fontId="0" fillId="3" borderId="0" xfId="0" applyFont="1" applyFill="1"/>
    <xf numFmtId="0" fontId="0" fillId="0" borderId="11" xfId="0" applyBorder="1" applyAlignment="1">
      <alignment horizontal="center"/>
    </xf>
    <xf numFmtId="0" fontId="0" fillId="0" borderId="9" xfId="0" applyBorder="1" applyAlignment="1">
      <alignment horizontal="center"/>
    </xf>
    <xf numFmtId="164" fontId="0" fillId="0" borderId="0" xfId="0" applyNumberFormat="1"/>
    <xf numFmtId="0" fontId="0" fillId="0" borderId="0" xfId="0" applyAlignment="1">
      <alignment horizontal="right"/>
    </xf>
    <xf numFmtId="165" fontId="0" fillId="9" borderId="6" xfId="0" applyNumberFormat="1" applyFill="1" applyBorder="1" applyAlignment="1">
      <alignment horizontal="center"/>
    </xf>
    <xf numFmtId="0" fontId="7" fillId="4" borderId="0" xfId="0" applyFont="1" applyFill="1" applyAlignment="1">
      <alignment horizontal="center"/>
    </xf>
    <xf numFmtId="166" fontId="4" fillId="2" borderId="0" xfId="0" applyNumberFormat="1" applyFont="1" applyFill="1" applyAlignment="1">
      <alignment horizontal="center"/>
    </xf>
    <xf numFmtId="165" fontId="4" fillId="2" borderId="0" xfId="0" applyNumberFormat="1" applyFont="1" applyFill="1" applyAlignment="1">
      <alignment horizontal="center"/>
    </xf>
    <xf numFmtId="166" fontId="0" fillId="9" borderId="6" xfId="0" applyNumberFormat="1" applyFill="1" applyBorder="1" applyAlignment="1">
      <alignment horizontal="center"/>
    </xf>
    <xf numFmtId="167" fontId="0" fillId="9" borderId="6" xfId="0" applyNumberFormat="1" applyFill="1" applyBorder="1" applyAlignment="1">
      <alignment horizontal="center"/>
    </xf>
    <xf numFmtId="166" fontId="4" fillId="8" borderId="0" xfId="0" applyNumberFormat="1" applyFont="1" applyFill="1" applyAlignment="1">
      <alignment horizontal="center"/>
    </xf>
    <xf numFmtId="165" fontId="4" fillId="8" borderId="0" xfId="0" applyNumberFormat="1" applyFont="1" applyFill="1" applyAlignment="1">
      <alignment horizontal="center"/>
    </xf>
    <xf numFmtId="2" fontId="0" fillId="0" borderId="0" xfId="3" applyNumberFormat="1" applyFont="1" applyAlignment="1">
      <alignment horizontal="center"/>
    </xf>
    <xf numFmtId="0" fontId="23" fillId="2" borderId="0" xfId="0" applyFont="1" applyFill="1" applyAlignment="1">
      <alignment horizontal="center"/>
    </xf>
    <xf numFmtId="0" fontId="23" fillId="8" borderId="0" xfId="0" applyFont="1" applyFill="1" applyAlignment="1">
      <alignment horizontal="center"/>
    </xf>
    <xf numFmtId="175" fontId="0" fillId="0" borderId="0" xfId="0" applyNumberFormat="1" applyAlignment="1">
      <alignment horizontal="center"/>
    </xf>
    <xf numFmtId="0" fontId="0" fillId="0" borderId="5" xfId="0" applyFill="1" applyBorder="1"/>
    <xf numFmtId="0" fontId="0" fillId="0" borderId="10" xfId="0" applyFill="1" applyBorder="1"/>
    <xf numFmtId="0" fontId="0" fillId="4" borderId="3" xfId="0" applyFill="1" applyBorder="1"/>
    <xf numFmtId="0" fontId="0" fillId="4" borderId="2" xfId="0" applyFill="1" applyBorder="1"/>
    <xf numFmtId="0" fontId="3" fillId="0" borderId="11" xfId="0" applyFont="1" applyFill="1" applyBorder="1" applyAlignment="1">
      <alignment horizontal="center"/>
    </xf>
    <xf numFmtId="0" fontId="3" fillId="0" borderId="12" xfId="0" applyFont="1" applyFill="1" applyBorder="1" applyAlignment="1">
      <alignment horizontal="center"/>
    </xf>
    <xf numFmtId="0" fontId="0" fillId="5" borderId="0" xfId="0" applyFont="1" applyFill="1" applyBorder="1"/>
    <xf numFmtId="0" fontId="4" fillId="5" borderId="0" xfId="0" applyFont="1" applyFill="1"/>
    <xf numFmtId="0" fontId="0" fillId="4" borderId="0" xfId="0" applyFont="1" applyFill="1" applyAlignment="1">
      <alignment horizontal="center"/>
    </xf>
    <xf numFmtId="0" fontId="4" fillId="5" borderId="0" xfId="0" applyFont="1" applyFill="1" applyBorder="1" applyAlignment="1">
      <alignment horizontal="right"/>
    </xf>
    <xf numFmtId="0" fontId="0" fillId="4" borderId="5" xfId="0" applyFont="1" applyFill="1" applyBorder="1" applyAlignment="1">
      <alignment horizontal="center"/>
    </xf>
    <xf numFmtId="2" fontId="0" fillId="0" borderId="0" xfId="0" applyNumberFormat="1" applyFont="1" applyAlignment="1">
      <alignment horizontal="center"/>
    </xf>
    <xf numFmtId="165" fontId="0" fillId="0" borderId="5" xfId="0" applyNumberFormat="1" applyFont="1" applyBorder="1" applyAlignment="1">
      <alignment horizontal="center"/>
    </xf>
    <xf numFmtId="0" fontId="4" fillId="5" borderId="16" xfId="0" applyFont="1" applyFill="1" applyBorder="1"/>
    <xf numFmtId="2" fontId="0" fillId="0" borderId="5" xfId="0" applyNumberFormat="1" applyFont="1" applyBorder="1" applyAlignment="1">
      <alignment horizontal="center"/>
    </xf>
    <xf numFmtId="0" fontId="0" fillId="0" borderId="9" xfId="0" applyFont="1" applyBorder="1" applyAlignment="1">
      <alignment horizontal="center"/>
    </xf>
    <xf numFmtId="0" fontId="0" fillId="0" borderId="11" xfId="0" applyFont="1" applyBorder="1" applyAlignment="1">
      <alignment horizontal="center"/>
    </xf>
    <xf numFmtId="165" fontId="0" fillId="0" borderId="0" xfId="0" applyNumberFormat="1" applyBorder="1" applyAlignment="1">
      <alignment horizontal="center"/>
    </xf>
    <xf numFmtId="2" fontId="0" fillId="0" borderId="5" xfId="0" applyNumberFormat="1" applyBorder="1" applyAlignment="1">
      <alignment horizontal="center"/>
    </xf>
    <xf numFmtId="165" fontId="18" fillId="0" borderId="0" xfId="0" applyNumberFormat="1" applyFont="1"/>
    <xf numFmtId="0" fontId="4" fillId="0" borderId="0" xfId="0" applyFont="1" applyFill="1"/>
    <xf numFmtId="0" fontId="10" fillId="0" borderId="0" xfId="0" applyFont="1"/>
    <xf numFmtId="2" fontId="0" fillId="0" borderId="10" xfId="1" applyNumberFormat="1" applyFont="1" applyFill="1" applyBorder="1" applyAlignment="1">
      <alignment horizontal="center" shrinkToFit="1"/>
    </xf>
    <xf numFmtId="2" fontId="0" fillId="0" borderId="12" xfId="1" applyNumberFormat="1" applyFont="1" applyFill="1" applyBorder="1" applyAlignment="1">
      <alignment horizontal="center" shrinkToFit="1"/>
    </xf>
    <xf numFmtId="0" fontId="0" fillId="0" borderId="0" xfId="0" applyFill="1" applyBorder="1" applyAlignment="1"/>
    <xf numFmtId="0" fontId="0" fillId="0" borderId="17" xfId="0" applyFill="1" applyBorder="1" applyAlignment="1"/>
    <xf numFmtId="0" fontId="8" fillId="0" borderId="18" xfId="0" applyFont="1" applyFill="1" applyBorder="1" applyAlignment="1">
      <alignment horizontal="center"/>
    </xf>
    <xf numFmtId="0" fontId="8" fillId="0" borderId="18" xfId="0" applyFont="1" applyFill="1" applyBorder="1" applyAlignment="1">
      <alignment horizontal="centerContinuous"/>
    </xf>
    <xf numFmtId="0" fontId="4" fillId="7" borderId="0" xfId="0" applyFont="1" applyFill="1" applyAlignment="1">
      <alignment horizontal="right" indent="1"/>
    </xf>
    <xf numFmtId="0" fontId="4" fillId="3" borderId="19" xfId="0" applyFont="1" applyFill="1" applyBorder="1"/>
    <xf numFmtId="0" fontId="4" fillId="3" borderId="20" xfId="0" applyFont="1" applyFill="1" applyBorder="1" applyAlignment="1">
      <alignment horizontal="center"/>
    </xf>
    <xf numFmtId="0" fontId="4" fillId="3" borderId="21" xfId="0" applyFont="1" applyFill="1" applyBorder="1" applyAlignment="1">
      <alignment horizontal="center"/>
    </xf>
    <xf numFmtId="0" fontId="0" fillId="4" borderId="22" xfId="0" applyFill="1" applyBorder="1" applyAlignment="1">
      <alignment horizontal="left" indent="1"/>
    </xf>
    <xf numFmtId="0" fontId="0" fillId="4" borderId="23" xfId="0" applyFill="1" applyBorder="1"/>
    <xf numFmtId="165" fontId="0" fillId="4" borderId="23" xfId="0" applyNumberFormat="1" applyFill="1" applyBorder="1" applyAlignment="1">
      <alignment horizontal="center"/>
    </xf>
    <xf numFmtId="0" fontId="0" fillId="4" borderId="24" xfId="0" applyFill="1" applyBorder="1" applyAlignment="1">
      <alignment horizontal="left" indent="1"/>
    </xf>
    <xf numFmtId="165" fontId="0" fillId="4" borderId="25" xfId="0" applyNumberFormat="1" applyFill="1" applyBorder="1" applyAlignment="1">
      <alignment horizontal="center"/>
    </xf>
    <xf numFmtId="0" fontId="0" fillId="4" borderId="26" xfId="0" applyFill="1" applyBorder="1"/>
    <xf numFmtId="0" fontId="25" fillId="4" borderId="0" xfId="0" applyFont="1" applyFill="1" applyBorder="1" applyAlignment="1">
      <alignment horizontal="center"/>
    </xf>
    <xf numFmtId="0" fontId="0" fillId="4" borderId="22" xfId="0" applyFill="1" applyBorder="1"/>
    <xf numFmtId="0" fontId="25" fillId="4" borderId="23" xfId="0" applyFont="1" applyFill="1" applyBorder="1" applyAlignment="1">
      <alignment horizontal="center"/>
    </xf>
    <xf numFmtId="2" fontId="0" fillId="0" borderId="0" xfId="0" applyNumberFormat="1" applyBorder="1" applyAlignment="1">
      <alignment horizontal="center"/>
    </xf>
    <xf numFmtId="166" fontId="0" fillId="0" borderId="0" xfId="0" applyNumberFormat="1" applyAlignment="1">
      <alignment horizontal="center" wrapText="1"/>
    </xf>
    <xf numFmtId="166" fontId="0" fillId="4" borderId="25" xfId="0" applyNumberFormat="1" applyFill="1" applyBorder="1" applyAlignment="1">
      <alignment horizontal="center"/>
    </xf>
    <xf numFmtId="166" fontId="0" fillId="0" borderId="0" xfId="0" applyNumberFormat="1"/>
    <xf numFmtId="166" fontId="0" fillId="4" borderId="0" xfId="0" applyNumberFormat="1" applyFill="1" applyBorder="1" applyAlignment="1">
      <alignment horizontal="center"/>
    </xf>
    <xf numFmtId="1" fontId="0" fillId="13" borderId="0" xfId="0" applyNumberFormat="1" applyFont="1" applyFill="1" applyBorder="1" applyAlignment="1">
      <alignment horizontal="center"/>
    </xf>
    <xf numFmtId="172" fontId="0" fillId="0" borderId="0" xfId="0" applyNumberFormat="1"/>
    <xf numFmtId="0" fontId="0" fillId="0" borderId="0" xfId="0" applyBorder="1" applyAlignment="1">
      <alignment horizontal="center"/>
    </xf>
    <xf numFmtId="0" fontId="0" fillId="0" borderId="10" xfId="0" applyBorder="1" applyAlignment="1">
      <alignment horizontal="center"/>
    </xf>
    <xf numFmtId="0" fontId="0" fillId="0" borderId="5" xfId="0" applyBorder="1" applyAlignment="1">
      <alignment horizontal="center"/>
    </xf>
    <xf numFmtId="0" fontId="0" fillId="0" borderId="5" xfId="0" applyFill="1" applyBorder="1" applyAlignment="1">
      <alignment horizontal="center"/>
    </xf>
    <xf numFmtId="0" fontId="0" fillId="4" borderId="0" xfId="0" applyFill="1" applyAlignment="1">
      <alignment horizontal="center"/>
    </xf>
    <xf numFmtId="1" fontId="0" fillId="0" borderId="0" xfId="0" applyNumberFormat="1" applyBorder="1" applyAlignment="1">
      <alignment horizontal="center"/>
    </xf>
    <xf numFmtId="0" fontId="0" fillId="0" borderId="0" xfId="0" applyFill="1" applyBorder="1" applyAlignment="1">
      <alignment horizontal="center"/>
    </xf>
    <xf numFmtId="0" fontId="0" fillId="4" borderId="5" xfId="0" applyFill="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0" borderId="0" xfId="0" applyFont="1" applyFill="1" applyBorder="1" applyAlignment="1">
      <alignment horizontal="center"/>
    </xf>
    <xf numFmtId="0" fontId="0" fillId="4" borderId="0" xfId="0" applyFill="1" applyAlignment="1">
      <alignment horizontal="center"/>
    </xf>
    <xf numFmtId="0" fontId="0" fillId="0" borderId="0" xfId="0" applyAlignment="1">
      <alignment horizontal="left" indent="2"/>
    </xf>
    <xf numFmtId="166" fontId="0" fillId="0" borderId="0" xfId="3" applyNumberFormat="1" applyFont="1" applyAlignment="1">
      <alignment horizontal="center"/>
    </xf>
    <xf numFmtId="166" fontId="0" fillId="9" borderId="6" xfId="3" applyNumberFormat="1" applyFont="1" applyFill="1" applyBorder="1" applyAlignment="1">
      <alignment horizontal="center"/>
    </xf>
    <xf numFmtId="0" fontId="3" fillId="4" borderId="0" xfId="0" applyFont="1" applyFill="1" applyAlignment="1">
      <alignment horizontal="center"/>
    </xf>
    <xf numFmtId="0" fontId="0" fillId="4" borderId="10" xfId="0" applyFill="1" applyBorder="1" applyAlignment="1">
      <alignment horizontal="center"/>
    </xf>
    <xf numFmtId="164" fontId="0" fillId="0" borderId="5" xfId="0" applyNumberFormat="1" applyBorder="1" applyAlignment="1">
      <alignment horizontal="center"/>
    </xf>
    <xf numFmtId="0" fontId="7" fillId="4" borderId="5" xfId="0" applyFont="1" applyFill="1" applyBorder="1" applyAlignment="1">
      <alignment horizontal="center"/>
    </xf>
    <xf numFmtId="164" fontId="0" fillId="0" borderId="0" xfId="0" applyNumberFormat="1" applyAlignment="1"/>
    <xf numFmtId="164" fontId="19" fillId="0" borderId="10" xfId="0" applyNumberFormat="1" applyFont="1" applyBorder="1" applyAlignment="1">
      <alignment horizontal="center"/>
    </xf>
    <xf numFmtId="0" fontId="0" fillId="0" borderId="5" xfId="0" applyBorder="1"/>
    <xf numFmtId="164" fontId="7" fillId="0" borderId="5" xfId="0" applyNumberFormat="1" applyFont="1" applyFill="1" applyBorder="1" applyAlignment="1">
      <alignment horizontal="center"/>
    </xf>
    <xf numFmtId="0" fontId="4" fillId="3" borderId="0" xfId="0" applyFont="1" applyFill="1" applyBorder="1" applyAlignment="1">
      <alignment horizontal="center"/>
    </xf>
    <xf numFmtId="0" fontId="4" fillId="3" borderId="16" xfId="0" applyFont="1" applyFill="1" applyBorder="1" applyAlignment="1">
      <alignment horizontal="center"/>
    </xf>
    <xf numFmtId="0" fontId="4" fillId="3" borderId="0" xfId="0" applyNumberFormat="1" applyFont="1" applyFill="1" applyBorder="1" applyAlignment="1">
      <alignment horizontal="center"/>
    </xf>
    <xf numFmtId="0" fontId="4" fillId="3" borderId="0" xfId="0" applyFont="1" applyFill="1" applyBorder="1" applyAlignment="1">
      <alignment horizontal="center" shrinkToFit="1"/>
    </xf>
    <xf numFmtId="164" fontId="7" fillId="0" borderId="5" xfId="0" applyNumberFormat="1" applyFont="1" applyBorder="1" applyAlignment="1">
      <alignment horizontal="center"/>
    </xf>
    <xf numFmtId="166" fontId="0" fillId="0" borderId="0" xfId="0" applyNumberFormat="1" applyBorder="1" applyAlignment="1">
      <alignment horizontal="center" wrapText="1"/>
    </xf>
    <xf numFmtId="166" fontId="0" fillId="0" borderId="0" xfId="0" applyNumberFormat="1" applyBorder="1" applyAlignment="1">
      <alignment horizontal="center"/>
    </xf>
    <xf numFmtId="172" fontId="0" fillId="0" borderId="0" xfId="0" applyNumberFormat="1" applyBorder="1" applyAlignment="1">
      <alignment horizontal="center"/>
    </xf>
    <xf numFmtId="164" fontId="7" fillId="0" borderId="0" xfId="0" applyNumberFormat="1" applyFont="1" applyBorder="1" applyAlignment="1">
      <alignment horizontal="center"/>
    </xf>
    <xf numFmtId="164" fontId="0" fillId="0" borderId="0" xfId="0" applyNumberFormat="1" applyBorder="1" applyAlignment="1">
      <alignment horizontal="center"/>
    </xf>
    <xf numFmtId="0" fontId="0" fillId="4" borderId="5" xfId="0" applyFill="1" applyBorder="1"/>
    <xf numFmtId="0" fontId="0" fillId="0" borderId="10" xfId="0" applyBorder="1"/>
    <xf numFmtId="1" fontId="0" fillId="0" borderId="0" xfId="0" applyNumberFormat="1" applyFill="1" applyBorder="1" applyAlignment="1">
      <alignment horizontal="center"/>
    </xf>
    <xf numFmtId="2" fontId="0" fillId="0" borderId="9" xfId="0" applyNumberFormat="1" applyBorder="1" applyAlignment="1">
      <alignment horizontal="center"/>
    </xf>
    <xf numFmtId="166" fontId="0" fillId="0" borderId="9" xfId="0" applyNumberFormat="1" applyBorder="1" applyAlignment="1">
      <alignment horizontal="center"/>
    </xf>
    <xf numFmtId="164" fontId="0" fillId="0" borderId="9" xfId="0" applyNumberFormat="1" applyBorder="1" applyAlignment="1">
      <alignment horizontal="center"/>
    </xf>
    <xf numFmtId="0" fontId="0" fillId="3" borderId="13" xfId="0" applyFill="1" applyBorder="1"/>
    <xf numFmtId="0" fontId="24" fillId="3" borderId="15" xfId="5" applyFill="1" applyBorder="1" applyAlignment="1">
      <alignment horizontal="right"/>
    </xf>
    <xf numFmtId="166" fontId="0" fillId="4" borderId="5" xfId="0" applyNumberFormat="1" applyFill="1" applyBorder="1" applyAlignment="1">
      <alignment horizontal="left"/>
    </xf>
    <xf numFmtId="166" fontId="0" fillId="4" borderId="10" xfId="0" applyNumberFormat="1" applyFill="1" applyBorder="1" applyAlignment="1">
      <alignment horizontal="center"/>
    </xf>
    <xf numFmtId="166" fontId="0" fillId="0" borderId="5" xfId="0" applyNumberFormat="1" applyBorder="1" applyAlignment="1">
      <alignment horizontal="center" wrapText="1"/>
    </xf>
    <xf numFmtId="166" fontId="0" fillId="0" borderId="10" xfId="0" applyNumberFormat="1" applyBorder="1" applyAlignment="1">
      <alignment horizontal="center"/>
    </xf>
    <xf numFmtId="1" fontId="0" fillId="0" borderId="5" xfId="0" applyNumberFormat="1" applyBorder="1" applyAlignment="1">
      <alignment horizontal="center" wrapText="1"/>
    </xf>
    <xf numFmtId="172" fontId="0" fillId="0" borderId="10" xfId="0" applyNumberFormat="1" applyBorder="1" applyAlignment="1">
      <alignment horizontal="center"/>
    </xf>
    <xf numFmtId="1" fontId="0" fillId="0" borderId="11" xfId="0" applyNumberFormat="1" applyBorder="1" applyAlignment="1">
      <alignment horizontal="center" wrapText="1"/>
    </xf>
    <xf numFmtId="166" fontId="0" fillId="0" borderId="9" xfId="0" applyNumberFormat="1" applyBorder="1" applyAlignment="1">
      <alignment horizontal="center" wrapText="1"/>
    </xf>
    <xf numFmtId="1" fontId="0" fillId="0" borderId="9" xfId="0" applyNumberFormat="1" applyFont="1" applyBorder="1" applyAlignment="1">
      <alignment horizontal="center"/>
    </xf>
    <xf numFmtId="172" fontId="0" fillId="0" borderId="12" xfId="0" applyNumberFormat="1" applyBorder="1" applyAlignment="1">
      <alignment horizontal="center"/>
    </xf>
    <xf numFmtId="0" fontId="4" fillId="3" borderId="14" xfId="0" applyFont="1" applyFill="1" applyBorder="1" applyAlignment="1">
      <alignment wrapText="1"/>
    </xf>
    <xf numFmtId="0" fontId="4" fillId="3" borderId="27" xfId="0" applyFont="1" applyFill="1" applyBorder="1" applyAlignment="1">
      <alignment horizontal="left"/>
    </xf>
    <xf numFmtId="0" fontId="4" fillId="3" borderId="13" xfId="0" applyFont="1" applyFill="1" applyBorder="1" applyAlignment="1">
      <alignment horizontal="center"/>
    </xf>
    <xf numFmtId="0" fontId="4" fillId="3" borderId="13" xfId="0" applyFont="1" applyFill="1" applyBorder="1" applyAlignment="1">
      <alignment horizontal="left"/>
    </xf>
    <xf numFmtId="0" fontId="4" fillId="3" borderId="15" xfId="0" applyFont="1" applyFill="1" applyBorder="1" applyAlignment="1">
      <alignment horizontal="center"/>
    </xf>
    <xf numFmtId="0" fontId="4" fillId="3" borderId="5" xfId="0" applyFont="1" applyFill="1" applyBorder="1" applyAlignment="1">
      <alignment wrapText="1"/>
    </xf>
    <xf numFmtId="0" fontId="7" fillId="4" borderId="0" xfId="0" applyFont="1" applyFill="1" applyBorder="1" applyAlignment="1">
      <alignment horizontal="center"/>
    </xf>
    <xf numFmtId="0" fontId="7" fillId="4" borderId="10" xfId="0" applyFont="1" applyFill="1" applyBorder="1" applyAlignment="1">
      <alignment horizontal="center"/>
    </xf>
    <xf numFmtId="0" fontId="0" fillId="0" borderId="5" xfId="0" applyNumberFormat="1" applyBorder="1" applyAlignment="1">
      <alignment horizontal="center"/>
    </xf>
    <xf numFmtId="164" fontId="7" fillId="0" borderId="0" xfId="0" applyNumberFormat="1" applyFont="1" applyFill="1" applyBorder="1" applyAlignment="1">
      <alignment horizontal="center"/>
    </xf>
    <xf numFmtId="0" fontId="0" fillId="0" borderId="11" xfId="0" applyNumberFormat="1" applyBorder="1" applyAlignment="1">
      <alignment horizontal="center"/>
    </xf>
    <xf numFmtId="164" fontId="0" fillId="0" borderId="11" xfId="0" applyNumberFormat="1" applyBorder="1" applyAlignment="1">
      <alignment horizontal="center"/>
    </xf>
    <xf numFmtId="164" fontId="19" fillId="0" borderId="12" xfId="0" applyNumberFormat="1" applyFont="1" applyBorder="1" applyAlignment="1">
      <alignment horizontal="center"/>
    </xf>
    <xf numFmtId="164" fontId="7" fillId="0" borderId="9" xfId="0" applyNumberFormat="1" applyFont="1" applyBorder="1" applyAlignment="1">
      <alignment horizontal="center"/>
    </xf>
    <xf numFmtId="0" fontId="0" fillId="4" borderId="5" xfId="0" applyFill="1" applyBorder="1" applyAlignment="1">
      <alignment horizontal="left"/>
    </xf>
    <xf numFmtId="164" fontId="7" fillId="0" borderId="9" xfId="0" applyNumberFormat="1" applyFont="1" applyFill="1" applyBorder="1" applyAlignment="1">
      <alignment horizontal="center"/>
    </xf>
    <xf numFmtId="164" fontId="7" fillId="0" borderId="11" xfId="0" applyNumberFormat="1" applyFont="1" applyBorder="1" applyAlignment="1">
      <alignment horizontal="center"/>
    </xf>
    <xf numFmtId="0" fontId="13" fillId="0" borderId="0" xfId="0" applyFont="1" applyAlignment="1"/>
    <xf numFmtId="164" fontId="7" fillId="0" borderId="10" xfId="0" applyNumberFormat="1" applyFont="1" applyBorder="1" applyAlignment="1">
      <alignment horizontal="center"/>
    </xf>
    <xf numFmtId="166" fontId="0" fillId="0" borderId="5" xfId="0" applyNumberFormat="1" applyBorder="1" applyAlignment="1">
      <alignment horizontal="center"/>
    </xf>
    <xf numFmtId="164" fontId="7" fillId="0" borderId="12" xfId="0" applyNumberFormat="1" applyFont="1" applyBorder="1" applyAlignment="1">
      <alignment horizontal="center"/>
    </xf>
    <xf numFmtId="166" fontId="0" fillId="0" borderId="11" xfId="0" applyNumberFormat="1" applyBorder="1" applyAlignment="1">
      <alignment horizontal="center"/>
    </xf>
    <xf numFmtId="172" fontId="0" fillId="0" borderId="0" xfId="3" applyNumberFormat="1" applyFont="1" applyAlignment="1">
      <alignment horizontal="center"/>
    </xf>
    <xf numFmtId="172" fontId="0" fillId="9" borderId="6" xfId="3" applyNumberFormat="1" applyFont="1" applyFill="1" applyBorder="1" applyAlignment="1">
      <alignment horizontal="center"/>
    </xf>
    <xf numFmtId="0" fontId="0" fillId="0" borderId="0" xfId="0" applyAlignment="1">
      <alignment horizontal="center" shrinkToFit="1"/>
    </xf>
    <xf numFmtId="0" fontId="4" fillId="3" borderId="1" xfId="0" applyFont="1" applyFill="1" applyBorder="1" applyAlignment="1">
      <alignment horizontal="center"/>
    </xf>
    <xf numFmtId="166" fontId="0" fillId="0" borderId="0" xfId="0" applyNumberFormat="1" applyFill="1" applyAlignment="1">
      <alignment horizontal="center"/>
    </xf>
    <xf numFmtId="164" fontId="0" fillId="0" borderId="10" xfId="0" applyNumberFormat="1" applyBorder="1" applyAlignment="1">
      <alignment horizontal="center"/>
    </xf>
    <xf numFmtId="0" fontId="0" fillId="0" borderId="0" xfId="0" applyFill="1" applyAlignment="1">
      <alignment horizontal="left" indent="1"/>
    </xf>
    <xf numFmtId="0" fontId="4" fillId="3" borderId="10" xfId="0" applyNumberFormat="1" applyFont="1" applyFill="1" applyBorder="1" applyAlignment="1">
      <alignment horizontal="center"/>
    </xf>
    <xf numFmtId="164" fontId="0" fillId="0" borderId="12" xfId="0" applyNumberFormat="1" applyBorder="1" applyAlignment="1">
      <alignment horizontal="center"/>
    </xf>
    <xf numFmtId="0" fontId="7" fillId="3" borderId="1" xfId="0" applyFont="1" applyFill="1" applyBorder="1" applyAlignment="1">
      <alignment horizontal="center"/>
    </xf>
    <xf numFmtId="164" fontId="7" fillId="0" borderId="11" xfId="0" applyNumberFormat="1" applyFont="1" applyFill="1" applyBorder="1" applyAlignment="1">
      <alignment horizontal="center"/>
    </xf>
    <xf numFmtId="0" fontId="0" fillId="0" borderId="5" xfId="0" applyNumberFormat="1" applyFill="1" applyBorder="1" applyAlignment="1">
      <alignment horizontal="center"/>
    </xf>
    <xf numFmtId="164" fontId="19" fillId="0" borderId="10" xfId="0" applyNumberFormat="1" applyFont="1" applyFill="1" applyBorder="1" applyAlignment="1">
      <alignment horizontal="center"/>
    </xf>
    <xf numFmtId="0" fontId="13" fillId="0" borderId="0" xfId="0" applyFont="1" applyAlignment="1">
      <alignment horizontal="left"/>
    </xf>
    <xf numFmtId="0" fontId="0" fillId="0" borderId="5" xfId="0" applyFill="1" applyBorder="1" applyAlignment="1">
      <alignment horizontal="left"/>
    </xf>
    <xf numFmtId="0" fontId="0" fillId="0" borderId="0" xfId="0" applyBorder="1" applyAlignment="1"/>
    <xf numFmtId="0" fontId="0" fillId="0" borderId="9" xfId="0" applyBorder="1" applyAlignment="1"/>
    <xf numFmtId="0" fontId="0" fillId="4" borderId="14" xfId="0" applyFill="1" applyBorder="1" applyAlignment="1">
      <alignment horizontal="left"/>
    </xf>
    <xf numFmtId="0" fontId="0" fillId="4" borderId="13" xfId="0" applyFill="1" applyBorder="1" applyAlignment="1"/>
    <xf numFmtId="0" fontId="0" fillId="4" borderId="13" xfId="0" applyFill="1" applyBorder="1" applyAlignment="1">
      <alignment horizontal="center"/>
    </xf>
    <xf numFmtId="0" fontId="0" fillId="4" borderId="14" xfId="0" applyFill="1" applyBorder="1" applyAlignment="1">
      <alignment horizontal="center"/>
    </xf>
    <xf numFmtId="0" fontId="0" fillId="4" borderId="15" xfId="0" applyFill="1" applyBorder="1" applyAlignment="1">
      <alignment horizontal="center"/>
    </xf>
    <xf numFmtId="0" fontId="0" fillId="0" borderId="0" xfId="0" applyAlignment="1">
      <alignment shrinkToFit="1"/>
    </xf>
    <xf numFmtId="0" fontId="0" fillId="0" borderId="0" xfId="0" applyFill="1" applyAlignment="1">
      <alignment shrinkToFit="1"/>
    </xf>
    <xf numFmtId="0" fontId="0" fillId="13" borderId="0" xfId="0" applyFill="1" applyAlignment="1">
      <alignment horizontal="center" shrinkToFit="1"/>
    </xf>
    <xf numFmtId="169" fontId="0" fillId="0" borderId="5" xfId="3" applyNumberFormat="1" applyFont="1" applyBorder="1" applyAlignment="1">
      <alignment horizontal="center" wrapText="1"/>
    </xf>
    <xf numFmtId="169" fontId="0" fillId="0" borderId="5" xfId="3" applyNumberFormat="1" applyFont="1" applyBorder="1" applyAlignment="1">
      <alignment horizontal="center"/>
    </xf>
    <xf numFmtId="169" fontId="0" fillId="0" borderId="5" xfId="0" applyNumberFormat="1" applyBorder="1" applyAlignment="1">
      <alignment horizontal="center"/>
    </xf>
    <xf numFmtId="169" fontId="0" fillId="0" borderId="9" xfId="0" applyNumberFormat="1" applyBorder="1" applyAlignment="1">
      <alignment horizontal="center"/>
    </xf>
    <xf numFmtId="169" fontId="0" fillId="0" borderId="11" xfId="3" applyNumberFormat="1" applyFont="1" applyBorder="1" applyAlignment="1">
      <alignment horizontal="center"/>
    </xf>
    <xf numFmtId="169" fontId="0" fillId="0" borderId="0" xfId="3" applyNumberFormat="1" applyFont="1" applyBorder="1" applyAlignment="1">
      <alignment horizontal="center"/>
    </xf>
    <xf numFmtId="169" fontId="0" fillId="0" borderId="9" xfId="3" applyNumberFormat="1" applyFont="1" applyBorder="1" applyAlignment="1">
      <alignment horizontal="center"/>
    </xf>
    <xf numFmtId="0" fontId="0" fillId="0" borderId="9" xfId="0" applyBorder="1" applyAlignment="1">
      <alignment horizontal="right" indent="1"/>
    </xf>
    <xf numFmtId="0" fontId="0" fillId="0" borderId="5" xfId="0" applyBorder="1" applyAlignment="1">
      <alignment horizontal="left" indent="1"/>
    </xf>
    <xf numFmtId="0" fontId="0" fillId="0" borderId="11" xfId="0" applyBorder="1" applyAlignment="1">
      <alignment horizontal="left" indent="1"/>
    </xf>
    <xf numFmtId="0" fontId="0" fillId="4" borderId="3" xfId="0" applyFill="1" applyBorder="1" applyAlignment="1">
      <alignment horizontal="right"/>
    </xf>
    <xf numFmtId="0" fontId="0" fillId="4" borderId="4" xfId="0" applyFill="1" applyBorder="1" applyAlignment="1">
      <alignment horizontal="right" indent="1"/>
    </xf>
    <xf numFmtId="0" fontId="0" fillId="4" borderId="3" xfId="0" applyFill="1" applyBorder="1" applyAlignment="1">
      <alignment horizontal="center"/>
    </xf>
    <xf numFmtId="0" fontId="0" fillId="4" borderId="4" xfId="0" applyFill="1" applyBorder="1" applyAlignment="1">
      <alignment horizontal="center"/>
    </xf>
    <xf numFmtId="0" fontId="0" fillId="4" borderId="30" xfId="0" applyFill="1" applyBorder="1" applyAlignment="1">
      <alignment horizontal="center"/>
    </xf>
    <xf numFmtId="0" fontId="0" fillId="0" borderId="0" xfId="0" applyBorder="1" applyAlignment="1">
      <alignment horizontal="right" indent="1"/>
    </xf>
    <xf numFmtId="169" fontId="0" fillId="0" borderId="0" xfId="3" applyNumberFormat="1" applyFont="1" applyBorder="1" applyAlignment="1">
      <alignment horizontal="center" wrapText="1"/>
    </xf>
    <xf numFmtId="0" fontId="0" fillId="0" borderId="28" xfId="0" applyBorder="1" applyAlignment="1">
      <alignment horizontal="center"/>
    </xf>
    <xf numFmtId="0" fontId="0" fillId="0" borderId="29" xfId="0" applyBorder="1" applyAlignment="1">
      <alignment horizontal="center"/>
    </xf>
    <xf numFmtId="169" fontId="0" fillId="0" borderId="28" xfId="3" applyNumberFormat="1" applyFont="1" applyBorder="1" applyAlignment="1">
      <alignment horizontal="center"/>
    </xf>
    <xf numFmtId="169" fontId="0" fillId="0" borderId="0" xfId="0" applyNumberFormat="1" applyBorder="1" applyAlignment="1">
      <alignment horizontal="center"/>
    </xf>
    <xf numFmtId="169" fontId="0" fillId="0" borderId="29" xfId="3" applyNumberFormat="1" applyFont="1" applyBorder="1" applyAlignment="1">
      <alignment horizontal="center"/>
    </xf>
    <xf numFmtId="0" fontId="0" fillId="0" borderId="11" xfId="0" applyBorder="1" applyAlignment="1">
      <alignment horizontal="right"/>
    </xf>
    <xf numFmtId="0" fontId="8" fillId="0" borderId="0" xfId="0" applyFont="1" applyAlignment="1">
      <alignment horizontal="left" indent="1"/>
    </xf>
    <xf numFmtId="166" fontId="4" fillId="2" borderId="0" xfId="0" applyNumberFormat="1" applyFont="1" applyFill="1" applyBorder="1" applyAlignment="1">
      <alignment horizontal="center"/>
    </xf>
    <xf numFmtId="9" fontId="4" fillId="2" borderId="32" xfId="3" applyFont="1" applyFill="1" applyBorder="1" applyAlignment="1">
      <alignment horizontal="center"/>
    </xf>
    <xf numFmtId="166" fontId="4" fillId="2" borderId="33" xfId="0" applyNumberFormat="1" applyFont="1" applyFill="1" applyBorder="1" applyAlignment="1">
      <alignment horizontal="center"/>
    </xf>
    <xf numFmtId="166" fontId="4" fillId="8" borderId="34" xfId="0" applyNumberFormat="1" applyFont="1" applyFill="1" applyBorder="1" applyAlignment="1">
      <alignment horizontal="center"/>
    </xf>
    <xf numFmtId="165" fontId="4" fillId="3" borderId="0" xfId="0" applyNumberFormat="1" applyFont="1" applyFill="1" applyAlignment="1">
      <alignment horizontal="center"/>
    </xf>
    <xf numFmtId="2" fontId="4" fillId="3" borderId="0" xfId="0" applyNumberFormat="1" applyFont="1" applyFill="1" applyAlignment="1">
      <alignment horizontal="center"/>
    </xf>
    <xf numFmtId="172" fontId="0" fillId="0" borderId="0" xfId="0" applyNumberFormat="1" applyAlignment="1">
      <alignment horizontal="center"/>
    </xf>
    <xf numFmtId="175" fontId="0" fillId="0" borderId="0" xfId="0" applyNumberFormat="1"/>
    <xf numFmtId="165" fontId="0" fillId="0" borderId="5" xfId="0" applyNumberFormat="1" applyFill="1" applyBorder="1" applyAlignment="1">
      <alignment horizontal="center"/>
    </xf>
    <xf numFmtId="0" fontId="7" fillId="4" borderId="0" xfId="3" applyNumberFormat="1" applyFont="1" applyFill="1" applyAlignment="1">
      <alignment horizontal="center"/>
    </xf>
    <xf numFmtId="10" fontId="0" fillId="0" borderId="0" xfId="3" applyNumberFormat="1" applyFont="1"/>
    <xf numFmtId="2" fontId="0" fillId="0" borderId="0" xfId="3" applyNumberFormat="1" applyFont="1"/>
    <xf numFmtId="0" fontId="0" fillId="0" borderId="0" xfId="0" applyBorder="1" applyAlignment="1">
      <alignment horizontal="center"/>
    </xf>
    <xf numFmtId="0" fontId="0" fillId="0" borderId="9" xfId="0" applyBorder="1" applyAlignment="1">
      <alignment horizontal="center"/>
    </xf>
    <xf numFmtId="0" fontId="0" fillId="0" borderId="5" xfId="0" applyFill="1" applyBorder="1" applyAlignment="1">
      <alignment horizontal="center"/>
    </xf>
    <xf numFmtId="0" fontId="0" fillId="0" borderId="11" xfId="0" applyFill="1" applyBorder="1" applyAlignment="1">
      <alignment horizontal="center"/>
    </xf>
    <xf numFmtId="0" fontId="0" fillId="0" borderId="5" xfId="0" applyBorder="1" applyAlignment="1">
      <alignment horizontal="center"/>
    </xf>
    <xf numFmtId="0" fontId="0" fillId="0" borderId="10" xfId="0" applyBorder="1" applyAlignment="1">
      <alignment horizontal="center"/>
    </xf>
    <xf numFmtId="176" fontId="0" fillId="0" borderId="0" xfId="0" applyNumberFormat="1" applyBorder="1" applyAlignment="1">
      <alignment horizontal="center"/>
    </xf>
    <xf numFmtId="176" fontId="0" fillId="0" borderId="0" xfId="0" applyNumberFormat="1" applyFill="1" applyBorder="1" applyAlignment="1">
      <alignment horizontal="center"/>
    </xf>
    <xf numFmtId="176" fontId="0" fillId="0" borderId="9" xfId="0" applyNumberFormat="1" applyBorder="1" applyAlignment="1">
      <alignment horizontal="center"/>
    </xf>
    <xf numFmtId="2" fontId="7" fillId="0" borderId="0" xfId="0" applyNumberFormat="1" applyFont="1" applyAlignment="1">
      <alignment horizontal="center"/>
    </xf>
    <xf numFmtId="0" fontId="0" fillId="0" borderId="0" xfId="0" applyFont="1" applyFill="1" applyAlignment="1">
      <alignment vertical="center"/>
    </xf>
    <xf numFmtId="0" fontId="0" fillId="0" borderId="0" xfId="0" applyBorder="1" applyAlignment="1">
      <alignment horizontal="center"/>
    </xf>
    <xf numFmtId="165" fontId="0" fillId="0" borderId="13" xfId="0" applyNumberFormat="1" applyBorder="1" applyAlignment="1">
      <alignment horizontal="center"/>
    </xf>
    <xf numFmtId="0" fontId="0" fillId="0" borderId="0" xfId="0" applyFont="1" applyFill="1" applyBorder="1" applyAlignment="1">
      <alignment horizontal="left" vertical="center"/>
    </xf>
    <xf numFmtId="0" fontId="0" fillId="0" borderId="0" xfId="0" applyFont="1" applyFill="1" applyBorder="1" applyAlignment="1">
      <alignment vertical="center"/>
    </xf>
    <xf numFmtId="1" fontId="9" fillId="4" borderId="0" xfId="0" applyNumberFormat="1" applyFont="1" applyFill="1" applyBorder="1" applyAlignment="1">
      <alignment horizontal="center" wrapText="1"/>
    </xf>
    <xf numFmtId="0" fontId="0" fillId="0" borderId="13" xfId="0" applyBorder="1" applyAlignment="1">
      <alignment horizontal="center"/>
    </xf>
    <xf numFmtId="0" fontId="0" fillId="0" borderId="9" xfId="0" applyBorder="1" applyAlignment="1">
      <alignment horizontal="center"/>
    </xf>
    <xf numFmtId="0" fontId="0" fillId="0" borderId="14" xfId="0" applyFill="1" applyBorder="1" applyAlignment="1">
      <alignment horizontal="center"/>
    </xf>
    <xf numFmtId="0" fontId="0" fillId="0" borderId="5" xfId="0" applyFill="1" applyBorder="1" applyAlignment="1">
      <alignment horizontal="center"/>
    </xf>
    <xf numFmtId="0" fontId="0" fillId="0" borderId="11" xfId="0" applyFill="1" applyBorder="1" applyAlignment="1">
      <alignment horizontal="center"/>
    </xf>
    <xf numFmtId="0" fontId="0" fillId="0" borderId="15" xfId="0" applyFill="1" applyBorder="1" applyAlignment="1">
      <alignment horizontal="center"/>
    </xf>
    <xf numFmtId="0" fontId="0" fillId="0" borderId="10" xfId="0" applyFill="1" applyBorder="1" applyAlignment="1">
      <alignment horizontal="center"/>
    </xf>
    <xf numFmtId="0" fontId="0" fillId="0" borderId="12" xfId="0" applyFill="1" applyBorder="1" applyAlignment="1">
      <alignment horizontal="center"/>
    </xf>
    <xf numFmtId="0" fontId="0" fillId="0" borderId="14"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10" xfId="0" applyBorder="1" applyAlignment="1">
      <alignment horizontal="center"/>
    </xf>
    <xf numFmtId="0" fontId="0" fillId="0" borderId="12" xfId="0" applyBorder="1" applyAlignment="1">
      <alignment horizontal="center"/>
    </xf>
    <xf numFmtId="0" fontId="0" fillId="0" borderId="14" xfId="0" applyFont="1" applyFill="1" applyBorder="1" applyAlignment="1">
      <alignment horizontal="center"/>
    </xf>
    <xf numFmtId="0" fontId="0" fillId="0" borderId="5" xfId="0" applyFont="1" applyFill="1" applyBorder="1" applyAlignment="1">
      <alignment horizontal="center"/>
    </xf>
    <xf numFmtId="0" fontId="0" fillId="0" borderId="11" xfId="0" applyFont="1" applyFill="1" applyBorder="1" applyAlignment="1">
      <alignment horizontal="center"/>
    </xf>
    <xf numFmtId="0" fontId="0" fillId="0" borderId="15" xfId="0" applyFont="1" applyFill="1" applyBorder="1" applyAlignment="1">
      <alignment horizontal="center"/>
    </xf>
    <xf numFmtId="0" fontId="0" fillId="0" borderId="10" xfId="0" applyFont="1" applyFill="1" applyBorder="1" applyAlignment="1">
      <alignment horizontal="center"/>
    </xf>
    <xf numFmtId="0" fontId="0" fillId="0" borderId="12" xfId="0" applyFont="1" applyFill="1" applyBorder="1" applyAlignment="1">
      <alignment horizontal="center"/>
    </xf>
    <xf numFmtId="0" fontId="16" fillId="0" borderId="15" xfId="0" applyFont="1" applyFill="1" applyBorder="1" applyAlignment="1">
      <alignment horizontal="center" vertical="center" wrapText="1"/>
    </xf>
    <xf numFmtId="0" fontId="16" fillId="0" borderId="12" xfId="0" applyFont="1" applyFill="1" applyBorder="1" applyAlignment="1">
      <alignment horizontal="center" vertical="center" wrapText="1"/>
    </xf>
    <xf numFmtId="0" fontId="0" fillId="0" borderId="13" xfId="0" applyFont="1" applyFill="1" applyBorder="1" applyAlignment="1">
      <alignment horizontal="center"/>
    </xf>
    <xf numFmtId="0" fontId="0" fillId="0" borderId="0" xfId="0" applyFont="1" applyFill="1" applyBorder="1" applyAlignment="1">
      <alignment horizontal="center"/>
    </xf>
    <xf numFmtId="0" fontId="0" fillId="0" borderId="9" xfId="0" applyFont="1" applyFill="1" applyBorder="1" applyAlignment="1">
      <alignment horizontal="center"/>
    </xf>
    <xf numFmtId="0" fontId="16" fillId="0" borderId="13" xfId="0" applyFont="1" applyFill="1" applyBorder="1" applyAlignment="1">
      <alignment horizontal="center" vertical="center" wrapText="1"/>
    </xf>
    <xf numFmtId="0" fontId="16" fillId="0" borderId="9" xfId="0" applyFont="1" applyFill="1" applyBorder="1" applyAlignment="1">
      <alignment horizontal="center" vertical="center" wrapText="1"/>
    </xf>
    <xf numFmtId="0" fontId="16" fillId="0" borderId="14" xfId="0" applyFont="1" applyFill="1" applyBorder="1" applyAlignment="1">
      <alignment horizontal="center" vertical="center" wrapText="1"/>
    </xf>
    <xf numFmtId="0" fontId="16" fillId="0" borderId="11" xfId="0" applyFont="1" applyFill="1" applyBorder="1" applyAlignment="1">
      <alignment horizontal="center" vertical="center" wrapText="1"/>
    </xf>
    <xf numFmtId="0" fontId="0" fillId="0" borderId="0" xfId="0" applyAlignment="1">
      <alignment horizontal="left" wrapText="1"/>
    </xf>
    <xf numFmtId="0" fontId="4" fillId="3" borderId="31" xfId="0" applyFont="1" applyFill="1" applyBorder="1" applyAlignment="1">
      <alignment horizontal="center" vertical="center" textRotation="90" wrapText="1"/>
    </xf>
    <xf numFmtId="0" fontId="4" fillId="3" borderId="28" xfId="0" applyFont="1" applyFill="1" applyBorder="1" applyAlignment="1">
      <alignment horizontal="center" vertical="center" textRotation="90" wrapText="1"/>
    </xf>
    <xf numFmtId="0" fontId="4" fillId="3" borderId="29" xfId="0" applyFont="1" applyFill="1" applyBorder="1" applyAlignment="1">
      <alignment horizontal="center" vertical="center" textRotation="90" wrapText="1"/>
    </xf>
    <xf numFmtId="0" fontId="0" fillId="4" borderId="0" xfId="0" applyFill="1" applyAlignment="1">
      <alignment horizontal="center"/>
    </xf>
    <xf numFmtId="0" fontId="4" fillId="3" borderId="27" xfId="0" applyFont="1" applyFill="1" applyBorder="1" applyAlignment="1">
      <alignment horizontal="center" wrapText="1"/>
    </xf>
    <xf numFmtId="0" fontId="4" fillId="3" borderId="13" xfId="0" applyFont="1" applyFill="1" applyBorder="1" applyAlignment="1">
      <alignment horizontal="center" wrapText="1"/>
    </xf>
    <xf numFmtId="0" fontId="4" fillId="3" borderId="16" xfId="0" applyFont="1" applyFill="1" applyBorder="1" applyAlignment="1">
      <alignment horizontal="center" wrapText="1"/>
    </xf>
    <xf numFmtId="0" fontId="4" fillId="3" borderId="0" xfId="0" applyFont="1" applyFill="1" applyBorder="1" applyAlignment="1">
      <alignment horizontal="center" wrapText="1"/>
    </xf>
    <xf numFmtId="0" fontId="4" fillId="3" borderId="13" xfId="0" applyFont="1" applyFill="1" applyBorder="1" applyAlignment="1">
      <alignment horizontal="center"/>
    </xf>
  </cellXfs>
  <cellStyles count="6">
    <cellStyle name="Comma" xfId="1" builtinId="3"/>
    <cellStyle name="Currency" xfId="2" builtinId="4"/>
    <cellStyle name="Hyperlink" xfId="5" builtinId="8"/>
    <cellStyle name="Normal" xfId="0" builtinId="0"/>
    <cellStyle name="Normal 2" xfId="4" xr:uid="{00000000-0005-0000-0000-00002F000000}"/>
    <cellStyle name="Percent" xfId="3" builtinId="5"/>
  </cellStyles>
  <dxfs count="1">
    <dxf>
      <font>
        <color theme="1"/>
      </font>
      <fill>
        <patternFill patternType="solid">
          <fgColor indexed="64"/>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8.4375564734735994E-2"/>
          <c:y val="8.5571607896839E-2"/>
          <c:w val="0.8319408962768543"/>
          <c:h val="0.697626383658565"/>
        </c:manualLayout>
      </c:layout>
      <c:scatterChart>
        <c:scatterStyle val="smoothMarker"/>
        <c:varyColors val="0"/>
        <c:ser>
          <c:idx val="1"/>
          <c:order val="0"/>
          <c:tx>
            <c:v>Pr_Cost-Effective</c:v>
          </c:tx>
          <c:spPr>
            <a:ln>
              <a:solidFill>
                <a:schemeClr val="accent1"/>
              </a:solidFill>
            </a:ln>
          </c:spPr>
          <c:marker>
            <c:symbol val="none"/>
          </c:marker>
          <c:xVal>
            <c:numRef>
              <c:f>PSA!$J$16:$J$156</c:f>
              <c:numCache>
                <c:formatCode>"$"#,##0</c:formatCode>
                <c:ptCount val="141"/>
                <c:pt idx="0">
                  <c:v>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2400</c:v>
                </c:pt>
                <c:pt idx="25">
                  <c:v>2500</c:v>
                </c:pt>
                <c:pt idx="26">
                  <c:v>2600</c:v>
                </c:pt>
                <c:pt idx="27">
                  <c:v>2700</c:v>
                </c:pt>
                <c:pt idx="28">
                  <c:v>2800</c:v>
                </c:pt>
                <c:pt idx="29">
                  <c:v>2900</c:v>
                </c:pt>
                <c:pt idx="30">
                  <c:v>3000</c:v>
                </c:pt>
                <c:pt idx="31">
                  <c:v>3100</c:v>
                </c:pt>
                <c:pt idx="32">
                  <c:v>3200</c:v>
                </c:pt>
                <c:pt idx="33">
                  <c:v>3300</c:v>
                </c:pt>
                <c:pt idx="34">
                  <c:v>3400</c:v>
                </c:pt>
                <c:pt idx="35">
                  <c:v>3500</c:v>
                </c:pt>
                <c:pt idx="36">
                  <c:v>3600</c:v>
                </c:pt>
                <c:pt idx="37">
                  <c:v>3700</c:v>
                </c:pt>
                <c:pt idx="38">
                  <c:v>3800</c:v>
                </c:pt>
                <c:pt idx="39">
                  <c:v>3900</c:v>
                </c:pt>
                <c:pt idx="40">
                  <c:v>4000</c:v>
                </c:pt>
                <c:pt idx="41">
                  <c:v>4100</c:v>
                </c:pt>
                <c:pt idx="42">
                  <c:v>4200</c:v>
                </c:pt>
                <c:pt idx="43">
                  <c:v>4300</c:v>
                </c:pt>
                <c:pt idx="44">
                  <c:v>4400</c:v>
                </c:pt>
                <c:pt idx="45">
                  <c:v>4500</c:v>
                </c:pt>
                <c:pt idx="46">
                  <c:v>4600</c:v>
                </c:pt>
                <c:pt idx="47">
                  <c:v>4700</c:v>
                </c:pt>
                <c:pt idx="48">
                  <c:v>4800</c:v>
                </c:pt>
                <c:pt idx="49">
                  <c:v>4900</c:v>
                </c:pt>
                <c:pt idx="50">
                  <c:v>5000</c:v>
                </c:pt>
                <c:pt idx="51">
                  <c:v>6000</c:v>
                </c:pt>
                <c:pt idx="52">
                  <c:v>7000</c:v>
                </c:pt>
                <c:pt idx="53">
                  <c:v>8000</c:v>
                </c:pt>
                <c:pt idx="54">
                  <c:v>9000</c:v>
                </c:pt>
                <c:pt idx="55">
                  <c:v>10000</c:v>
                </c:pt>
                <c:pt idx="56">
                  <c:v>11000</c:v>
                </c:pt>
                <c:pt idx="57">
                  <c:v>12000</c:v>
                </c:pt>
                <c:pt idx="58">
                  <c:v>13000</c:v>
                </c:pt>
                <c:pt idx="59">
                  <c:v>14000</c:v>
                </c:pt>
                <c:pt idx="60">
                  <c:v>15000</c:v>
                </c:pt>
                <c:pt idx="61">
                  <c:v>16000</c:v>
                </c:pt>
                <c:pt idx="62">
                  <c:v>17000</c:v>
                </c:pt>
                <c:pt idx="63">
                  <c:v>18000</c:v>
                </c:pt>
                <c:pt idx="64">
                  <c:v>19000</c:v>
                </c:pt>
                <c:pt idx="65">
                  <c:v>20000</c:v>
                </c:pt>
                <c:pt idx="66">
                  <c:v>21000</c:v>
                </c:pt>
                <c:pt idx="67">
                  <c:v>22000</c:v>
                </c:pt>
                <c:pt idx="68">
                  <c:v>23000</c:v>
                </c:pt>
                <c:pt idx="69">
                  <c:v>24000</c:v>
                </c:pt>
                <c:pt idx="70">
                  <c:v>25000</c:v>
                </c:pt>
                <c:pt idx="71">
                  <c:v>27500</c:v>
                </c:pt>
                <c:pt idx="72">
                  <c:v>30000</c:v>
                </c:pt>
                <c:pt idx="73">
                  <c:v>32500</c:v>
                </c:pt>
                <c:pt idx="74">
                  <c:v>35000</c:v>
                </c:pt>
                <c:pt idx="75">
                  <c:v>37500</c:v>
                </c:pt>
                <c:pt idx="76">
                  <c:v>40000</c:v>
                </c:pt>
                <c:pt idx="77">
                  <c:v>42500</c:v>
                </c:pt>
                <c:pt idx="78">
                  <c:v>45000</c:v>
                </c:pt>
                <c:pt idx="79">
                  <c:v>47500</c:v>
                </c:pt>
                <c:pt idx="80">
                  <c:v>50000</c:v>
                </c:pt>
                <c:pt idx="81">
                  <c:v>52500</c:v>
                </c:pt>
                <c:pt idx="82">
                  <c:v>55000</c:v>
                </c:pt>
                <c:pt idx="83">
                  <c:v>57500</c:v>
                </c:pt>
                <c:pt idx="84">
                  <c:v>60000</c:v>
                </c:pt>
                <c:pt idx="85">
                  <c:v>62500</c:v>
                </c:pt>
                <c:pt idx="86">
                  <c:v>65000</c:v>
                </c:pt>
                <c:pt idx="87">
                  <c:v>67500</c:v>
                </c:pt>
                <c:pt idx="88">
                  <c:v>70000</c:v>
                </c:pt>
                <c:pt idx="89">
                  <c:v>72500</c:v>
                </c:pt>
                <c:pt idx="90">
                  <c:v>75000</c:v>
                </c:pt>
                <c:pt idx="91">
                  <c:v>77500</c:v>
                </c:pt>
                <c:pt idx="92">
                  <c:v>80000</c:v>
                </c:pt>
                <c:pt idx="93">
                  <c:v>82500</c:v>
                </c:pt>
                <c:pt idx="94">
                  <c:v>85000</c:v>
                </c:pt>
                <c:pt idx="95">
                  <c:v>87500</c:v>
                </c:pt>
                <c:pt idx="96">
                  <c:v>90000</c:v>
                </c:pt>
                <c:pt idx="97">
                  <c:v>92500</c:v>
                </c:pt>
                <c:pt idx="98">
                  <c:v>95000</c:v>
                </c:pt>
                <c:pt idx="99">
                  <c:v>97500</c:v>
                </c:pt>
                <c:pt idx="100">
                  <c:v>100000</c:v>
                </c:pt>
                <c:pt idx="101">
                  <c:v>102500</c:v>
                </c:pt>
                <c:pt idx="102">
                  <c:v>105000</c:v>
                </c:pt>
                <c:pt idx="103">
                  <c:v>107500</c:v>
                </c:pt>
                <c:pt idx="104">
                  <c:v>110000</c:v>
                </c:pt>
                <c:pt idx="105">
                  <c:v>112500</c:v>
                </c:pt>
                <c:pt idx="106">
                  <c:v>115000</c:v>
                </c:pt>
                <c:pt idx="107">
                  <c:v>117500</c:v>
                </c:pt>
                <c:pt idx="108">
                  <c:v>120000</c:v>
                </c:pt>
                <c:pt idx="109">
                  <c:v>122500</c:v>
                </c:pt>
                <c:pt idx="110">
                  <c:v>125000</c:v>
                </c:pt>
                <c:pt idx="111">
                  <c:v>127500</c:v>
                </c:pt>
                <c:pt idx="112">
                  <c:v>130000</c:v>
                </c:pt>
                <c:pt idx="113">
                  <c:v>132500</c:v>
                </c:pt>
                <c:pt idx="114">
                  <c:v>135000</c:v>
                </c:pt>
                <c:pt idx="115">
                  <c:v>137500</c:v>
                </c:pt>
                <c:pt idx="116">
                  <c:v>140000</c:v>
                </c:pt>
                <c:pt idx="117">
                  <c:v>142500</c:v>
                </c:pt>
                <c:pt idx="118">
                  <c:v>145000</c:v>
                </c:pt>
                <c:pt idx="119">
                  <c:v>147500</c:v>
                </c:pt>
                <c:pt idx="120">
                  <c:v>150000</c:v>
                </c:pt>
                <c:pt idx="121">
                  <c:v>152500</c:v>
                </c:pt>
                <c:pt idx="122">
                  <c:v>155000</c:v>
                </c:pt>
                <c:pt idx="123">
                  <c:v>157500</c:v>
                </c:pt>
                <c:pt idx="124">
                  <c:v>160000</c:v>
                </c:pt>
                <c:pt idx="125">
                  <c:v>162500</c:v>
                </c:pt>
                <c:pt idx="126">
                  <c:v>165000</c:v>
                </c:pt>
                <c:pt idx="127">
                  <c:v>167500</c:v>
                </c:pt>
                <c:pt idx="128">
                  <c:v>170000</c:v>
                </c:pt>
                <c:pt idx="129">
                  <c:v>172500</c:v>
                </c:pt>
                <c:pt idx="130">
                  <c:v>175000</c:v>
                </c:pt>
                <c:pt idx="131">
                  <c:v>177500</c:v>
                </c:pt>
                <c:pt idx="132">
                  <c:v>180000</c:v>
                </c:pt>
                <c:pt idx="133">
                  <c:v>182500</c:v>
                </c:pt>
                <c:pt idx="134">
                  <c:v>185000</c:v>
                </c:pt>
                <c:pt idx="135">
                  <c:v>187500</c:v>
                </c:pt>
                <c:pt idx="136">
                  <c:v>190000</c:v>
                </c:pt>
                <c:pt idx="137">
                  <c:v>192500</c:v>
                </c:pt>
                <c:pt idx="138">
                  <c:v>195000</c:v>
                </c:pt>
                <c:pt idx="139">
                  <c:v>197500</c:v>
                </c:pt>
                <c:pt idx="140">
                  <c:v>200000</c:v>
                </c:pt>
              </c:numCache>
            </c:numRef>
          </c:xVal>
          <c:yVal>
            <c:numRef>
              <c:f>PSA!$L$16:$L$156</c:f>
              <c:numCache>
                <c:formatCode>General</c:formatCode>
                <c:ptCount val="141"/>
                <c:pt idx="0">
                  <c:v>0.996</c:v>
                </c:pt>
                <c:pt idx="1">
                  <c:v>0.996</c:v>
                </c:pt>
                <c:pt idx="2">
                  <c:v>0.996</c:v>
                </c:pt>
                <c:pt idx="3">
                  <c:v>0.996</c:v>
                </c:pt>
                <c:pt idx="4">
                  <c:v>0.996</c:v>
                </c:pt>
                <c:pt idx="5">
                  <c:v>0.996</c:v>
                </c:pt>
                <c:pt idx="6">
                  <c:v>0.997</c:v>
                </c:pt>
                <c:pt idx="7">
                  <c:v>0.997</c:v>
                </c:pt>
                <c:pt idx="8">
                  <c:v>0.997</c:v>
                </c:pt>
                <c:pt idx="9">
                  <c:v>0.997</c:v>
                </c:pt>
                <c:pt idx="10">
                  <c:v>0.997</c:v>
                </c:pt>
                <c:pt idx="11">
                  <c:v>0.997</c:v>
                </c:pt>
                <c:pt idx="12">
                  <c:v>0.998</c:v>
                </c:pt>
                <c:pt idx="13">
                  <c:v>0.998</c:v>
                </c:pt>
                <c:pt idx="14">
                  <c:v>0.998</c:v>
                </c:pt>
                <c:pt idx="15">
                  <c:v>0.998</c:v>
                </c:pt>
                <c:pt idx="16">
                  <c:v>0.999</c:v>
                </c:pt>
                <c:pt idx="17">
                  <c:v>0.999</c:v>
                </c:pt>
                <c:pt idx="18">
                  <c:v>0.999</c:v>
                </c:pt>
                <c:pt idx="19">
                  <c:v>0.999</c:v>
                </c:pt>
                <c:pt idx="20">
                  <c:v>0.999</c:v>
                </c:pt>
                <c:pt idx="21">
                  <c:v>0.999</c:v>
                </c:pt>
                <c:pt idx="22">
                  <c:v>0.999</c:v>
                </c:pt>
                <c:pt idx="23">
                  <c:v>0.999</c:v>
                </c:pt>
                <c:pt idx="24">
                  <c:v>0.999</c:v>
                </c:pt>
                <c:pt idx="25">
                  <c:v>0.999</c:v>
                </c:pt>
                <c:pt idx="26">
                  <c:v>0.999</c:v>
                </c:pt>
                <c:pt idx="27">
                  <c:v>0.999</c:v>
                </c:pt>
                <c:pt idx="28">
                  <c:v>0.999</c:v>
                </c:pt>
                <c:pt idx="29">
                  <c:v>0.999</c:v>
                </c:pt>
                <c:pt idx="30">
                  <c:v>0.999</c:v>
                </c:pt>
                <c:pt idx="31">
                  <c:v>0.999</c:v>
                </c:pt>
                <c:pt idx="32">
                  <c:v>0.999</c:v>
                </c:pt>
                <c:pt idx="33">
                  <c:v>0.999</c:v>
                </c:pt>
                <c:pt idx="34">
                  <c:v>0.999</c:v>
                </c:pt>
                <c:pt idx="35">
                  <c:v>0.999</c:v>
                </c:pt>
                <c:pt idx="36">
                  <c:v>0.999</c:v>
                </c:pt>
                <c:pt idx="37">
                  <c:v>0.999</c:v>
                </c:pt>
                <c:pt idx="38">
                  <c:v>0.999</c:v>
                </c:pt>
                <c:pt idx="39">
                  <c:v>0.999</c:v>
                </c:pt>
                <c:pt idx="40">
                  <c:v>0.999</c:v>
                </c:pt>
                <c:pt idx="41">
                  <c:v>0.999</c:v>
                </c:pt>
                <c:pt idx="42">
                  <c:v>0.999</c:v>
                </c:pt>
                <c:pt idx="43">
                  <c:v>0.999</c:v>
                </c:pt>
                <c:pt idx="44">
                  <c:v>0.999</c:v>
                </c:pt>
                <c:pt idx="45">
                  <c:v>0.999</c:v>
                </c:pt>
                <c:pt idx="46">
                  <c:v>0.999</c:v>
                </c:pt>
                <c:pt idx="47">
                  <c:v>0.999</c:v>
                </c:pt>
                <c:pt idx="48">
                  <c:v>0.999</c:v>
                </c:pt>
                <c:pt idx="49">
                  <c:v>0.999</c:v>
                </c:pt>
                <c:pt idx="50">
                  <c:v>0.999</c:v>
                </c:pt>
                <c:pt idx="51">
                  <c:v>0.999</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0.999</c:v>
                </c:pt>
                <c:pt idx="112">
                  <c:v>0.999</c:v>
                </c:pt>
                <c:pt idx="113">
                  <c:v>0.999</c:v>
                </c:pt>
                <c:pt idx="114">
                  <c:v>0.999</c:v>
                </c:pt>
                <c:pt idx="115">
                  <c:v>0.999</c:v>
                </c:pt>
                <c:pt idx="116">
                  <c:v>0.999</c:v>
                </c:pt>
                <c:pt idx="117">
                  <c:v>0.999</c:v>
                </c:pt>
                <c:pt idx="118">
                  <c:v>0.999</c:v>
                </c:pt>
                <c:pt idx="119">
                  <c:v>0.999</c:v>
                </c:pt>
                <c:pt idx="120">
                  <c:v>0.999</c:v>
                </c:pt>
                <c:pt idx="121">
                  <c:v>0.999</c:v>
                </c:pt>
                <c:pt idx="122">
                  <c:v>0.999</c:v>
                </c:pt>
                <c:pt idx="123">
                  <c:v>0.999</c:v>
                </c:pt>
                <c:pt idx="124">
                  <c:v>0.999</c:v>
                </c:pt>
                <c:pt idx="125">
                  <c:v>0.999</c:v>
                </c:pt>
                <c:pt idx="126">
                  <c:v>0.999</c:v>
                </c:pt>
                <c:pt idx="127">
                  <c:v>0.999</c:v>
                </c:pt>
                <c:pt idx="128">
                  <c:v>0.999</c:v>
                </c:pt>
                <c:pt idx="129">
                  <c:v>0.999</c:v>
                </c:pt>
                <c:pt idx="130">
                  <c:v>0.999</c:v>
                </c:pt>
                <c:pt idx="131">
                  <c:v>0.999</c:v>
                </c:pt>
                <c:pt idx="132">
                  <c:v>0.999</c:v>
                </c:pt>
                <c:pt idx="133">
                  <c:v>0.999</c:v>
                </c:pt>
                <c:pt idx="134">
                  <c:v>0.999</c:v>
                </c:pt>
                <c:pt idx="135">
                  <c:v>0.999</c:v>
                </c:pt>
                <c:pt idx="136">
                  <c:v>0.999</c:v>
                </c:pt>
                <c:pt idx="137">
                  <c:v>0.999</c:v>
                </c:pt>
                <c:pt idx="138">
                  <c:v>0.999</c:v>
                </c:pt>
                <c:pt idx="139">
                  <c:v>0.999</c:v>
                </c:pt>
                <c:pt idx="140">
                  <c:v>0.999</c:v>
                </c:pt>
              </c:numCache>
            </c:numRef>
          </c:yVal>
          <c:smooth val="1"/>
          <c:extLst>
            <c:ext xmlns:c16="http://schemas.microsoft.com/office/drawing/2014/chart" uri="{C3380CC4-5D6E-409C-BE32-E72D297353CC}">
              <c16:uniqueId val="{00000000-9CC2-48A8-906D-AAF60B144579}"/>
            </c:ext>
          </c:extLst>
        </c:ser>
        <c:dLbls>
          <c:showLegendKey val="0"/>
          <c:showVal val="0"/>
          <c:showCatName val="0"/>
          <c:showSerName val="0"/>
          <c:showPercent val="0"/>
          <c:showBubbleSize val="0"/>
        </c:dLbls>
        <c:axId val="403006520"/>
        <c:axId val="403006128"/>
        <c:extLst>
          <c:ext xmlns:c15="http://schemas.microsoft.com/office/drawing/2012/chart" uri="{02D57815-91ED-43cb-92C2-25804820EDAC}">
            <c15:filteredScatterSeries>
              <c15:ser>
                <c:idx val="0"/>
                <c:order val="1"/>
                <c:tx>
                  <c:v>ICER</c:v>
                </c:tx>
                <c:marker>
                  <c:symbol val="none"/>
                </c:marker>
                <c:dPt>
                  <c:idx val="0"/>
                  <c:marker>
                    <c:symbol val="circle"/>
                    <c:size val="8"/>
                    <c:spPr>
                      <a:solidFill>
                        <a:schemeClr val="tx2"/>
                      </a:solidFill>
                      <a:ln>
                        <a:noFill/>
                      </a:ln>
                    </c:spPr>
                  </c:marker>
                  <c:bubble3D val="0"/>
                  <c:extLst>
                    <c:ext xmlns:c16="http://schemas.microsoft.com/office/drawing/2014/chart" uri="{C3380CC4-5D6E-409C-BE32-E72D297353CC}">
                      <c16:uniqueId val="{00000001-9CC2-48A8-906D-AAF60B144579}"/>
                    </c:ext>
                  </c:extLst>
                </c:dPt>
                <c:dLbls>
                  <c:dLbl>
                    <c:idx val="0"/>
                    <c:spPr>
                      <a:noFill/>
                      <a:ln>
                        <a:noFill/>
                      </a:ln>
                      <a:effectLst/>
                    </c:spPr>
                    <c:txPr>
                      <a:bodyPr wrap="square" lIns="38100" tIns="19050" rIns="38100" bIns="19050" anchor="ctr">
                        <a:spAutoFit/>
                      </a:bodyPr>
                      <a:lstStyle/>
                      <a:p>
                        <a:pPr>
                          <a:defRPr b="1">
                            <a:solidFill>
                              <a:schemeClr val="tx1"/>
                            </a:solidFill>
                          </a:defRPr>
                        </a:pPr>
                        <a:endParaRPr lang="en-US"/>
                      </a:p>
                    </c:txPr>
                    <c:showLegendKey val="0"/>
                    <c:showVal val="0"/>
                    <c:showCatName val="1"/>
                    <c:showSerName val="1"/>
                    <c:showPercent val="0"/>
                    <c:showBubbleSize val="0"/>
                    <c:extLst>
                      <c:ext xmlns:c16="http://schemas.microsoft.com/office/drawing/2014/chart" uri="{C3380CC4-5D6E-409C-BE32-E72D297353CC}">
                        <c16:uniqueId val="{00000001-9CC2-48A8-906D-AAF60B144579}"/>
                      </c:ext>
                    </c:extLst>
                  </c:dLbl>
                  <c:spPr>
                    <a:noFill/>
                    <a:ln>
                      <a:noFill/>
                    </a:ln>
                    <a:effectLst/>
                  </c:spPr>
                  <c:showLegendKey val="0"/>
                  <c:showVal val="0"/>
                  <c:showCatName val="1"/>
                  <c:showSerName val="1"/>
                  <c:showPercent val="0"/>
                  <c:showBubbleSize val="0"/>
                  <c:showLeaderLines val="0"/>
                  <c:extLst>
                    <c:ext uri="{CE6537A1-D6FC-4f65-9D91-7224C49458BB}">
                      <c15:showLeaderLines val="1"/>
                    </c:ext>
                  </c:extLst>
                </c:dLbls>
                <c:xVal>
                  <c:numRef>
                    <c:extLst>
                      <c:ext uri="{02D57815-91ED-43cb-92C2-25804820EDAC}">
                        <c15:formulaRef>
                          <c15:sqref>PSA!$L$12</c15:sqref>
                        </c15:formulaRef>
                      </c:ext>
                    </c:extLst>
                    <c:numCache>
                      <c:formatCode>General</c:formatCode>
                      <c:ptCount val="1"/>
                      <c:pt idx="0">
                        <c:v>-13433.814257288128</c:v>
                      </c:pt>
                    </c:numCache>
                  </c:numRef>
                </c:xVal>
                <c:yVal>
                  <c:numLit>
                    <c:formatCode>General</c:formatCode>
                    <c:ptCount val="1"/>
                    <c:pt idx="0">
                      <c:v>0.5</c:v>
                    </c:pt>
                  </c:numLit>
                </c:yVal>
                <c:smooth val="1"/>
                <c:extLst>
                  <c:ext xmlns:c16="http://schemas.microsoft.com/office/drawing/2014/chart" uri="{C3380CC4-5D6E-409C-BE32-E72D297353CC}">
                    <c16:uniqueId val="{00000002-9CC2-48A8-906D-AAF60B144579}"/>
                  </c:ext>
                </c:extLst>
              </c15:ser>
            </c15:filteredScatterSeries>
          </c:ext>
        </c:extLst>
      </c:scatterChart>
      <c:valAx>
        <c:axId val="403006520"/>
        <c:scaling>
          <c:orientation val="minMax"/>
          <c:max val="200000"/>
        </c:scaling>
        <c:delete val="0"/>
        <c:axPos val="b"/>
        <c:majorGridlines>
          <c:spPr>
            <a:ln>
              <a:solidFill>
                <a:schemeClr val="bg2">
                  <a:lumMod val="90000"/>
                </a:schemeClr>
              </a:solidFill>
            </a:ln>
          </c:spPr>
        </c:majorGridlines>
        <c:numFmt formatCode="&quot;$&quot;#,##0,&quot;K&quot;" sourceLinked="0"/>
        <c:majorTickMark val="out"/>
        <c:minorTickMark val="none"/>
        <c:tickLblPos val="nextTo"/>
        <c:txPr>
          <a:bodyPr rot="-1980000"/>
          <a:lstStyle/>
          <a:p>
            <a:pPr>
              <a:defRPr>
                <a:latin typeface="Arial"/>
                <a:cs typeface="Arial"/>
              </a:defRPr>
            </a:pPr>
            <a:endParaRPr lang="en-US"/>
          </a:p>
        </c:txPr>
        <c:crossAx val="403006128"/>
        <c:crosses val="autoZero"/>
        <c:crossBetween val="midCat"/>
        <c:majorUnit val="25000"/>
      </c:valAx>
      <c:valAx>
        <c:axId val="403006128"/>
        <c:scaling>
          <c:orientation val="minMax"/>
          <c:max val="1.01"/>
          <c:min val="0"/>
        </c:scaling>
        <c:delete val="0"/>
        <c:axPos val="l"/>
        <c:majorGridlines>
          <c:spPr>
            <a:ln>
              <a:solidFill>
                <a:schemeClr val="bg2">
                  <a:lumMod val="90000"/>
                </a:schemeClr>
              </a:solidFill>
            </a:ln>
          </c:spPr>
        </c:majorGridlines>
        <c:numFmt formatCode="0%" sourceLinked="0"/>
        <c:majorTickMark val="out"/>
        <c:minorTickMark val="none"/>
        <c:tickLblPos val="nextTo"/>
        <c:txPr>
          <a:bodyPr/>
          <a:lstStyle/>
          <a:p>
            <a:pPr>
              <a:defRPr>
                <a:latin typeface="Arial"/>
                <a:cs typeface="Arial"/>
              </a:defRPr>
            </a:pPr>
            <a:endParaRPr lang="en-US"/>
          </a:p>
        </c:txPr>
        <c:crossAx val="403006520"/>
        <c:crosses val="autoZero"/>
        <c:crossBetween val="midCat"/>
        <c:majorUnit val="0.1"/>
      </c:valAx>
    </c:plotArea>
    <c:plotVisOnly val="1"/>
    <c:dispBlanksAs val="gap"/>
    <c:showDLblsOverMax val="0"/>
  </c:chart>
  <c:spPr>
    <a:noFill/>
    <a:ln>
      <a:noFill/>
    </a:ln>
  </c:sp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21306203546987"/>
          <c:y val="0.13365074365704299"/>
          <c:w val="0.84178661662619303"/>
          <c:h val="0.65190516185476799"/>
        </c:manualLayout>
      </c:layout>
      <c:scatterChart>
        <c:scatterStyle val="smoothMarker"/>
        <c:varyColors val="0"/>
        <c:ser>
          <c:idx val="0"/>
          <c:order val="0"/>
          <c:spPr>
            <a:ln>
              <a:solidFill>
                <a:schemeClr val="accent1"/>
              </a:solidFill>
            </a:ln>
          </c:spPr>
          <c:marker>
            <c:symbol val="none"/>
          </c:marker>
          <c:xVal>
            <c:numRef>
              <c:f>VOI!$B$6:$B$154</c:f>
              <c:numCache>
                <c:formatCode>"$"#,##0</c:formatCode>
                <c:ptCount val="149"/>
                <c:pt idx="0">
                  <c:v>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2400</c:v>
                </c:pt>
                <c:pt idx="25">
                  <c:v>2500</c:v>
                </c:pt>
                <c:pt idx="26">
                  <c:v>2600</c:v>
                </c:pt>
                <c:pt idx="27">
                  <c:v>2700</c:v>
                </c:pt>
                <c:pt idx="28">
                  <c:v>2800</c:v>
                </c:pt>
                <c:pt idx="29">
                  <c:v>2900</c:v>
                </c:pt>
                <c:pt idx="30">
                  <c:v>3000</c:v>
                </c:pt>
                <c:pt idx="31">
                  <c:v>3100</c:v>
                </c:pt>
                <c:pt idx="32">
                  <c:v>3200</c:v>
                </c:pt>
                <c:pt idx="33">
                  <c:v>3300</c:v>
                </c:pt>
                <c:pt idx="34">
                  <c:v>3400</c:v>
                </c:pt>
                <c:pt idx="35">
                  <c:v>3500</c:v>
                </c:pt>
                <c:pt idx="36">
                  <c:v>3600</c:v>
                </c:pt>
                <c:pt idx="37">
                  <c:v>3700</c:v>
                </c:pt>
                <c:pt idx="38">
                  <c:v>3800</c:v>
                </c:pt>
                <c:pt idx="39">
                  <c:v>3900</c:v>
                </c:pt>
                <c:pt idx="40">
                  <c:v>4000</c:v>
                </c:pt>
                <c:pt idx="41">
                  <c:v>4100</c:v>
                </c:pt>
                <c:pt idx="42">
                  <c:v>4200</c:v>
                </c:pt>
                <c:pt idx="43">
                  <c:v>4300</c:v>
                </c:pt>
                <c:pt idx="44">
                  <c:v>4400</c:v>
                </c:pt>
                <c:pt idx="45">
                  <c:v>4500</c:v>
                </c:pt>
                <c:pt idx="46">
                  <c:v>4600</c:v>
                </c:pt>
                <c:pt idx="47">
                  <c:v>4700</c:v>
                </c:pt>
                <c:pt idx="48">
                  <c:v>4800</c:v>
                </c:pt>
                <c:pt idx="49">
                  <c:v>4900</c:v>
                </c:pt>
                <c:pt idx="50">
                  <c:v>5000</c:v>
                </c:pt>
                <c:pt idx="51">
                  <c:v>6000</c:v>
                </c:pt>
                <c:pt idx="52">
                  <c:v>7000</c:v>
                </c:pt>
                <c:pt idx="53">
                  <c:v>8000</c:v>
                </c:pt>
                <c:pt idx="54">
                  <c:v>9000</c:v>
                </c:pt>
                <c:pt idx="55">
                  <c:v>10000</c:v>
                </c:pt>
                <c:pt idx="56">
                  <c:v>11000</c:v>
                </c:pt>
                <c:pt idx="57">
                  <c:v>12000</c:v>
                </c:pt>
                <c:pt idx="58">
                  <c:v>13000</c:v>
                </c:pt>
                <c:pt idx="59">
                  <c:v>14000</c:v>
                </c:pt>
                <c:pt idx="60">
                  <c:v>15000</c:v>
                </c:pt>
                <c:pt idx="61">
                  <c:v>16000</c:v>
                </c:pt>
                <c:pt idx="62">
                  <c:v>17000</c:v>
                </c:pt>
                <c:pt idx="63">
                  <c:v>18000</c:v>
                </c:pt>
                <c:pt idx="64">
                  <c:v>19000</c:v>
                </c:pt>
                <c:pt idx="65">
                  <c:v>20000</c:v>
                </c:pt>
                <c:pt idx="66">
                  <c:v>21000</c:v>
                </c:pt>
                <c:pt idx="67">
                  <c:v>22000</c:v>
                </c:pt>
                <c:pt idx="68">
                  <c:v>23000</c:v>
                </c:pt>
                <c:pt idx="69">
                  <c:v>24000</c:v>
                </c:pt>
                <c:pt idx="70">
                  <c:v>25000</c:v>
                </c:pt>
                <c:pt idx="71">
                  <c:v>27500</c:v>
                </c:pt>
                <c:pt idx="72">
                  <c:v>30000</c:v>
                </c:pt>
                <c:pt idx="73">
                  <c:v>32500</c:v>
                </c:pt>
                <c:pt idx="74">
                  <c:v>35000</c:v>
                </c:pt>
                <c:pt idx="75">
                  <c:v>37500</c:v>
                </c:pt>
                <c:pt idx="76">
                  <c:v>40000</c:v>
                </c:pt>
                <c:pt idx="77">
                  <c:v>42500</c:v>
                </c:pt>
                <c:pt idx="78">
                  <c:v>45000</c:v>
                </c:pt>
                <c:pt idx="79">
                  <c:v>47500</c:v>
                </c:pt>
                <c:pt idx="80">
                  <c:v>50000</c:v>
                </c:pt>
                <c:pt idx="81">
                  <c:v>52500</c:v>
                </c:pt>
                <c:pt idx="82">
                  <c:v>55000</c:v>
                </c:pt>
                <c:pt idx="83">
                  <c:v>57500</c:v>
                </c:pt>
                <c:pt idx="84">
                  <c:v>60000</c:v>
                </c:pt>
                <c:pt idx="85">
                  <c:v>62500</c:v>
                </c:pt>
                <c:pt idx="86">
                  <c:v>65000</c:v>
                </c:pt>
                <c:pt idx="87">
                  <c:v>67500</c:v>
                </c:pt>
                <c:pt idx="88">
                  <c:v>70000</c:v>
                </c:pt>
                <c:pt idx="89">
                  <c:v>72500</c:v>
                </c:pt>
                <c:pt idx="90">
                  <c:v>75000</c:v>
                </c:pt>
                <c:pt idx="91">
                  <c:v>77500</c:v>
                </c:pt>
                <c:pt idx="92">
                  <c:v>80000</c:v>
                </c:pt>
                <c:pt idx="93">
                  <c:v>82500</c:v>
                </c:pt>
                <c:pt idx="94">
                  <c:v>85000</c:v>
                </c:pt>
                <c:pt idx="95">
                  <c:v>87500</c:v>
                </c:pt>
                <c:pt idx="96">
                  <c:v>90000</c:v>
                </c:pt>
                <c:pt idx="97">
                  <c:v>92500</c:v>
                </c:pt>
                <c:pt idx="98">
                  <c:v>95000</c:v>
                </c:pt>
                <c:pt idx="99">
                  <c:v>97500</c:v>
                </c:pt>
                <c:pt idx="100">
                  <c:v>100000</c:v>
                </c:pt>
                <c:pt idx="101">
                  <c:v>102500</c:v>
                </c:pt>
                <c:pt idx="102">
                  <c:v>105000</c:v>
                </c:pt>
                <c:pt idx="103">
                  <c:v>107500</c:v>
                </c:pt>
                <c:pt idx="104">
                  <c:v>110000</c:v>
                </c:pt>
                <c:pt idx="105">
                  <c:v>112500</c:v>
                </c:pt>
                <c:pt idx="106">
                  <c:v>115000</c:v>
                </c:pt>
                <c:pt idx="107">
                  <c:v>117500</c:v>
                </c:pt>
                <c:pt idx="108">
                  <c:v>120000</c:v>
                </c:pt>
                <c:pt idx="109">
                  <c:v>122500</c:v>
                </c:pt>
                <c:pt idx="110">
                  <c:v>125000</c:v>
                </c:pt>
                <c:pt idx="111">
                  <c:v>127500</c:v>
                </c:pt>
                <c:pt idx="112">
                  <c:v>130000</c:v>
                </c:pt>
                <c:pt idx="113">
                  <c:v>132500</c:v>
                </c:pt>
                <c:pt idx="114">
                  <c:v>135000</c:v>
                </c:pt>
                <c:pt idx="115">
                  <c:v>137500</c:v>
                </c:pt>
                <c:pt idx="116">
                  <c:v>140000</c:v>
                </c:pt>
                <c:pt idx="117">
                  <c:v>142500</c:v>
                </c:pt>
                <c:pt idx="118">
                  <c:v>145000</c:v>
                </c:pt>
                <c:pt idx="119">
                  <c:v>147500</c:v>
                </c:pt>
                <c:pt idx="120">
                  <c:v>150000</c:v>
                </c:pt>
                <c:pt idx="121">
                  <c:v>152500</c:v>
                </c:pt>
                <c:pt idx="122">
                  <c:v>155000</c:v>
                </c:pt>
                <c:pt idx="123">
                  <c:v>157500</c:v>
                </c:pt>
                <c:pt idx="124">
                  <c:v>160000</c:v>
                </c:pt>
                <c:pt idx="125">
                  <c:v>162500</c:v>
                </c:pt>
                <c:pt idx="126">
                  <c:v>165000</c:v>
                </c:pt>
                <c:pt idx="127">
                  <c:v>167500</c:v>
                </c:pt>
                <c:pt idx="128">
                  <c:v>170000</c:v>
                </c:pt>
                <c:pt idx="129">
                  <c:v>172500</c:v>
                </c:pt>
                <c:pt idx="130">
                  <c:v>175000</c:v>
                </c:pt>
                <c:pt idx="131">
                  <c:v>177500</c:v>
                </c:pt>
                <c:pt idx="132">
                  <c:v>180000</c:v>
                </c:pt>
                <c:pt idx="133">
                  <c:v>182500</c:v>
                </c:pt>
                <c:pt idx="134">
                  <c:v>185000</c:v>
                </c:pt>
                <c:pt idx="135">
                  <c:v>187500</c:v>
                </c:pt>
                <c:pt idx="136">
                  <c:v>190000</c:v>
                </c:pt>
                <c:pt idx="137">
                  <c:v>192500</c:v>
                </c:pt>
                <c:pt idx="138">
                  <c:v>195000</c:v>
                </c:pt>
                <c:pt idx="139">
                  <c:v>197500</c:v>
                </c:pt>
                <c:pt idx="140">
                  <c:v>200000</c:v>
                </c:pt>
                <c:pt idx="141">
                  <c:v>250000</c:v>
                </c:pt>
                <c:pt idx="142">
                  <c:v>300000</c:v>
                </c:pt>
                <c:pt idx="143">
                  <c:v>350000</c:v>
                </c:pt>
                <c:pt idx="144">
                  <c:v>400000</c:v>
                </c:pt>
                <c:pt idx="145">
                  <c:v>450000</c:v>
                </c:pt>
                <c:pt idx="146">
                  <c:v>500000</c:v>
                </c:pt>
                <c:pt idx="147">
                  <c:v>550000</c:v>
                </c:pt>
                <c:pt idx="148">
                  <c:v>600000</c:v>
                </c:pt>
              </c:numCache>
            </c:numRef>
          </c:xVal>
          <c:yVal>
            <c:numRef>
              <c:f>VOI!$D$6:$D$154</c:f>
              <c:numCache>
                <c:formatCode>"$"#,##0</c:formatCode>
                <c:ptCount val="149"/>
                <c:pt idx="0">
                  <c:v>45865633.292778514</c:v>
                </c:pt>
                <c:pt idx="1">
                  <c:v>44091306.808040828</c:v>
                </c:pt>
                <c:pt idx="2">
                  <c:v>42316980.324540056</c:v>
                </c:pt>
                <c:pt idx="3">
                  <c:v>40542653.838565454</c:v>
                </c:pt>
                <c:pt idx="4">
                  <c:v>38768327.353209317</c:v>
                </c:pt>
                <c:pt idx="5">
                  <c:v>36994000.869090088</c:v>
                </c:pt>
                <c:pt idx="6">
                  <c:v>35617675.033718117</c:v>
                </c:pt>
                <c:pt idx="7">
                  <c:v>34263161.921080612</c:v>
                </c:pt>
                <c:pt idx="8">
                  <c:v>32908648.810298473</c:v>
                </c:pt>
                <c:pt idx="9">
                  <c:v>31554135.698279426</c:v>
                </c:pt>
                <c:pt idx="10">
                  <c:v>30199622.587497286</c:v>
                </c:pt>
                <c:pt idx="11">
                  <c:v>28845109.475478239</c:v>
                </c:pt>
                <c:pt idx="12">
                  <c:v>27586165.997599892</c:v>
                </c:pt>
                <c:pt idx="13">
                  <c:v>26598249.896160267</c:v>
                </c:pt>
                <c:pt idx="14">
                  <c:v>25610333.794102188</c:v>
                </c:pt>
                <c:pt idx="15">
                  <c:v>24622417.693281021</c:v>
                </c:pt>
                <c:pt idx="16">
                  <c:v>24104904.548185006</c:v>
                </c:pt>
                <c:pt idx="17">
                  <c:v>23609212.540541194</c:v>
                </c:pt>
                <c:pt idx="18">
                  <c:v>23113520.533515841</c:v>
                </c:pt>
                <c:pt idx="19">
                  <c:v>22617828.525872029</c:v>
                </c:pt>
                <c:pt idx="20">
                  <c:v>22122136.518846672</c:v>
                </c:pt>
                <c:pt idx="21">
                  <c:v>21626444.511821318</c:v>
                </c:pt>
                <c:pt idx="22">
                  <c:v>21130752.504177507</c:v>
                </c:pt>
                <c:pt idx="23">
                  <c:v>20635060.497770611</c:v>
                </c:pt>
                <c:pt idx="24">
                  <c:v>20139368.490436029</c:v>
                </c:pt>
                <c:pt idx="25">
                  <c:v>19643676.483101442</c:v>
                </c:pt>
                <c:pt idx="26">
                  <c:v>19147984.476076089</c:v>
                </c:pt>
                <c:pt idx="27">
                  <c:v>18652292.468123052</c:v>
                </c:pt>
                <c:pt idx="28">
                  <c:v>18156600.461097695</c:v>
                </c:pt>
                <c:pt idx="29">
                  <c:v>17660908.45438157</c:v>
                </c:pt>
                <c:pt idx="30">
                  <c:v>17165216.446737759</c:v>
                </c:pt>
                <c:pt idx="31">
                  <c:v>16669524.439403176</c:v>
                </c:pt>
                <c:pt idx="32">
                  <c:v>16173832.432377821</c:v>
                </c:pt>
                <c:pt idx="33">
                  <c:v>15678140.425043238</c:v>
                </c:pt>
                <c:pt idx="34">
                  <c:v>15182448.41786327</c:v>
                </c:pt>
                <c:pt idx="35">
                  <c:v>14686756.410528688</c:v>
                </c:pt>
                <c:pt idx="36">
                  <c:v>14191064.403348718</c:v>
                </c:pt>
                <c:pt idx="37">
                  <c:v>13695372.396323364</c:v>
                </c:pt>
                <c:pt idx="38">
                  <c:v>13199680.388988782</c:v>
                </c:pt>
                <c:pt idx="39">
                  <c:v>12703988.381731506</c:v>
                </c:pt>
                <c:pt idx="40">
                  <c:v>12208296.374474229</c:v>
                </c:pt>
                <c:pt idx="41">
                  <c:v>11712604.367216954</c:v>
                </c:pt>
                <c:pt idx="42">
                  <c:v>11216912.360017659</c:v>
                </c:pt>
                <c:pt idx="43">
                  <c:v>10721220.352794206</c:v>
                </c:pt>
                <c:pt idx="44">
                  <c:v>10225528.34554176</c:v>
                </c:pt>
                <c:pt idx="45">
                  <c:v>9729836.3383424655</c:v>
                </c:pt>
                <c:pt idx="46">
                  <c:v>9234144.3312398046</c:v>
                </c:pt>
                <c:pt idx="47">
                  <c:v>8738452.3238279149</c:v>
                </c:pt>
                <c:pt idx="48">
                  <c:v>8242760.3167252531</c:v>
                </c:pt>
                <c:pt idx="49">
                  <c:v>7747068.3092360562</c:v>
                </c:pt>
                <c:pt idx="50">
                  <c:v>7251376.3022107016</c:v>
                </c:pt>
                <c:pt idx="51">
                  <c:v>2294456.2294833306</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642570.59595547616</c:v>
                </c:pt>
                <c:pt idx="112">
                  <c:v>3736349.4443707168</c:v>
                </c:pt>
                <c:pt idx="113">
                  <c:v>6830128.3125765622</c:v>
                </c:pt>
                <c:pt idx="114">
                  <c:v>9923907.1807824075</c:v>
                </c:pt>
                <c:pt idx="115">
                  <c:v>13017686.009407043</c:v>
                </c:pt>
                <c:pt idx="116">
                  <c:v>16111464.877612889</c:v>
                </c:pt>
                <c:pt idx="117">
                  <c:v>19205243.745818734</c:v>
                </c:pt>
                <c:pt idx="118">
                  <c:v>22299022.61402458</c:v>
                </c:pt>
                <c:pt idx="119">
                  <c:v>25392801.442649215</c:v>
                </c:pt>
                <c:pt idx="120">
                  <c:v>28486580.35043627</c:v>
                </c:pt>
                <c:pt idx="121">
                  <c:v>31580359.179060906</c:v>
                </c:pt>
                <c:pt idx="122">
                  <c:v>34674138.047266752</c:v>
                </c:pt>
                <c:pt idx="123">
                  <c:v>37767916.955053806</c:v>
                </c:pt>
                <c:pt idx="124">
                  <c:v>40861695.783678442</c:v>
                </c:pt>
                <c:pt idx="125">
                  <c:v>43955474.691465497</c:v>
                </c:pt>
                <c:pt idx="126">
                  <c:v>47049253.480508924</c:v>
                </c:pt>
                <c:pt idx="127">
                  <c:v>50143032.348714769</c:v>
                </c:pt>
                <c:pt idx="128">
                  <c:v>53236811.256501824</c:v>
                </c:pt>
                <c:pt idx="129">
                  <c:v>56330590.08512646</c:v>
                </c:pt>
                <c:pt idx="130">
                  <c:v>59424368.953332305</c:v>
                </c:pt>
                <c:pt idx="131">
                  <c:v>62518147.781956941</c:v>
                </c:pt>
                <c:pt idx="132">
                  <c:v>65611926.689743996</c:v>
                </c:pt>
                <c:pt idx="133">
                  <c:v>68705705.557949841</c:v>
                </c:pt>
                <c:pt idx="134">
                  <c:v>71799484.426155686</c:v>
                </c:pt>
                <c:pt idx="135">
                  <c:v>74893263.254780322</c:v>
                </c:pt>
                <c:pt idx="136">
                  <c:v>77987042.122986168</c:v>
                </c:pt>
                <c:pt idx="137">
                  <c:v>81080820.991192013</c:v>
                </c:pt>
                <c:pt idx="138">
                  <c:v>84174599.819816649</c:v>
                </c:pt>
                <c:pt idx="139">
                  <c:v>87268378.688022494</c:v>
                </c:pt>
                <c:pt idx="140">
                  <c:v>90362157.55622834</c:v>
                </c:pt>
                <c:pt idx="141">
                  <c:v>152237734.80160162</c:v>
                </c:pt>
                <c:pt idx="142">
                  <c:v>214113312.0469749</c:v>
                </c:pt>
                <c:pt idx="143">
                  <c:v>275988889.25276697</c:v>
                </c:pt>
                <c:pt idx="144">
                  <c:v>337864466.45855904</c:v>
                </c:pt>
                <c:pt idx="145">
                  <c:v>399740043.74351352</c:v>
                </c:pt>
                <c:pt idx="146">
                  <c:v>461615620.87014318</c:v>
                </c:pt>
                <c:pt idx="147">
                  <c:v>523491198.23426008</c:v>
                </c:pt>
                <c:pt idx="148">
                  <c:v>585366775.44005215</c:v>
                </c:pt>
              </c:numCache>
            </c:numRef>
          </c:yVal>
          <c:smooth val="1"/>
          <c:extLst>
            <c:ext xmlns:c16="http://schemas.microsoft.com/office/drawing/2014/chart" uri="{C3380CC4-5D6E-409C-BE32-E72D297353CC}">
              <c16:uniqueId val="{00000000-47BB-4859-BB27-A44C926190A4}"/>
            </c:ext>
          </c:extLst>
        </c:ser>
        <c:ser>
          <c:idx val="1"/>
          <c:order val="1"/>
          <c:tx>
            <c:v>ICER</c:v>
          </c:tx>
          <c:marker>
            <c:symbol val="none"/>
          </c:marker>
          <c:dPt>
            <c:idx val="0"/>
            <c:marker>
              <c:symbol val="circle"/>
              <c:size val="8"/>
              <c:spPr>
                <a:solidFill>
                  <a:schemeClr val="tx2"/>
                </a:solidFill>
                <a:ln>
                  <a:noFill/>
                </a:ln>
              </c:spPr>
            </c:marker>
            <c:bubble3D val="0"/>
            <c:extLst>
              <c:ext xmlns:c16="http://schemas.microsoft.com/office/drawing/2014/chart" uri="{C3380CC4-5D6E-409C-BE32-E72D297353CC}">
                <c16:uniqueId val="{00000001-47BB-4859-BB27-A44C926190A4}"/>
              </c:ext>
            </c:extLst>
          </c:dPt>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PSA!$L$12</c:f>
              <c:numCache>
                <c:formatCode>General</c:formatCode>
                <c:ptCount val="1"/>
                <c:pt idx="0">
                  <c:v>-13433.814257288128</c:v>
                </c:pt>
              </c:numCache>
            </c:numRef>
          </c:xVal>
          <c:yVal>
            <c:numLit>
              <c:formatCode>General</c:formatCode>
              <c:ptCount val="1"/>
              <c:pt idx="0">
                <c:v>0</c:v>
              </c:pt>
            </c:numLit>
          </c:yVal>
          <c:smooth val="1"/>
          <c:extLst>
            <c:ext xmlns:c16="http://schemas.microsoft.com/office/drawing/2014/chart" uri="{C3380CC4-5D6E-409C-BE32-E72D297353CC}">
              <c16:uniqueId val="{00000002-47BB-4859-BB27-A44C926190A4}"/>
            </c:ext>
          </c:extLst>
        </c:ser>
        <c:dLbls>
          <c:showLegendKey val="0"/>
          <c:showVal val="0"/>
          <c:showCatName val="0"/>
          <c:showSerName val="0"/>
          <c:showPercent val="0"/>
          <c:showBubbleSize val="0"/>
        </c:dLbls>
        <c:axId val="167259024"/>
        <c:axId val="167259416"/>
      </c:scatterChart>
      <c:valAx>
        <c:axId val="167259024"/>
        <c:scaling>
          <c:orientation val="minMax"/>
          <c:max val="600000"/>
          <c:min val="0"/>
        </c:scaling>
        <c:delete val="0"/>
        <c:axPos val="b"/>
        <c:title>
          <c:tx>
            <c:rich>
              <a:bodyPr/>
              <a:lstStyle/>
              <a:p>
                <a:pPr>
                  <a:defRPr b="0"/>
                </a:pPr>
                <a:r>
                  <a:rPr lang="en-US" b="0"/>
                  <a:t>Willingness to Pay Per QALY Threshold</a:t>
                </a:r>
              </a:p>
            </c:rich>
          </c:tx>
          <c:layout>
            <c:manualLayout>
              <c:xMode val="edge"/>
              <c:yMode val="edge"/>
              <c:x val="0.43625714425883699"/>
              <c:y val="0.89094138232720899"/>
            </c:manualLayout>
          </c:layout>
          <c:overlay val="0"/>
        </c:title>
        <c:numFmt formatCode="&quot;$&quot;#,##0,&quot;K&quot;;;&quot;$&quot;0" sourceLinked="0"/>
        <c:majorTickMark val="out"/>
        <c:minorTickMark val="none"/>
        <c:tickLblPos val="low"/>
        <c:crossAx val="167259416"/>
        <c:crossesAt val="0"/>
        <c:crossBetween val="midCat"/>
      </c:valAx>
      <c:valAx>
        <c:axId val="167259416"/>
        <c:scaling>
          <c:orientation val="minMax"/>
          <c:min val="0"/>
        </c:scaling>
        <c:delete val="0"/>
        <c:axPos val="l"/>
        <c:majorGridlines/>
        <c:title>
          <c:tx>
            <c:rich>
              <a:bodyPr rot="-5400000" vert="horz"/>
              <a:lstStyle/>
              <a:p>
                <a:pPr>
                  <a:defRPr sz="1200" b="0"/>
                </a:pPr>
                <a:r>
                  <a:rPr lang="en-US" sz="1200" b="0"/>
                  <a:t>EVPI</a:t>
                </a:r>
              </a:p>
            </c:rich>
          </c:tx>
          <c:layout>
            <c:manualLayout>
              <c:xMode val="edge"/>
              <c:yMode val="edge"/>
              <c:x val="2.7196506978683699E-2"/>
              <c:y val="0.36439370078740202"/>
            </c:manualLayout>
          </c:layout>
          <c:overlay val="0"/>
        </c:title>
        <c:numFmt formatCode="&quot;$&quot;#,,,&quot; B&quot;;\-&quot;$&quot;#,,,&quot; B&quot;;&quot;$&quot;0" sourceLinked="0"/>
        <c:majorTickMark val="out"/>
        <c:minorTickMark val="none"/>
        <c:tickLblPos val="nextTo"/>
        <c:crossAx val="167259024"/>
        <c:crossesAt val="0"/>
        <c:crossBetween val="midCat"/>
      </c:valAx>
    </c:plotArea>
    <c:plotVisOnly val="1"/>
    <c:dispBlanksAs val="gap"/>
    <c:showDLblsOverMax val="0"/>
  </c:chart>
  <c:spPr>
    <a:noFill/>
    <a:ln>
      <a:noFill/>
    </a:ln>
  </c:spPr>
  <c:txPr>
    <a:bodyPr/>
    <a:lstStyle/>
    <a:p>
      <a:pPr>
        <a:defRPr>
          <a:latin typeface="Arial"/>
          <a:cs typeface="Arial"/>
        </a:defRPr>
      </a:pPr>
      <a:endParaRPr lang="en-US"/>
    </a:p>
  </c:txPr>
  <c:printSettings>
    <c:headerFooter/>
    <c:pageMargins b="1" l="0.75" r="0.75" t="1" header="0.5" footer="0.5"/>
    <c:pageSetup orientation="portrait" horizontalDpi="-4" verticalDpi="-4"/>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318976153621804E-2"/>
          <c:y val="2.23065622575934E-2"/>
          <c:w val="0.85018529735065196"/>
          <c:h val="0.96697507113626102"/>
        </c:manualLayout>
      </c:layout>
      <c:barChart>
        <c:barDir val="bar"/>
        <c:grouping val="clustered"/>
        <c:varyColors val="0"/>
        <c:ser>
          <c:idx val="0"/>
          <c:order val="0"/>
          <c:tx>
            <c:strRef>
              <c:f>OWSA!$D$5</c:f>
              <c:strCache>
                <c:ptCount val="1"/>
                <c:pt idx="0">
                  <c:v>Low Input</c:v>
                </c:pt>
              </c:strCache>
            </c:strRef>
          </c:tx>
          <c:spPr>
            <a:solidFill>
              <a:schemeClr val="accent6"/>
            </a:solidFill>
          </c:spPr>
          <c:invertIfNegative val="0"/>
          <c:cat>
            <c:strRef>
              <c:f>OWSA!$C$10:$C$33</c:f>
              <c:strCache>
                <c:ptCount val="24"/>
                <c:pt idx="0">
                  <c:v>0</c:v>
                </c:pt>
                <c:pt idx="1">
                  <c:v>0</c:v>
                </c:pt>
                <c:pt idx="2">
                  <c:v>Prev: </c:v>
                </c:pt>
                <c:pt idx="3">
                  <c:v>Adh: </c:v>
                </c:pt>
                <c:pt idx="4">
                  <c:v>0</c:v>
                </c:pt>
                <c:pt idx="5">
                  <c:v>Prev: </c:v>
                </c:pt>
                <c:pt idx="6">
                  <c:v>0</c:v>
                </c:pt>
                <c:pt idx="7">
                  <c:v>Adh: </c:v>
                </c:pt>
                <c:pt idx="8">
                  <c:v>Pen: </c:v>
                </c:pt>
                <c:pt idx="9">
                  <c:v>0</c:v>
                </c:pt>
                <c:pt idx="10">
                  <c:v>Pen: </c:v>
                </c:pt>
                <c:pt idx="11">
                  <c:v>0</c:v>
                </c:pt>
                <c:pt idx="12">
                  <c:v>Prev: </c:v>
                </c:pt>
                <c:pt idx="13">
                  <c:v>0</c:v>
                </c:pt>
                <c:pt idx="14">
                  <c:v>Adh: </c:v>
                </c:pt>
                <c:pt idx="15">
                  <c:v>0</c:v>
                </c:pt>
                <c:pt idx="16">
                  <c:v>0</c:v>
                </c:pt>
                <c:pt idx="17">
                  <c:v>0</c:v>
                </c:pt>
                <c:pt idx="18">
                  <c:v>Adh: </c:v>
                </c:pt>
                <c:pt idx="19">
                  <c:v>0</c:v>
                </c:pt>
                <c:pt idx="20">
                  <c:v>Prev: </c:v>
                </c:pt>
                <c:pt idx="21">
                  <c:v>Prev: </c:v>
                </c:pt>
                <c:pt idx="22">
                  <c:v>0</c:v>
                </c:pt>
                <c:pt idx="23">
                  <c:v>Prev: </c:v>
                </c:pt>
              </c:strCache>
            </c:strRef>
          </c:cat>
          <c:val>
            <c:numRef>
              <c:f>OWSA!$F$6:$F$93</c:f>
              <c:numCache>
                <c:formatCode>"$"#,##0</c:formatCode>
                <c:ptCount val="88"/>
                <c:pt idx="0">
                  <c:v>168.58304998149021</c:v>
                </c:pt>
                <c:pt idx="1">
                  <c:v>34.965857882461762</c:v>
                </c:pt>
                <c:pt idx="2">
                  <c:v>55.942935501271222</c:v>
                </c:pt>
                <c:pt idx="3">
                  <c:v>63.626191039672676</c:v>
                </c:pt>
                <c:pt idx="4">
                  <c:v>-127.71616325756867</c:v>
                </c:pt>
                <c:pt idx="5">
                  <c:v>41.029702605090563</c:v>
                </c:pt>
                <c:pt idx="6">
                  <c:v>-99.679908823404617</c:v>
                </c:pt>
                <c:pt idx="7">
                  <c:v>-99.670231268507848</c:v>
                </c:pt>
                <c:pt idx="8">
                  <c:v>18.583049981490092</c:v>
                </c:pt>
                <c:pt idx="9">
                  <c:v>-75.321054891009624</c:v>
                </c:pt>
                <c:pt idx="10">
                  <c:v>-83.453742503004264</c:v>
                </c:pt>
                <c:pt idx="11">
                  <c:v>-65.04428465715398</c:v>
                </c:pt>
                <c:pt idx="12">
                  <c:v>-61.228731069796481</c:v>
                </c:pt>
                <c:pt idx="13">
                  <c:v>-82.710526481574107</c:v>
                </c:pt>
                <c:pt idx="14">
                  <c:v>-60.521300018509805</c:v>
                </c:pt>
                <c:pt idx="15">
                  <c:v>-54.513973674972533</c:v>
                </c:pt>
                <c:pt idx="16">
                  <c:v>-8.1362485665971462</c:v>
                </c:pt>
                <c:pt idx="17">
                  <c:v>-14.218805055012069</c:v>
                </c:pt>
                <c:pt idx="18">
                  <c:v>-13.893600019525763</c:v>
                </c:pt>
                <c:pt idx="19">
                  <c:v>-48.500747432389574</c:v>
                </c:pt>
                <c:pt idx="20">
                  <c:v>-48.554672505659028</c:v>
                </c:pt>
                <c:pt idx="21">
                  <c:v>-52.500636324554705</c:v>
                </c:pt>
                <c:pt idx="22">
                  <c:v>-46.71856313984631</c:v>
                </c:pt>
                <c:pt idx="23">
                  <c:v>-38.159095939261135</c:v>
                </c:pt>
                <c:pt idx="24">
                  <c:v>-16.552709159707206</c:v>
                </c:pt>
                <c:pt idx="25">
                  <c:v>-45.085943050544131</c:v>
                </c:pt>
                <c:pt idx="26">
                  <c:v>12.810028068723739</c:v>
                </c:pt>
                <c:pt idx="27">
                  <c:v>-44.402941000301382</c:v>
                </c:pt>
                <c:pt idx="28">
                  <c:v>-45.200295624587568</c:v>
                </c:pt>
                <c:pt idx="29">
                  <c:v>-44.986346930188859</c:v>
                </c:pt>
                <c:pt idx="30">
                  <c:v>-18.916950018509965</c:v>
                </c:pt>
                <c:pt idx="31">
                  <c:v>-19.084126521549365</c:v>
                </c:pt>
                <c:pt idx="32">
                  <c:v>-42.616100618362623</c:v>
                </c:pt>
                <c:pt idx="33">
                  <c:v>-20.5857337223012</c:v>
                </c:pt>
                <c:pt idx="34">
                  <c:v>-20.564186730185781</c:v>
                </c:pt>
                <c:pt idx="35">
                  <c:v>-41.612069302993746</c:v>
                </c:pt>
                <c:pt idx="36">
                  <c:v>-21.416950018509965</c:v>
                </c:pt>
                <c:pt idx="37">
                  <c:v>-21.534577767230076</c:v>
                </c:pt>
                <c:pt idx="38">
                  <c:v>-22.595134867078343</c:v>
                </c:pt>
                <c:pt idx="39">
                  <c:v>-38.131047742382009</c:v>
                </c:pt>
                <c:pt idx="40">
                  <c:v>-23.409136020802237</c:v>
                </c:pt>
                <c:pt idx="41">
                  <c:v>-40.147615749623071</c:v>
                </c:pt>
                <c:pt idx="42">
                  <c:v>-39.500976686194633</c:v>
                </c:pt>
                <c:pt idx="43">
                  <c:v>-38.444845453858193</c:v>
                </c:pt>
                <c:pt idx="44">
                  <c:v>-31.931234959444907</c:v>
                </c:pt>
                <c:pt idx="45">
                  <c:v>-38.457438882932991</c:v>
                </c:pt>
                <c:pt idx="46">
                  <c:v>-37.780721713366404</c:v>
                </c:pt>
                <c:pt idx="47">
                  <c:v>-36.749850332282904</c:v>
                </c:pt>
                <c:pt idx="48">
                  <c:v>-25.85408600684849</c:v>
                </c:pt>
                <c:pt idx="49">
                  <c:v>-26.09837189350992</c:v>
                </c:pt>
                <c:pt idx="50">
                  <c:v>-27.477399402241076</c:v>
                </c:pt>
                <c:pt idx="51">
                  <c:v>-35.572818104714941</c:v>
                </c:pt>
                <c:pt idx="52">
                  <c:v>-32.869995249802116</c:v>
                </c:pt>
                <c:pt idx="53">
                  <c:v>-29.008011383312521</c:v>
                </c:pt>
                <c:pt idx="54">
                  <c:v>-28.920911272626597</c:v>
                </c:pt>
                <c:pt idx="55">
                  <c:v>-29.208054386064191</c:v>
                </c:pt>
                <c:pt idx="56">
                  <c:v>-29.118153143509971</c:v>
                </c:pt>
                <c:pt idx="57">
                  <c:v>-33.266029707609789</c:v>
                </c:pt>
                <c:pt idx="58">
                  <c:v>-33.177561901086108</c:v>
                </c:pt>
                <c:pt idx="59">
                  <c:v>-29.930249054037745</c:v>
                </c:pt>
                <c:pt idx="60">
                  <c:v>-33.088287857672015</c:v>
                </c:pt>
                <c:pt idx="61">
                  <c:v>-32.697982210304076</c:v>
                </c:pt>
                <c:pt idx="62">
                  <c:v>-32.573161121809676</c:v>
                </c:pt>
                <c:pt idx="63">
                  <c:v>-32.588668704464339</c:v>
                </c:pt>
                <c:pt idx="64">
                  <c:v>-30.603200018509995</c:v>
                </c:pt>
                <c:pt idx="65">
                  <c:v>-30.623994425763158</c:v>
                </c:pt>
                <c:pt idx="66">
                  <c:v>-32.086276073174076</c:v>
                </c:pt>
                <c:pt idx="67">
                  <c:v>-31.93978740157371</c:v>
                </c:pt>
                <c:pt idx="68">
                  <c:v>-31.908931798212336</c:v>
                </c:pt>
                <c:pt idx="69">
                  <c:v>-31.028608761401188</c:v>
                </c:pt>
                <c:pt idx="70">
                  <c:v>-31.855401941954312</c:v>
                </c:pt>
                <c:pt idx="71">
                  <c:v>-30.992116980376409</c:v>
                </c:pt>
                <c:pt idx="72">
                  <c:v>-31.576576904745195</c:v>
                </c:pt>
                <c:pt idx="73">
                  <c:v>-31.107725018509996</c:v>
                </c:pt>
                <c:pt idx="74">
                  <c:v>-31.585647123859189</c:v>
                </c:pt>
                <c:pt idx="75">
                  <c:v>-31.468834212662102</c:v>
                </c:pt>
                <c:pt idx="76">
                  <c:v>-31.466217575989958</c:v>
                </c:pt>
                <c:pt idx="77">
                  <c:v>-31.384782106486455</c:v>
                </c:pt>
                <c:pt idx="78">
                  <c:v>-31.3884482913179</c:v>
                </c:pt>
                <c:pt idx="79">
                  <c:v>-31.379026913112341</c:v>
                </c:pt>
                <c:pt idx="80">
                  <c:v>-31.416950018509965</c:v>
                </c:pt>
                <c:pt idx="81">
                  <c:v>-31.416950018509965</c:v>
                </c:pt>
                <c:pt idx="82">
                  <c:v>-31.416950018509965</c:v>
                </c:pt>
                <c:pt idx="83">
                  <c:v>-31.416950018509965</c:v>
                </c:pt>
                <c:pt idx="84">
                  <c:v>-31.416950018509965</c:v>
                </c:pt>
                <c:pt idx="85">
                  <c:v>-31.416950018509965</c:v>
                </c:pt>
                <c:pt idx="86">
                  <c:v>-31.416950018509965</c:v>
                </c:pt>
                <c:pt idx="87">
                  <c:v>-31.416950018509965</c:v>
                </c:pt>
              </c:numCache>
            </c:numRef>
          </c:val>
          <c:extLst>
            <c:ext xmlns:c16="http://schemas.microsoft.com/office/drawing/2014/chart" uri="{C3380CC4-5D6E-409C-BE32-E72D297353CC}">
              <c16:uniqueId val="{00000000-6CED-44C8-8981-7E128B38B3AB}"/>
            </c:ext>
          </c:extLst>
        </c:ser>
        <c:ser>
          <c:idx val="1"/>
          <c:order val="1"/>
          <c:tx>
            <c:strRef>
              <c:f>OWSA!$E$5</c:f>
              <c:strCache>
                <c:ptCount val="1"/>
                <c:pt idx="0">
                  <c:v>High Input</c:v>
                </c:pt>
              </c:strCache>
            </c:strRef>
          </c:tx>
          <c:spPr>
            <a:solidFill>
              <a:schemeClr val="accent1"/>
            </a:solidFill>
          </c:spPr>
          <c:invertIfNegative val="0"/>
          <c:cat>
            <c:strRef>
              <c:f>OWSA!$C$10:$C$33</c:f>
              <c:strCache>
                <c:ptCount val="24"/>
                <c:pt idx="0">
                  <c:v>0</c:v>
                </c:pt>
                <c:pt idx="1">
                  <c:v>0</c:v>
                </c:pt>
                <c:pt idx="2">
                  <c:v>Prev: </c:v>
                </c:pt>
                <c:pt idx="3">
                  <c:v>Adh: </c:v>
                </c:pt>
                <c:pt idx="4">
                  <c:v>0</c:v>
                </c:pt>
                <c:pt idx="5">
                  <c:v>Prev: </c:v>
                </c:pt>
                <c:pt idx="6">
                  <c:v>0</c:v>
                </c:pt>
                <c:pt idx="7">
                  <c:v>Adh: </c:v>
                </c:pt>
                <c:pt idx="8">
                  <c:v>Pen: </c:v>
                </c:pt>
                <c:pt idx="9">
                  <c:v>0</c:v>
                </c:pt>
                <c:pt idx="10">
                  <c:v>Pen: </c:v>
                </c:pt>
                <c:pt idx="11">
                  <c:v>0</c:v>
                </c:pt>
                <c:pt idx="12">
                  <c:v>Prev: </c:v>
                </c:pt>
                <c:pt idx="13">
                  <c:v>0</c:v>
                </c:pt>
                <c:pt idx="14">
                  <c:v>Adh: </c:v>
                </c:pt>
                <c:pt idx="15">
                  <c:v>0</c:v>
                </c:pt>
                <c:pt idx="16">
                  <c:v>0</c:v>
                </c:pt>
                <c:pt idx="17">
                  <c:v>0</c:v>
                </c:pt>
                <c:pt idx="18">
                  <c:v>Adh: </c:v>
                </c:pt>
                <c:pt idx="19">
                  <c:v>0</c:v>
                </c:pt>
                <c:pt idx="20">
                  <c:v>Prev: </c:v>
                </c:pt>
                <c:pt idx="21">
                  <c:v>Prev: </c:v>
                </c:pt>
                <c:pt idx="22">
                  <c:v>0</c:v>
                </c:pt>
                <c:pt idx="23">
                  <c:v>Prev: </c:v>
                </c:pt>
              </c:strCache>
            </c:strRef>
          </c:cat>
          <c:val>
            <c:numRef>
              <c:f>OWSA!$G$6:$G$93</c:f>
              <c:numCache>
                <c:formatCode>"$"#,##0</c:formatCode>
                <c:ptCount val="88"/>
                <c:pt idx="0">
                  <c:v>-281.41695001851019</c:v>
                </c:pt>
                <c:pt idx="1">
                  <c:v>-198.78752296965871</c:v>
                </c:pt>
                <c:pt idx="2">
                  <c:v>-118.77683553829098</c:v>
                </c:pt>
                <c:pt idx="3">
                  <c:v>-104.09699906300096</c:v>
                </c:pt>
                <c:pt idx="4">
                  <c:v>34.500911791572946</c:v>
                </c:pt>
                <c:pt idx="5">
                  <c:v>-115.52657046549984</c:v>
                </c:pt>
                <c:pt idx="6">
                  <c:v>36.846008786384743</c:v>
                </c:pt>
                <c:pt idx="7">
                  <c:v>36.836331231490703</c:v>
                </c:pt>
                <c:pt idx="8">
                  <c:v>-81.416950018509965</c:v>
                </c:pt>
                <c:pt idx="9">
                  <c:v>12.487154854000892</c:v>
                </c:pt>
                <c:pt idx="10">
                  <c:v>-9.7085386077210956</c:v>
                </c:pt>
                <c:pt idx="11">
                  <c:v>2.2103846201396209</c:v>
                </c:pt>
                <c:pt idx="12">
                  <c:v>1.032040065387605</c:v>
                </c:pt>
                <c:pt idx="13">
                  <c:v>-23.165160617902188</c:v>
                </c:pt>
                <c:pt idx="14">
                  <c:v>-2.3126000185101248</c:v>
                </c:pt>
                <c:pt idx="15">
                  <c:v>3.2285854661936924</c:v>
                </c:pt>
                <c:pt idx="16">
                  <c:v>-54.697651470420055</c:v>
                </c:pt>
                <c:pt idx="17">
                  <c:v>-50.379363458822127</c:v>
                </c:pt>
                <c:pt idx="18">
                  <c:v>-48.940300017494167</c:v>
                </c:pt>
                <c:pt idx="19">
                  <c:v>-14.809039163726368</c:v>
                </c:pt>
                <c:pt idx="20">
                  <c:v>-15.226042330962741</c:v>
                </c:pt>
                <c:pt idx="21">
                  <c:v>-21.460098148201041</c:v>
                </c:pt>
                <c:pt idx="22">
                  <c:v>-16.115336897167992</c:v>
                </c:pt>
                <c:pt idx="23">
                  <c:v>-7.6205580663145156</c:v>
                </c:pt>
                <c:pt idx="24">
                  <c:v>-46.281190877312781</c:v>
                </c:pt>
                <c:pt idx="25">
                  <c:v>-17.747956986475685</c:v>
                </c:pt>
                <c:pt idx="26">
                  <c:v>-13.526931895746998</c:v>
                </c:pt>
                <c:pt idx="27">
                  <c:v>-18.43095903670735</c:v>
                </c:pt>
                <c:pt idx="28">
                  <c:v>-19.255174483729661</c:v>
                </c:pt>
                <c:pt idx="29">
                  <c:v>-19.601601376077213</c:v>
                </c:pt>
                <c:pt idx="30">
                  <c:v>-43.916950018510022</c:v>
                </c:pt>
                <c:pt idx="31">
                  <c:v>-43.749773515470565</c:v>
                </c:pt>
                <c:pt idx="32">
                  <c:v>-20.217799418643438</c:v>
                </c:pt>
                <c:pt idx="33">
                  <c:v>-42.248166314710375</c:v>
                </c:pt>
                <c:pt idx="34">
                  <c:v>-42.060805461831535</c:v>
                </c:pt>
                <c:pt idx="35">
                  <c:v>-21.221830734026128</c:v>
                </c:pt>
                <c:pt idx="36">
                  <c:v>-41.416950018510022</c:v>
                </c:pt>
                <c:pt idx="37">
                  <c:v>-41.299322269789855</c:v>
                </c:pt>
                <c:pt idx="38">
                  <c:v>-41.732175706468013</c:v>
                </c:pt>
                <c:pt idx="39">
                  <c:v>-20.148904055207765</c:v>
                </c:pt>
                <c:pt idx="40">
                  <c:v>-40.976389445617599</c:v>
                </c:pt>
                <c:pt idx="41">
                  <c:v>-57.450859766833617</c:v>
                </c:pt>
                <c:pt idx="42">
                  <c:v>-23.332923350822512</c:v>
                </c:pt>
                <c:pt idx="43">
                  <c:v>-24.389054583161737</c:v>
                </c:pt>
                <c:pt idx="44">
                  <c:v>-17.875819935718312</c:v>
                </c:pt>
                <c:pt idx="45">
                  <c:v>-25.495159011445708</c:v>
                </c:pt>
                <c:pt idx="46">
                  <c:v>-25.053178323647955</c:v>
                </c:pt>
                <c:pt idx="47">
                  <c:v>-25.389542578349278</c:v>
                </c:pt>
                <c:pt idx="48">
                  <c:v>-36.979814030171383</c:v>
                </c:pt>
                <c:pt idx="49">
                  <c:v>-36.735528143509953</c:v>
                </c:pt>
                <c:pt idx="50">
                  <c:v>-35.95643748800569</c:v>
                </c:pt>
                <c:pt idx="51">
                  <c:v>-27.261081932302204</c:v>
                </c:pt>
                <c:pt idx="52">
                  <c:v>-25.604769093338405</c:v>
                </c:pt>
                <c:pt idx="53">
                  <c:v>-34.293392785678748</c:v>
                </c:pt>
                <c:pt idx="54">
                  <c:v>-33.912988764390491</c:v>
                </c:pt>
                <c:pt idx="55">
                  <c:v>-34.11523706424714</c:v>
                </c:pt>
                <c:pt idx="56">
                  <c:v>-33.715746893509959</c:v>
                </c:pt>
                <c:pt idx="57">
                  <c:v>-29.567870329410084</c:v>
                </c:pt>
                <c:pt idx="58">
                  <c:v>-29.656338135933765</c:v>
                </c:pt>
                <c:pt idx="59">
                  <c:v>-33.365235604398379</c:v>
                </c:pt>
                <c:pt idx="60">
                  <c:v>-29.753864286805936</c:v>
                </c:pt>
                <c:pt idx="61">
                  <c:v>-30.349839946443524</c:v>
                </c:pt>
                <c:pt idx="62">
                  <c:v>-30.258316203752997</c:v>
                </c:pt>
                <c:pt idx="63">
                  <c:v>-30.549584919840754</c:v>
                </c:pt>
                <c:pt idx="64">
                  <c:v>-32.230700018509992</c:v>
                </c:pt>
                <c:pt idx="65">
                  <c:v>-32.223411759877479</c:v>
                </c:pt>
                <c:pt idx="66">
                  <c:v>-30.747623963843068</c:v>
                </c:pt>
                <c:pt idx="67">
                  <c:v>-30.809978924291613</c:v>
                </c:pt>
                <c:pt idx="68">
                  <c:v>-30.931620481168693</c:v>
                </c:pt>
                <c:pt idx="69">
                  <c:v>-31.999461904164718</c:v>
                </c:pt>
                <c:pt idx="70">
                  <c:v>-30.978498095065618</c:v>
                </c:pt>
                <c:pt idx="71">
                  <c:v>-31.83655847606201</c:v>
                </c:pt>
                <c:pt idx="72">
                  <c:v>-30.884860397725845</c:v>
                </c:pt>
                <c:pt idx="73">
                  <c:v>-31.726175018509991</c:v>
                </c:pt>
                <c:pt idx="74">
                  <c:v>-31.248252913160627</c:v>
                </c:pt>
                <c:pt idx="75">
                  <c:v>-31.347771092971925</c:v>
                </c:pt>
                <c:pt idx="76">
                  <c:v>-31.366924498607204</c:v>
                </c:pt>
                <c:pt idx="77">
                  <c:v>-31.449117930533475</c:v>
                </c:pt>
                <c:pt idx="78">
                  <c:v>-31.444989805228943</c:v>
                </c:pt>
                <c:pt idx="79">
                  <c:v>-31.356905101626921</c:v>
                </c:pt>
                <c:pt idx="80">
                  <c:v>-31.41695001850718</c:v>
                </c:pt>
                <c:pt idx="81">
                  <c:v>-31.416950018509965</c:v>
                </c:pt>
                <c:pt idx="82">
                  <c:v>-31.416950018509965</c:v>
                </c:pt>
                <c:pt idx="83">
                  <c:v>-31.416950018509965</c:v>
                </c:pt>
                <c:pt idx="84">
                  <c:v>-31.416950018509965</c:v>
                </c:pt>
                <c:pt idx="85">
                  <c:v>-31.416950018509965</c:v>
                </c:pt>
                <c:pt idx="86">
                  <c:v>-31.416950018509965</c:v>
                </c:pt>
                <c:pt idx="87">
                  <c:v>-31.416950018509965</c:v>
                </c:pt>
              </c:numCache>
            </c:numRef>
          </c:val>
          <c:extLst>
            <c:ext xmlns:c16="http://schemas.microsoft.com/office/drawing/2014/chart" uri="{C3380CC4-5D6E-409C-BE32-E72D297353CC}">
              <c16:uniqueId val="{00000001-6CED-44C8-8981-7E128B38B3AB}"/>
            </c:ext>
          </c:extLst>
        </c:ser>
        <c:dLbls>
          <c:showLegendKey val="0"/>
          <c:showVal val="0"/>
          <c:showCatName val="0"/>
          <c:showSerName val="0"/>
          <c:showPercent val="0"/>
          <c:showBubbleSize val="0"/>
        </c:dLbls>
        <c:gapWidth val="100"/>
        <c:overlap val="100"/>
        <c:axId val="206097272"/>
        <c:axId val="206093744"/>
      </c:barChart>
      <c:scatterChart>
        <c:scatterStyle val="lineMarker"/>
        <c:varyColors val="0"/>
        <c:ser>
          <c:idx val="2"/>
          <c:order val="2"/>
          <c:tx>
            <c:v>zero</c:v>
          </c:tx>
          <c:spPr>
            <a:ln w="28575">
              <a:noFill/>
            </a:ln>
          </c:spPr>
          <c:marker>
            <c:symbol val="diamond"/>
            <c:size val="10"/>
            <c:spPr>
              <a:solidFill>
                <a:schemeClr val="accent5"/>
              </a:solidFill>
              <a:ln>
                <a:noFill/>
              </a:ln>
            </c:spPr>
          </c:marker>
          <c:errBars>
            <c:errDir val="y"/>
            <c:errBarType val="minus"/>
            <c:errValType val="fixedVal"/>
            <c:noEndCap val="1"/>
            <c:val val="1"/>
            <c:spPr>
              <a:ln w="19050">
                <a:solidFill>
                  <a:schemeClr val="accent5"/>
                </a:solidFill>
                <a:prstDash val="sysDash"/>
              </a:ln>
            </c:spPr>
          </c:errBars>
          <c:errBars>
            <c:errDir val="x"/>
            <c:errBarType val="both"/>
            <c:errValType val="fixedVal"/>
            <c:noEndCap val="0"/>
            <c:val val="1"/>
          </c:errBars>
          <c:yVal>
            <c:numLit>
              <c:formatCode>General</c:formatCode>
              <c:ptCount val="1"/>
              <c:pt idx="0">
                <c:v>1</c:v>
              </c:pt>
            </c:numLit>
          </c:yVal>
          <c:smooth val="0"/>
          <c:extLst>
            <c:ext xmlns:c16="http://schemas.microsoft.com/office/drawing/2014/chart" uri="{C3380CC4-5D6E-409C-BE32-E72D297353CC}">
              <c16:uniqueId val="{00000003-F1CB-49E5-9055-0FC242203BCA}"/>
            </c:ext>
          </c:extLst>
        </c:ser>
        <c:dLbls>
          <c:showLegendKey val="0"/>
          <c:showVal val="0"/>
          <c:showCatName val="0"/>
          <c:showSerName val="0"/>
          <c:showPercent val="0"/>
          <c:showBubbleSize val="0"/>
        </c:dLbls>
        <c:axId val="651779856"/>
        <c:axId val="651772512"/>
      </c:scatterChart>
      <c:catAx>
        <c:axId val="206097272"/>
        <c:scaling>
          <c:orientation val="maxMin"/>
        </c:scaling>
        <c:delete val="0"/>
        <c:axPos val="l"/>
        <c:numFmt formatCode="General" sourceLinked="0"/>
        <c:majorTickMark val="none"/>
        <c:minorTickMark val="none"/>
        <c:tickLblPos val="none"/>
        <c:spPr>
          <a:ln w="22225">
            <a:solidFill>
              <a:schemeClr val="tx2"/>
            </a:solidFill>
            <a:prstDash val="dash"/>
          </a:ln>
        </c:spPr>
        <c:crossAx val="206093744"/>
        <c:crossesAt val="-31.417000000000009"/>
        <c:auto val="1"/>
        <c:lblAlgn val="ctr"/>
        <c:lblOffset val="100"/>
        <c:noMultiLvlLbl val="0"/>
      </c:catAx>
      <c:valAx>
        <c:axId val="206093744"/>
        <c:scaling>
          <c:orientation val="minMax"/>
          <c:max val="200"/>
          <c:min val="-300"/>
        </c:scaling>
        <c:delete val="0"/>
        <c:axPos val="t"/>
        <c:numFmt formatCode="&quot;$&quot;#,###;\-&quot;$&quot;#,###;&quot;$&quot;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06097272"/>
        <c:crosses val="autoZero"/>
        <c:crossBetween val="between"/>
        <c:majorUnit val="100"/>
      </c:valAx>
      <c:valAx>
        <c:axId val="651772512"/>
        <c:scaling>
          <c:orientation val="minMax"/>
          <c:max val="1"/>
        </c:scaling>
        <c:delete val="1"/>
        <c:axPos val="r"/>
        <c:numFmt formatCode="General" sourceLinked="1"/>
        <c:majorTickMark val="out"/>
        <c:minorTickMark val="none"/>
        <c:tickLblPos val="nextTo"/>
        <c:crossAx val="651779856"/>
        <c:crosses val="max"/>
        <c:crossBetween val="midCat"/>
      </c:valAx>
      <c:valAx>
        <c:axId val="651779856"/>
        <c:scaling>
          <c:orientation val="minMax"/>
        </c:scaling>
        <c:delete val="1"/>
        <c:axPos val="b"/>
        <c:majorTickMark val="out"/>
        <c:minorTickMark val="none"/>
        <c:tickLblPos val="nextTo"/>
        <c:crossAx val="651772512"/>
        <c:crosses val="autoZero"/>
        <c:crossBetween val="midCat"/>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733171815061572E-2"/>
          <c:y val="2.7408810385188342E-2"/>
          <c:w val="0.87290288713910758"/>
          <c:h val="0.94536213378733058"/>
        </c:manualLayout>
      </c:layout>
      <c:barChart>
        <c:barDir val="bar"/>
        <c:grouping val="clustered"/>
        <c:varyColors val="0"/>
        <c:ser>
          <c:idx val="0"/>
          <c:order val="0"/>
          <c:tx>
            <c:strRef>
              <c:f>Breast_Ovarian!$CF$22</c:f>
              <c:strCache>
                <c:ptCount val="1"/>
                <c:pt idx="0">
                  <c:v>Low Result</c:v>
                </c:pt>
              </c:strCache>
            </c:strRef>
          </c:tx>
          <c:spPr>
            <a:solidFill>
              <a:schemeClr val="accent6"/>
            </a:solidFill>
            <a:ln>
              <a:noFill/>
            </a:ln>
            <a:effectLst/>
          </c:spPr>
          <c:invertIfNegative val="0"/>
          <c:val>
            <c:numRef>
              <c:f>Breast_Ovarian!$CF$24:$CF$58</c:f>
              <c:numCache>
                <c:formatCode>"$"#,###</c:formatCode>
                <c:ptCount val="35"/>
                <c:pt idx="0">
                  <c:v>-43782.87992904034</c:v>
                </c:pt>
                <c:pt idx="1">
                  <c:v>-12921.586553138548</c:v>
                </c:pt>
                <c:pt idx="2">
                  <c:v>-18361.699608876454</c:v>
                </c:pt>
                <c:pt idx="3">
                  <c:v>-19093.094292450136</c:v>
                </c:pt>
                <c:pt idx="4">
                  <c:v>-15872.893412480213</c:v>
                </c:pt>
                <c:pt idx="5">
                  <c:v>-15952.037073405754</c:v>
                </c:pt>
                <c:pt idx="6">
                  <c:v>-17778.455065846374</c:v>
                </c:pt>
                <c:pt idx="7">
                  <c:v>-16183.043202078337</c:v>
                </c:pt>
                <c:pt idx="8">
                  <c:v>-17406.396885559192</c:v>
                </c:pt>
                <c:pt idx="9">
                  <c:v>-16326.544803815203</c:v>
                </c:pt>
                <c:pt idx="10">
                  <c:v>-16378.033654794423</c:v>
                </c:pt>
                <c:pt idx="11">
                  <c:v>-16398.730426356429</c:v>
                </c:pt>
                <c:pt idx="12">
                  <c:v>-17441.769436578368</c:v>
                </c:pt>
                <c:pt idx="13">
                  <c:v>-16485.443063321665</c:v>
                </c:pt>
                <c:pt idx="14">
                  <c:v>-17221.911533038583</c:v>
                </c:pt>
                <c:pt idx="15">
                  <c:v>-16495.531815531787</c:v>
                </c:pt>
                <c:pt idx="16">
                  <c:v>-16524.082280493381</c:v>
                </c:pt>
                <c:pt idx="17">
                  <c:v>-17346.764618963585</c:v>
                </c:pt>
                <c:pt idx="18">
                  <c:v>-16573.285760942774</c:v>
                </c:pt>
                <c:pt idx="19">
                  <c:v>-16621.053963125141</c:v>
                </c:pt>
                <c:pt idx="20">
                  <c:v>-17253.996952475241</c:v>
                </c:pt>
                <c:pt idx="21">
                  <c:v>-17175.32033380272</c:v>
                </c:pt>
                <c:pt idx="22">
                  <c:v>-16778.982547440934</c:v>
                </c:pt>
                <c:pt idx="23">
                  <c:v>-16811.779815732276</c:v>
                </c:pt>
                <c:pt idx="24">
                  <c:v>-16817.848499659642</c:v>
                </c:pt>
                <c:pt idx="25">
                  <c:v>-16854.391079581615</c:v>
                </c:pt>
                <c:pt idx="26">
                  <c:v>-17061.73056112379</c:v>
                </c:pt>
                <c:pt idx="27">
                  <c:v>-17050.597927024148</c:v>
                </c:pt>
                <c:pt idx="28">
                  <c:v>-16888.273767866096</c:v>
                </c:pt>
                <c:pt idx="29">
                  <c:v>-16938.440850860909</c:v>
                </c:pt>
                <c:pt idx="30">
                  <c:v>-16948.376420637425</c:v>
                </c:pt>
                <c:pt idx="31">
                  <c:v>-16966.524577706627</c:v>
                </c:pt>
                <c:pt idx="32">
                  <c:v>-16958.590905666293</c:v>
                </c:pt>
                <c:pt idx="33">
                  <c:v>-16958.590905666293</c:v>
                </c:pt>
                <c:pt idx="34">
                  <c:v>-16958.590905666293</c:v>
                </c:pt>
              </c:numCache>
            </c:numRef>
          </c:val>
          <c:extLst>
            <c:ext xmlns:c16="http://schemas.microsoft.com/office/drawing/2014/chart" uri="{C3380CC4-5D6E-409C-BE32-E72D297353CC}">
              <c16:uniqueId val="{00000000-1DF1-4AA6-9865-01233F93FA75}"/>
            </c:ext>
          </c:extLst>
        </c:ser>
        <c:ser>
          <c:idx val="1"/>
          <c:order val="1"/>
          <c:tx>
            <c:strRef>
              <c:f>Breast_Ovarian!$CG$22</c:f>
              <c:strCache>
                <c:ptCount val="1"/>
                <c:pt idx="0">
                  <c:v>High Result</c:v>
                </c:pt>
              </c:strCache>
            </c:strRef>
          </c:tx>
          <c:spPr>
            <a:solidFill>
              <a:schemeClr val="accent1"/>
            </a:solidFill>
            <a:ln>
              <a:noFill/>
            </a:ln>
            <a:effectLst/>
          </c:spPr>
          <c:invertIfNegative val="0"/>
          <c:val>
            <c:numRef>
              <c:f>Breast_Ovarian!$CG$24:$CG$58</c:f>
              <c:numCache>
                <c:formatCode>"$"#,###</c:formatCode>
                <c:ptCount val="35"/>
                <c:pt idx="0">
                  <c:v>-12652.170493529822</c:v>
                </c:pt>
                <c:pt idx="1">
                  <c:v>-23412.718723976555</c:v>
                </c:pt>
                <c:pt idx="2">
                  <c:v>-10484.239000311896</c:v>
                </c:pt>
                <c:pt idx="3">
                  <c:v>-14392.502420795381</c:v>
                </c:pt>
                <c:pt idx="4">
                  <c:v>-18203.715385975749</c:v>
                </c:pt>
                <c:pt idx="5">
                  <c:v>-17965.144737927112</c:v>
                </c:pt>
                <c:pt idx="6">
                  <c:v>-16138.72674548565</c:v>
                </c:pt>
                <c:pt idx="7">
                  <c:v>-17734.138609254107</c:v>
                </c:pt>
                <c:pt idx="8">
                  <c:v>-16131.559295632791</c:v>
                </c:pt>
                <c:pt idx="9">
                  <c:v>-17590.63700751682</c:v>
                </c:pt>
                <c:pt idx="10">
                  <c:v>-17539.14815653774</c:v>
                </c:pt>
                <c:pt idx="11">
                  <c:v>-17518.451384976157</c:v>
                </c:pt>
                <c:pt idx="12">
                  <c:v>-16475.412374754214</c:v>
                </c:pt>
                <c:pt idx="13">
                  <c:v>-17431.738748010921</c:v>
                </c:pt>
                <c:pt idx="14">
                  <c:v>-16286.58012709365</c:v>
                </c:pt>
                <c:pt idx="15">
                  <c:v>-17421.649995800377</c:v>
                </c:pt>
                <c:pt idx="16">
                  <c:v>-17393.099530838783</c:v>
                </c:pt>
                <c:pt idx="17">
                  <c:v>-16561.264902888237</c:v>
                </c:pt>
                <c:pt idx="18">
                  <c:v>-17343.896050389107</c:v>
                </c:pt>
                <c:pt idx="19">
                  <c:v>-17310.121285552501</c:v>
                </c:pt>
                <c:pt idx="20">
                  <c:v>-16663.184858857483</c:v>
                </c:pt>
                <c:pt idx="21">
                  <c:v>-16740.530576252815</c:v>
                </c:pt>
                <c:pt idx="22">
                  <c:v>-17138.199263890947</c:v>
                </c:pt>
                <c:pt idx="23">
                  <c:v>-17105.401995600027</c:v>
                </c:pt>
                <c:pt idx="24">
                  <c:v>-17099.333311672941</c:v>
                </c:pt>
                <c:pt idx="25">
                  <c:v>-17064.08714724964</c:v>
                </c:pt>
                <c:pt idx="26">
                  <c:v>-16858.757912648103</c:v>
                </c:pt>
                <c:pt idx="27">
                  <c:v>-16867.444956953994</c:v>
                </c:pt>
                <c:pt idx="28">
                  <c:v>-17029.496045919706</c:v>
                </c:pt>
                <c:pt idx="29">
                  <c:v>-16978.788958784691</c:v>
                </c:pt>
                <c:pt idx="30">
                  <c:v>-16968.842541333066</c:v>
                </c:pt>
                <c:pt idx="31">
                  <c:v>-16950.623520417663</c:v>
                </c:pt>
                <c:pt idx="32">
                  <c:v>-16958.590905666293</c:v>
                </c:pt>
                <c:pt idx="33">
                  <c:v>-16958.590905666293</c:v>
                </c:pt>
                <c:pt idx="34">
                  <c:v>-16958.590905666293</c:v>
                </c:pt>
              </c:numCache>
            </c:numRef>
          </c:val>
          <c:extLst>
            <c:ext xmlns:c16="http://schemas.microsoft.com/office/drawing/2014/chart" uri="{C3380CC4-5D6E-409C-BE32-E72D297353CC}">
              <c16:uniqueId val="{00000001-1DF1-4AA6-9865-01233F93FA75}"/>
            </c:ext>
          </c:extLst>
        </c:ser>
        <c:dLbls>
          <c:showLegendKey val="0"/>
          <c:showVal val="0"/>
          <c:showCatName val="0"/>
          <c:showSerName val="0"/>
          <c:showPercent val="0"/>
          <c:showBubbleSize val="0"/>
        </c:dLbls>
        <c:gapWidth val="75"/>
        <c:overlap val="100"/>
        <c:axId val="1645698816"/>
        <c:axId val="1301075840"/>
      </c:barChart>
      <c:catAx>
        <c:axId val="1645698816"/>
        <c:scaling>
          <c:orientation val="maxMin"/>
        </c:scaling>
        <c:delete val="0"/>
        <c:axPos val="l"/>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301075840"/>
        <c:crossesAt val="-16958.590905666293"/>
        <c:auto val="1"/>
        <c:lblAlgn val="ctr"/>
        <c:lblOffset val="100"/>
        <c:noMultiLvlLbl val="0"/>
      </c:catAx>
      <c:valAx>
        <c:axId val="1301075840"/>
        <c:scaling>
          <c:orientation val="minMax"/>
          <c:max val="-10000"/>
          <c:min val="-44000"/>
        </c:scaling>
        <c:delete val="0"/>
        <c:axPos val="t"/>
        <c:numFmt formatCode="&quot;$&quot;#,,&quot;M&quot;;\-&quot;$&quot;#,,&quot;M&quot;;&quot;$&quot;0" sourceLinked="0"/>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645698816"/>
        <c:crosses val="autoZero"/>
        <c:crossBetween val="between"/>
        <c:majorUnit val="68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8.4375564734735994E-2"/>
          <c:y val="8.5571607896839E-2"/>
          <c:w val="0.8319408962768543"/>
          <c:h val="0.76929798775153102"/>
        </c:manualLayout>
      </c:layout>
      <c:scatterChart>
        <c:scatterStyle val="smoothMarker"/>
        <c:varyColors val="0"/>
        <c:ser>
          <c:idx val="1"/>
          <c:order val="0"/>
          <c:tx>
            <c:v>Pr_Cost-Effective</c:v>
          </c:tx>
          <c:spPr>
            <a:ln>
              <a:solidFill>
                <a:schemeClr val="accent1"/>
              </a:solidFill>
            </a:ln>
          </c:spPr>
          <c:marker>
            <c:symbol val="none"/>
          </c:marker>
          <c:xVal>
            <c:numRef>
              <c:f>PSA!$J$16:$J$156</c:f>
              <c:numCache>
                <c:formatCode>"$"#,##0</c:formatCode>
                <c:ptCount val="141"/>
                <c:pt idx="0">
                  <c:v>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2400</c:v>
                </c:pt>
                <c:pt idx="25">
                  <c:v>2500</c:v>
                </c:pt>
                <c:pt idx="26">
                  <c:v>2600</c:v>
                </c:pt>
                <c:pt idx="27">
                  <c:v>2700</c:v>
                </c:pt>
                <c:pt idx="28">
                  <c:v>2800</c:v>
                </c:pt>
                <c:pt idx="29">
                  <c:v>2900</c:v>
                </c:pt>
                <c:pt idx="30">
                  <c:v>3000</c:v>
                </c:pt>
                <c:pt idx="31">
                  <c:v>3100</c:v>
                </c:pt>
                <c:pt idx="32">
                  <c:v>3200</c:v>
                </c:pt>
                <c:pt idx="33">
                  <c:v>3300</c:v>
                </c:pt>
                <c:pt idx="34">
                  <c:v>3400</c:v>
                </c:pt>
                <c:pt idx="35">
                  <c:v>3500</c:v>
                </c:pt>
                <c:pt idx="36">
                  <c:v>3600</c:v>
                </c:pt>
                <c:pt idx="37">
                  <c:v>3700</c:v>
                </c:pt>
                <c:pt idx="38">
                  <c:v>3800</c:v>
                </c:pt>
                <c:pt idx="39">
                  <c:v>3900</c:v>
                </c:pt>
                <c:pt idx="40">
                  <c:v>4000</c:v>
                </c:pt>
                <c:pt idx="41">
                  <c:v>4100</c:v>
                </c:pt>
                <c:pt idx="42">
                  <c:v>4200</c:v>
                </c:pt>
                <c:pt idx="43">
                  <c:v>4300</c:v>
                </c:pt>
                <c:pt idx="44">
                  <c:v>4400</c:v>
                </c:pt>
                <c:pt idx="45">
                  <c:v>4500</c:v>
                </c:pt>
                <c:pt idx="46">
                  <c:v>4600</c:v>
                </c:pt>
                <c:pt idx="47">
                  <c:v>4700</c:v>
                </c:pt>
                <c:pt idx="48">
                  <c:v>4800</c:v>
                </c:pt>
                <c:pt idx="49">
                  <c:v>4900</c:v>
                </c:pt>
                <c:pt idx="50">
                  <c:v>5000</c:v>
                </c:pt>
                <c:pt idx="51">
                  <c:v>6000</c:v>
                </c:pt>
                <c:pt idx="52">
                  <c:v>7000</c:v>
                </c:pt>
                <c:pt idx="53">
                  <c:v>8000</c:v>
                </c:pt>
                <c:pt idx="54">
                  <c:v>9000</c:v>
                </c:pt>
                <c:pt idx="55">
                  <c:v>10000</c:v>
                </c:pt>
                <c:pt idx="56">
                  <c:v>11000</c:v>
                </c:pt>
                <c:pt idx="57">
                  <c:v>12000</c:v>
                </c:pt>
                <c:pt idx="58">
                  <c:v>13000</c:v>
                </c:pt>
                <c:pt idx="59">
                  <c:v>14000</c:v>
                </c:pt>
                <c:pt idx="60">
                  <c:v>15000</c:v>
                </c:pt>
                <c:pt idx="61">
                  <c:v>16000</c:v>
                </c:pt>
                <c:pt idx="62">
                  <c:v>17000</c:v>
                </c:pt>
                <c:pt idx="63">
                  <c:v>18000</c:v>
                </c:pt>
                <c:pt idx="64">
                  <c:v>19000</c:v>
                </c:pt>
                <c:pt idx="65">
                  <c:v>20000</c:v>
                </c:pt>
                <c:pt idx="66">
                  <c:v>21000</c:v>
                </c:pt>
                <c:pt idx="67">
                  <c:v>22000</c:v>
                </c:pt>
                <c:pt idx="68">
                  <c:v>23000</c:v>
                </c:pt>
                <c:pt idx="69">
                  <c:v>24000</c:v>
                </c:pt>
                <c:pt idx="70">
                  <c:v>25000</c:v>
                </c:pt>
                <c:pt idx="71">
                  <c:v>27500</c:v>
                </c:pt>
                <c:pt idx="72">
                  <c:v>30000</c:v>
                </c:pt>
                <c:pt idx="73">
                  <c:v>32500</c:v>
                </c:pt>
                <c:pt idx="74">
                  <c:v>35000</c:v>
                </c:pt>
                <c:pt idx="75">
                  <c:v>37500</c:v>
                </c:pt>
                <c:pt idx="76">
                  <c:v>40000</c:v>
                </c:pt>
                <c:pt idx="77">
                  <c:v>42500</c:v>
                </c:pt>
                <c:pt idx="78">
                  <c:v>45000</c:v>
                </c:pt>
                <c:pt idx="79">
                  <c:v>47500</c:v>
                </c:pt>
                <c:pt idx="80">
                  <c:v>50000</c:v>
                </c:pt>
                <c:pt idx="81">
                  <c:v>52500</c:v>
                </c:pt>
                <c:pt idx="82">
                  <c:v>55000</c:v>
                </c:pt>
                <c:pt idx="83">
                  <c:v>57500</c:v>
                </c:pt>
                <c:pt idx="84">
                  <c:v>60000</c:v>
                </c:pt>
                <c:pt idx="85">
                  <c:v>62500</c:v>
                </c:pt>
                <c:pt idx="86">
                  <c:v>65000</c:v>
                </c:pt>
                <c:pt idx="87">
                  <c:v>67500</c:v>
                </c:pt>
                <c:pt idx="88">
                  <c:v>70000</c:v>
                </c:pt>
                <c:pt idx="89">
                  <c:v>72500</c:v>
                </c:pt>
                <c:pt idx="90">
                  <c:v>75000</c:v>
                </c:pt>
                <c:pt idx="91">
                  <c:v>77500</c:v>
                </c:pt>
                <c:pt idx="92">
                  <c:v>80000</c:v>
                </c:pt>
                <c:pt idx="93">
                  <c:v>82500</c:v>
                </c:pt>
                <c:pt idx="94">
                  <c:v>85000</c:v>
                </c:pt>
                <c:pt idx="95">
                  <c:v>87500</c:v>
                </c:pt>
                <c:pt idx="96">
                  <c:v>90000</c:v>
                </c:pt>
                <c:pt idx="97">
                  <c:v>92500</c:v>
                </c:pt>
                <c:pt idx="98">
                  <c:v>95000</c:v>
                </c:pt>
                <c:pt idx="99">
                  <c:v>97500</c:v>
                </c:pt>
                <c:pt idx="100">
                  <c:v>100000</c:v>
                </c:pt>
                <c:pt idx="101">
                  <c:v>102500</c:v>
                </c:pt>
                <c:pt idx="102">
                  <c:v>105000</c:v>
                </c:pt>
                <c:pt idx="103">
                  <c:v>107500</c:v>
                </c:pt>
                <c:pt idx="104">
                  <c:v>110000</c:v>
                </c:pt>
                <c:pt idx="105">
                  <c:v>112500</c:v>
                </c:pt>
                <c:pt idx="106">
                  <c:v>115000</c:v>
                </c:pt>
                <c:pt idx="107">
                  <c:v>117500</c:v>
                </c:pt>
                <c:pt idx="108">
                  <c:v>120000</c:v>
                </c:pt>
                <c:pt idx="109">
                  <c:v>122500</c:v>
                </c:pt>
                <c:pt idx="110">
                  <c:v>125000</c:v>
                </c:pt>
                <c:pt idx="111">
                  <c:v>127500</c:v>
                </c:pt>
                <c:pt idx="112">
                  <c:v>130000</c:v>
                </c:pt>
                <c:pt idx="113">
                  <c:v>132500</c:v>
                </c:pt>
                <c:pt idx="114">
                  <c:v>135000</c:v>
                </c:pt>
                <c:pt idx="115">
                  <c:v>137500</c:v>
                </c:pt>
                <c:pt idx="116">
                  <c:v>140000</c:v>
                </c:pt>
                <c:pt idx="117">
                  <c:v>142500</c:v>
                </c:pt>
                <c:pt idx="118">
                  <c:v>145000</c:v>
                </c:pt>
                <c:pt idx="119">
                  <c:v>147500</c:v>
                </c:pt>
                <c:pt idx="120">
                  <c:v>150000</c:v>
                </c:pt>
                <c:pt idx="121">
                  <c:v>152500</c:v>
                </c:pt>
                <c:pt idx="122">
                  <c:v>155000</c:v>
                </c:pt>
                <c:pt idx="123">
                  <c:v>157500</c:v>
                </c:pt>
                <c:pt idx="124">
                  <c:v>160000</c:v>
                </c:pt>
                <c:pt idx="125">
                  <c:v>162500</c:v>
                </c:pt>
                <c:pt idx="126">
                  <c:v>165000</c:v>
                </c:pt>
                <c:pt idx="127">
                  <c:v>167500</c:v>
                </c:pt>
                <c:pt idx="128">
                  <c:v>170000</c:v>
                </c:pt>
                <c:pt idx="129">
                  <c:v>172500</c:v>
                </c:pt>
                <c:pt idx="130">
                  <c:v>175000</c:v>
                </c:pt>
                <c:pt idx="131">
                  <c:v>177500</c:v>
                </c:pt>
                <c:pt idx="132">
                  <c:v>180000</c:v>
                </c:pt>
                <c:pt idx="133">
                  <c:v>182500</c:v>
                </c:pt>
                <c:pt idx="134">
                  <c:v>185000</c:v>
                </c:pt>
                <c:pt idx="135">
                  <c:v>187500</c:v>
                </c:pt>
                <c:pt idx="136">
                  <c:v>190000</c:v>
                </c:pt>
                <c:pt idx="137">
                  <c:v>192500</c:v>
                </c:pt>
                <c:pt idx="138">
                  <c:v>195000</c:v>
                </c:pt>
                <c:pt idx="139">
                  <c:v>197500</c:v>
                </c:pt>
                <c:pt idx="140">
                  <c:v>200000</c:v>
                </c:pt>
              </c:numCache>
            </c:numRef>
          </c:xVal>
          <c:yVal>
            <c:numRef>
              <c:f>PSA!$L$16:$L$156</c:f>
              <c:numCache>
                <c:formatCode>General</c:formatCode>
                <c:ptCount val="141"/>
                <c:pt idx="0">
                  <c:v>0.996</c:v>
                </c:pt>
                <c:pt idx="1">
                  <c:v>0.996</c:v>
                </c:pt>
                <c:pt idx="2">
                  <c:v>0.996</c:v>
                </c:pt>
                <c:pt idx="3">
                  <c:v>0.996</c:v>
                </c:pt>
                <c:pt idx="4">
                  <c:v>0.996</c:v>
                </c:pt>
                <c:pt idx="5">
                  <c:v>0.996</c:v>
                </c:pt>
                <c:pt idx="6">
                  <c:v>0.997</c:v>
                </c:pt>
                <c:pt idx="7">
                  <c:v>0.997</c:v>
                </c:pt>
                <c:pt idx="8">
                  <c:v>0.997</c:v>
                </c:pt>
                <c:pt idx="9">
                  <c:v>0.997</c:v>
                </c:pt>
                <c:pt idx="10">
                  <c:v>0.997</c:v>
                </c:pt>
                <c:pt idx="11">
                  <c:v>0.997</c:v>
                </c:pt>
                <c:pt idx="12">
                  <c:v>0.998</c:v>
                </c:pt>
                <c:pt idx="13">
                  <c:v>0.998</c:v>
                </c:pt>
                <c:pt idx="14">
                  <c:v>0.998</c:v>
                </c:pt>
                <c:pt idx="15">
                  <c:v>0.998</c:v>
                </c:pt>
                <c:pt idx="16">
                  <c:v>0.999</c:v>
                </c:pt>
                <c:pt idx="17">
                  <c:v>0.999</c:v>
                </c:pt>
                <c:pt idx="18">
                  <c:v>0.999</c:v>
                </c:pt>
                <c:pt idx="19">
                  <c:v>0.999</c:v>
                </c:pt>
                <c:pt idx="20">
                  <c:v>0.999</c:v>
                </c:pt>
                <c:pt idx="21">
                  <c:v>0.999</c:v>
                </c:pt>
                <c:pt idx="22">
                  <c:v>0.999</c:v>
                </c:pt>
                <c:pt idx="23">
                  <c:v>0.999</c:v>
                </c:pt>
                <c:pt idx="24">
                  <c:v>0.999</c:v>
                </c:pt>
                <c:pt idx="25">
                  <c:v>0.999</c:v>
                </c:pt>
                <c:pt idx="26">
                  <c:v>0.999</c:v>
                </c:pt>
                <c:pt idx="27">
                  <c:v>0.999</c:v>
                </c:pt>
                <c:pt idx="28">
                  <c:v>0.999</c:v>
                </c:pt>
                <c:pt idx="29">
                  <c:v>0.999</c:v>
                </c:pt>
                <c:pt idx="30">
                  <c:v>0.999</c:v>
                </c:pt>
                <c:pt idx="31">
                  <c:v>0.999</c:v>
                </c:pt>
                <c:pt idx="32">
                  <c:v>0.999</c:v>
                </c:pt>
                <c:pt idx="33">
                  <c:v>0.999</c:v>
                </c:pt>
                <c:pt idx="34">
                  <c:v>0.999</c:v>
                </c:pt>
                <c:pt idx="35">
                  <c:v>0.999</c:v>
                </c:pt>
                <c:pt idx="36">
                  <c:v>0.999</c:v>
                </c:pt>
                <c:pt idx="37">
                  <c:v>0.999</c:v>
                </c:pt>
                <c:pt idx="38">
                  <c:v>0.999</c:v>
                </c:pt>
                <c:pt idx="39">
                  <c:v>0.999</c:v>
                </c:pt>
                <c:pt idx="40">
                  <c:v>0.999</c:v>
                </c:pt>
                <c:pt idx="41">
                  <c:v>0.999</c:v>
                </c:pt>
                <c:pt idx="42">
                  <c:v>0.999</c:v>
                </c:pt>
                <c:pt idx="43">
                  <c:v>0.999</c:v>
                </c:pt>
                <c:pt idx="44">
                  <c:v>0.999</c:v>
                </c:pt>
                <c:pt idx="45">
                  <c:v>0.999</c:v>
                </c:pt>
                <c:pt idx="46">
                  <c:v>0.999</c:v>
                </c:pt>
                <c:pt idx="47">
                  <c:v>0.999</c:v>
                </c:pt>
                <c:pt idx="48">
                  <c:v>0.999</c:v>
                </c:pt>
                <c:pt idx="49">
                  <c:v>0.999</c:v>
                </c:pt>
                <c:pt idx="50">
                  <c:v>0.999</c:v>
                </c:pt>
                <c:pt idx="51">
                  <c:v>0.999</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0.999</c:v>
                </c:pt>
                <c:pt idx="112">
                  <c:v>0.999</c:v>
                </c:pt>
                <c:pt idx="113">
                  <c:v>0.999</c:v>
                </c:pt>
                <c:pt idx="114">
                  <c:v>0.999</c:v>
                </c:pt>
                <c:pt idx="115">
                  <c:v>0.999</c:v>
                </c:pt>
                <c:pt idx="116">
                  <c:v>0.999</c:v>
                </c:pt>
                <c:pt idx="117">
                  <c:v>0.999</c:v>
                </c:pt>
                <c:pt idx="118">
                  <c:v>0.999</c:v>
                </c:pt>
                <c:pt idx="119">
                  <c:v>0.999</c:v>
                </c:pt>
                <c:pt idx="120">
                  <c:v>0.999</c:v>
                </c:pt>
                <c:pt idx="121">
                  <c:v>0.999</c:v>
                </c:pt>
                <c:pt idx="122">
                  <c:v>0.999</c:v>
                </c:pt>
                <c:pt idx="123">
                  <c:v>0.999</c:v>
                </c:pt>
                <c:pt idx="124">
                  <c:v>0.999</c:v>
                </c:pt>
                <c:pt idx="125">
                  <c:v>0.999</c:v>
                </c:pt>
                <c:pt idx="126">
                  <c:v>0.999</c:v>
                </c:pt>
                <c:pt idx="127">
                  <c:v>0.999</c:v>
                </c:pt>
                <c:pt idx="128">
                  <c:v>0.999</c:v>
                </c:pt>
                <c:pt idx="129">
                  <c:v>0.999</c:v>
                </c:pt>
                <c:pt idx="130">
                  <c:v>0.999</c:v>
                </c:pt>
                <c:pt idx="131">
                  <c:v>0.999</c:v>
                </c:pt>
                <c:pt idx="132">
                  <c:v>0.999</c:v>
                </c:pt>
                <c:pt idx="133">
                  <c:v>0.999</c:v>
                </c:pt>
                <c:pt idx="134">
                  <c:v>0.999</c:v>
                </c:pt>
                <c:pt idx="135">
                  <c:v>0.999</c:v>
                </c:pt>
                <c:pt idx="136">
                  <c:v>0.999</c:v>
                </c:pt>
                <c:pt idx="137">
                  <c:v>0.999</c:v>
                </c:pt>
                <c:pt idx="138">
                  <c:v>0.999</c:v>
                </c:pt>
                <c:pt idx="139">
                  <c:v>0.999</c:v>
                </c:pt>
                <c:pt idx="140">
                  <c:v>0.999</c:v>
                </c:pt>
              </c:numCache>
            </c:numRef>
          </c:yVal>
          <c:smooth val="1"/>
          <c:extLst>
            <c:ext xmlns:c16="http://schemas.microsoft.com/office/drawing/2014/chart" uri="{C3380CC4-5D6E-409C-BE32-E72D297353CC}">
              <c16:uniqueId val="{00000000-46D1-4118-967B-88E5D263CAC5}"/>
            </c:ext>
          </c:extLst>
        </c:ser>
        <c:dLbls>
          <c:showLegendKey val="0"/>
          <c:showVal val="0"/>
          <c:showCatName val="0"/>
          <c:showSerName val="0"/>
          <c:showPercent val="0"/>
          <c:showBubbleSize val="0"/>
        </c:dLbls>
        <c:axId val="403006520"/>
        <c:axId val="403006128"/>
        <c:extLst>
          <c:ext xmlns:c15="http://schemas.microsoft.com/office/drawing/2012/chart" uri="{02D57815-91ED-43cb-92C2-25804820EDAC}">
            <c15:filteredScatterSeries>
              <c15:ser>
                <c:idx val="0"/>
                <c:order val="1"/>
                <c:tx>
                  <c:v>ICER</c:v>
                </c:tx>
                <c:marker>
                  <c:symbol val="none"/>
                </c:marker>
                <c:dPt>
                  <c:idx val="0"/>
                  <c:marker>
                    <c:symbol val="circle"/>
                    <c:size val="8"/>
                    <c:spPr>
                      <a:solidFill>
                        <a:schemeClr val="tx2"/>
                      </a:solidFill>
                      <a:ln>
                        <a:noFill/>
                      </a:ln>
                    </c:spPr>
                  </c:marker>
                  <c:bubble3D val="0"/>
                  <c:extLst>
                    <c:ext xmlns:c16="http://schemas.microsoft.com/office/drawing/2014/chart" uri="{C3380CC4-5D6E-409C-BE32-E72D297353CC}">
                      <c16:uniqueId val="{00000001-46D1-4118-967B-88E5D263CAC5}"/>
                    </c:ext>
                  </c:extLst>
                </c:dPt>
                <c:dLbls>
                  <c:dLbl>
                    <c:idx val="0"/>
                    <c:spPr>
                      <a:noFill/>
                      <a:ln>
                        <a:noFill/>
                      </a:ln>
                      <a:effectLst/>
                    </c:spPr>
                    <c:txPr>
                      <a:bodyPr wrap="square" lIns="38100" tIns="19050" rIns="38100" bIns="19050" anchor="ctr">
                        <a:spAutoFit/>
                      </a:bodyPr>
                      <a:lstStyle/>
                      <a:p>
                        <a:pPr>
                          <a:defRPr b="1">
                            <a:solidFill>
                              <a:schemeClr val="tx1"/>
                            </a:solidFill>
                          </a:defRPr>
                        </a:pPr>
                        <a:endParaRPr lang="en-US"/>
                      </a:p>
                    </c:txPr>
                    <c:showLegendKey val="0"/>
                    <c:showVal val="0"/>
                    <c:showCatName val="1"/>
                    <c:showSerName val="1"/>
                    <c:showPercent val="0"/>
                    <c:showBubbleSize val="0"/>
                    <c:extLst>
                      <c:ext xmlns:c16="http://schemas.microsoft.com/office/drawing/2014/chart" uri="{C3380CC4-5D6E-409C-BE32-E72D297353CC}">
                        <c16:uniqueId val="{00000001-46D1-4118-967B-88E5D263CAC5}"/>
                      </c:ext>
                    </c:extLst>
                  </c:dLbl>
                  <c:spPr>
                    <a:noFill/>
                    <a:ln>
                      <a:noFill/>
                    </a:ln>
                    <a:effectLst/>
                  </c:spPr>
                  <c:showLegendKey val="0"/>
                  <c:showVal val="0"/>
                  <c:showCatName val="1"/>
                  <c:showSerName val="1"/>
                  <c:showPercent val="0"/>
                  <c:showBubbleSize val="0"/>
                  <c:showLeaderLines val="0"/>
                  <c:extLst>
                    <c:ext uri="{CE6537A1-D6FC-4f65-9D91-7224C49458BB}">
                      <c15:showLeaderLines val="1"/>
                    </c:ext>
                  </c:extLst>
                </c:dLbls>
                <c:xVal>
                  <c:numRef>
                    <c:extLst>
                      <c:ext uri="{02D57815-91ED-43cb-92C2-25804820EDAC}">
                        <c15:formulaRef>
                          <c15:sqref>PSA!$L$12</c15:sqref>
                        </c15:formulaRef>
                      </c:ext>
                    </c:extLst>
                    <c:numCache>
                      <c:formatCode>General</c:formatCode>
                      <c:ptCount val="1"/>
                      <c:pt idx="0">
                        <c:v>-13433.814257288128</c:v>
                      </c:pt>
                    </c:numCache>
                  </c:numRef>
                </c:xVal>
                <c:yVal>
                  <c:numLit>
                    <c:formatCode>General</c:formatCode>
                    <c:ptCount val="1"/>
                    <c:pt idx="0">
                      <c:v>0.5</c:v>
                    </c:pt>
                  </c:numLit>
                </c:yVal>
                <c:smooth val="1"/>
                <c:extLst>
                  <c:ext xmlns:c16="http://schemas.microsoft.com/office/drawing/2014/chart" uri="{C3380CC4-5D6E-409C-BE32-E72D297353CC}">
                    <c16:uniqueId val="{00000002-46D1-4118-967B-88E5D263CAC5}"/>
                  </c:ext>
                </c:extLst>
              </c15:ser>
            </c15:filteredScatterSeries>
          </c:ext>
        </c:extLst>
      </c:scatterChart>
      <c:valAx>
        <c:axId val="403006520"/>
        <c:scaling>
          <c:orientation val="minMax"/>
          <c:max val="200000"/>
        </c:scaling>
        <c:delete val="0"/>
        <c:axPos val="b"/>
        <c:majorGridlines>
          <c:spPr>
            <a:ln>
              <a:solidFill>
                <a:schemeClr val="bg2">
                  <a:lumMod val="90000"/>
                </a:schemeClr>
              </a:solidFill>
            </a:ln>
          </c:spPr>
        </c:majorGridlines>
        <c:numFmt formatCode="&quot;$&quot;#,##0,&quot;K&quot;" sourceLinked="0"/>
        <c:majorTickMark val="out"/>
        <c:minorTickMark val="none"/>
        <c:tickLblPos val="nextTo"/>
        <c:txPr>
          <a:bodyPr rot="-1980000"/>
          <a:lstStyle/>
          <a:p>
            <a:pPr>
              <a:defRPr>
                <a:latin typeface="Arial"/>
                <a:cs typeface="Arial"/>
              </a:defRPr>
            </a:pPr>
            <a:endParaRPr lang="en-US"/>
          </a:p>
        </c:txPr>
        <c:crossAx val="403006128"/>
        <c:crosses val="autoZero"/>
        <c:crossBetween val="midCat"/>
        <c:majorUnit val="25000"/>
      </c:valAx>
      <c:valAx>
        <c:axId val="403006128"/>
        <c:scaling>
          <c:orientation val="minMax"/>
          <c:max val="1.01"/>
          <c:min val="0"/>
        </c:scaling>
        <c:delete val="0"/>
        <c:axPos val="l"/>
        <c:majorGridlines>
          <c:spPr>
            <a:ln>
              <a:solidFill>
                <a:schemeClr val="bg2">
                  <a:lumMod val="90000"/>
                </a:schemeClr>
              </a:solidFill>
            </a:ln>
          </c:spPr>
        </c:majorGridlines>
        <c:numFmt formatCode="0%" sourceLinked="0"/>
        <c:majorTickMark val="out"/>
        <c:minorTickMark val="none"/>
        <c:tickLblPos val="nextTo"/>
        <c:txPr>
          <a:bodyPr/>
          <a:lstStyle/>
          <a:p>
            <a:pPr>
              <a:defRPr>
                <a:latin typeface="Arial"/>
                <a:cs typeface="Arial"/>
              </a:defRPr>
            </a:pPr>
            <a:endParaRPr lang="en-US"/>
          </a:p>
        </c:txPr>
        <c:crossAx val="403006520"/>
        <c:crosses val="autoZero"/>
        <c:crossBetween val="midCat"/>
        <c:majorUnit val="0.1"/>
      </c:valAx>
    </c:plotArea>
    <c:plotVisOnly val="1"/>
    <c:dispBlanksAs val="gap"/>
    <c:showDLblsOverMax val="0"/>
  </c:chart>
  <c:spPr>
    <a:noFill/>
    <a:ln>
      <a:noFill/>
    </a:ln>
  </c:sp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876678353463302"/>
          <c:y val="4.8888888888888891E-2"/>
          <c:w val="0.82880873022721246"/>
          <c:h val="0.81786666666666685"/>
        </c:manualLayout>
      </c:layout>
      <c:scatterChart>
        <c:scatterStyle val="lineMarker"/>
        <c:varyColors val="0"/>
        <c:ser>
          <c:idx val="0"/>
          <c:order val="0"/>
          <c:tx>
            <c:v>ICER</c:v>
          </c:tx>
          <c:spPr>
            <a:ln w="25400" cap="rnd">
              <a:noFill/>
              <a:round/>
            </a:ln>
            <a:effectLst/>
          </c:spPr>
          <c:marker>
            <c:symbol val="circle"/>
            <c:size val="5"/>
            <c:spPr>
              <a:solidFill>
                <a:schemeClr val="accent1"/>
              </a:solidFill>
              <a:ln w="9525">
                <a:solidFill>
                  <a:schemeClr val="accent1"/>
                </a:solidFill>
              </a:ln>
              <a:effectLst/>
            </c:spPr>
          </c:marker>
          <c:xVal>
            <c:numRef>
              <c:f>PSA!$BJ$15:$BJ$1015</c:f>
              <c:numCache>
                <c:formatCode>General</c:formatCode>
                <c:ptCount val="1001"/>
                <c:pt idx="0">
                  <c:v>0.13063296970082661</c:v>
                </c:pt>
                <c:pt idx="1">
                  <c:v>0.11396242315340999</c:v>
                </c:pt>
                <c:pt idx="2">
                  <c:v>6.5758664152149038E-2</c:v>
                </c:pt>
                <c:pt idx="3">
                  <c:v>0.18439893009195352</c:v>
                </c:pt>
                <c:pt idx="4">
                  <c:v>0.15195466285421233</c:v>
                </c:pt>
                <c:pt idx="5">
                  <c:v>0.11466233628798683</c:v>
                </c:pt>
                <c:pt idx="6">
                  <c:v>0.10747388706127659</c:v>
                </c:pt>
                <c:pt idx="7">
                  <c:v>0.14296288126691081</c:v>
                </c:pt>
                <c:pt idx="8">
                  <c:v>0.15469423765389223</c:v>
                </c:pt>
                <c:pt idx="9">
                  <c:v>0.17907918623085806</c:v>
                </c:pt>
                <c:pt idx="10">
                  <c:v>0.19469275361619154</c:v>
                </c:pt>
                <c:pt idx="11">
                  <c:v>0.11411783155062949</c:v>
                </c:pt>
                <c:pt idx="12">
                  <c:v>0.15633716607018577</c:v>
                </c:pt>
                <c:pt idx="13">
                  <c:v>0.12705290254584334</c:v>
                </c:pt>
                <c:pt idx="14">
                  <c:v>0.10952370415964374</c:v>
                </c:pt>
                <c:pt idx="15">
                  <c:v>9.0710413370839404E-2</c:v>
                </c:pt>
                <c:pt idx="16">
                  <c:v>0.10585711369776263</c:v>
                </c:pt>
                <c:pt idx="17">
                  <c:v>8.7313071905510853E-2</c:v>
                </c:pt>
                <c:pt idx="18">
                  <c:v>0.11653351856597993</c:v>
                </c:pt>
                <c:pt idx="19">
                  <c:v>9.3965472507083092E-2</c:v>
                </c:pt>
                <c:pt idx="20">
                  <c:v>0.13501231916403356</c:v>
                </c:pt>
                <c:pt idx="21">
                  <c:v>0.15683069520077986</c:v>
                </c:pt>
                <c:pt idx="22">
                  <c:v>0.18850780288974356</c:v>
                </c:pt>
                <c:pt idx="23">
                  <c:v>0.13543520766241635</c:v>
                </c:pt>
                <c:pt idx="24">
                  <c:v>0.19380451585757541</c:v>
                </c:pt>
                <c:pt idx="25">
                  <c:v>0.14740956843458974</c:v>
                </c:pt>
                <c:pt idx="26">
                  <c:v>0.11095821838485875</c:v>
                </c:pt>
                <c:pt idx="27">
                  <c:v>0.14283765932287906</c:v>
                </c:pt>
                <c:pt idx="28">
                  <c:v>8.8689041271736713E-2</c:v>
                </c:pt>
                <c:pt idx="29">
                  <c:v>8.7139358574461312E-2</c:v>
                </c:pt>
                <c:pt idx="30">
                  <c:v>0.14771493626502519</c:v>
                </c:pt>
                <c:pt idx="31">
                  <c:v>0.1515254317082686</c:v>
                </c:pt>
                <c:pt idx="32">
                  <c:v>0.1189896147402969</c:v>
                </c:pt>
                <c:pt idx="33">
                  <c:v>8.7033368024254543E-2</c:v>
                </c:pt>
                <c:pt idx="34">
                  <c:v>4.8561493181185966E-2</c:v>
                </c:pt>
                <c:pt idx="35">
                  <c:v>0.13987342431252969</c:v>
                </c:pt>
                <c:pt idx="36">
                  <c:v>4.3129059949354343E-2</c:v>
                </c:pt>
                <c:pt idx="37">
                  <c:v>0.1205701504296961</c:v>
                </c:pt>
                <c:pt idx="38">
                  <c:v>0.11321796800760353</c:v>
                </c:pt>
                <c:pt idx="39">
                  <c:v>0.16288285728306029</c:v>
                </c:pt>
                <c:pt idx="40">
                  <c:v>0.14429516200380732</c:v>
                </c:pt>
                <c:pt idx="41">
                  <c:v>0.14204272782939142</c:v>
                </c:pt>
                <c:pt idx="42">
                  <c:v>9.3073381610032868E-2</c:v>
                </c:pt>
                <c:pt idx="43">
                  <c:v>3.5489534841438797E-2</c:v>
                </c:pt>
                <c:pt idx="44">
                  <c:v>0.12297704816412391</c:v>
                </c:pt>
                <c:pt idx="45">
                  <c:v>5.831670673300593E-2</c:v>
                </c:pt>
                <c:pt idx="46">
                  <c:v>7.2363663485676355E-2</c:v>
                </c:pt>
                <c:pt idx="47">
                  <c:v>0.15144737968723376</c:v>
                </c:pt>
                <c:pt idx="48">
                  <c:v>0.25242367693568113</c:v>
                </c:pt>
                <c:pt idx="49">
                  <c:v>0.1398720461791001</c:v>
                </c:pt>
                <c:pt idx="50">
                  <c:v>0.14272939387437233</c:v>
                </c:pt>
                <c:pt idx="51">
                  <c:v>6.9894866594177429E-2</c:v>
                </c:pt>
                <c:pt idx="52">
                  <c:v>0.13349255836165952</c:v>
                </c:pt>
                <c:pt idx="53">
                  <c:v>8.2816978000671782E-2</c:v>
                </c:pt>
                <c:pt idx="54">
                  <c:v>0.17887174118778226</c:v>
                </c:pt>
                <c:pt idx="55">
                  <c:v>0.11139491327917739</c:v>
                </c:pt>
                <c:pt idx="56">
                  <c:v>0.14162105975183792</c:v>
                </c:pt>
                <c:pt idx="57">
                  <c:v>0.14507773289392389</c:v>
                </c:pt>
                <c:pt idx="58">
                  <c:v>0.12473463816276009</c:v>
                </c:pt>
                <c:pt idx="59">
                  <c:v>0.12140648760595774</c:v>
                </c:pt>
                <c:pt idx="60">
                  <c:v>8.6890788089128534E-2</c:v>
                </c:pt>
                <c:pt idx="61">
                  <c:v>0.16549460283223283</c:v>
                </c:pt>
                <c:pt idx="62">
                  <c:v>0.11103831249908325</c:v>
                </c:pt>
                <c:pt idx="63">
                  <c:v>0.11195100504760802</c:v>
                </c:pt>
                <c:pt idx="64">
                  <c:v>0.17141179545373575</c:v>
                </c:pt>
                <c:pt idx="65">
                  <c:v>0.17807941135883176</c:v>
                </c:pt>
                <c:pt idx="66">
                  <c:v>0.15289106688042509</c:v>
                </c:pt>
                <c:pt idx="67">
                  <c:v>0.13544362044548919</c:v>
                </c:pt>
                <c:pt idx="68">
                  <c:v>0.16258858343630678</c:v>
                </c:pt>
                <c:pt idx="69">
                  <c:v>0.13641567962284284</c:v>
                </c:pt>
                <c:pt idx="70">
                  <c:v>0.11231754562052032</c:v>
                </c:pt>
                <c:pt idx="71">
                  <c:v>0.11761114734095202</c:v>
                </c:pt>
                <c:pt idx="72">
                  <c:v>0.18190343502638484</c:v>
                </c:pt>
                <c:pt idx="73">
                  <c:v>0.18781105768538708</c:v>
                </c:pt>
                <c:pt idx="74">
                  <c:v>0.11330127783249111</c:v>
                </c:pt>
                <c:pt idx="75">
                  <c:v>0.11576065158020299</c:v>
                </c:pt>
                <c:pt idx="76">
                  <c:v>0.1269108930775964</c:v>
                </c:pt>
                <c:pt idx="77">
                  <c:v>0.15442341556533279</c:v>
                </c:pt>
                <c:pt idx="78">
                  <c:v>0.10508022345126911</c:v>
                </c:pt>
                <c:pt idx="79">
                  <c:v>0.19794133719177154</c:v>
                </c:pt>
                <c:pt idx="80">
                  <c:v>0.14912237764343317</c:v>
                </c:pt>
                <c:pt idx="81">
                  <c:v>0.11277394956017517</c:v>
                </c:pt>
                <c:pt idx="82">
                  <c:v>0.13379966322478865</c:v>
                </c:pt>
                <c:pt idx="83">
                  <c:v>7.7269966692853131E-2</c:v>
                </c:pt>
                <c:pt idx="84">
                  <c:v>0.13249343976443839</c:v>
                </c:pt>
                <c:pt idx="85">
                  <c:v>7.2645219936770644E-2</c:v>
                </c:pt>
                <c:pt idx="86">
                  <c:v>0.1767317352044433</c:v>
                </c:pt>
                <c:pt idx="87">
                  <c:v>0.1762060742869771</c:v>
                </c:pt>
                <c:pt idx="88">
                  <c:v>8.5231291339287196E-2</c:v>
                </c:pt>
                <c:pt idx="89">
                  <c:v>0.11766239919703025</c:v>
                </c:pt>
                <c:pt idx="90">
                  <c:v>8.4748209373650241E-2</c:v>
                </c:pt>
                <c:pt idx="91">
                  <c:v>9.6048350633260782E-2</c:v>
                </c:pt>
                <c:pt idx="92">
                  <c:v>0.11446118397444849</c:v>
                </c:pt>
                <c:pt idx="93">
                  <c:v>0.14061208667489389</c:v>
                </c:pt>
                <c:pt idx="94">
                  <c:v>6.9341544389679655E-2</c:v>
                </c:pt>
                <c:pt idx="95">
                  <c:v>0.19782315319513089</c:v>
                </c:pt>
                <c:pt idx="96">
                  <c:v>0.1235000084587341</c:v>
                </c:pt>
                <c:pt idx="97">
                  <c:v>8.3867481643970621E-2</c:v>
                </c:pt>
                <c:pt idx="98">
                  <c:v>0.17456154408231406</c:v>
                </c:pt>
                <c:pt idx="99">
                  <c:v>0.13679551931515554</c:v>
                </c:pt>
                <c:pt idx="100">
                  <c:v>0.14262970108771711</c:v>
                </c:pt>
                <c:pt idx="101">
                  <c:v>0.16139172010504055</c:v>
                </c:pt>
                <c:pt idx="102">
                  <c:v>8.9314755056289385E-2</c:v>
                </c:pt>
                <c:pt idx="103">
                  <c:v>7.3784196404220737E-2</c:v>
                </c:pt>
                <c:pt idx="104">
                  <c:v>9.9637886447727197E-2</c:v>
                </c:pt>
                <c:pt idx="105">
                  <c:v>0.19074929901310789</c:v>
                </c:pt>
                <c:pt idx="106">
                  <c:v>0.11447471635861461</c:v>
                </c:pt>
                <c:pt idx="107">
                  <c:v>8.85663669904595E-2</c:v>
                </c:pt>
                <c:pt idx="108">
                  <c:v>0.20514491202249374</c:v>
                </c:pt>
                <c:pt idx="109">
                  <c:v>8.6425451489240857E-2</c:v>
                </c:pt>
                <c:pt idx="110">
                  <c:v>8.3744639977108903E-2</c:v>
                </c:pt>
                <c:pt idx="111">
                  <c:v>0.13038614977405238</c:v>
                </c:pt>
                <c:pt idx="112">
                  <c:v>5.617699541072696E-2</c:v>
                </c:pt>
                <c:pt idx="113">
                  <c:v>5.4155066185067824E-2</c:v>
                </c:pt>
                <c:pt idx="114">
                  <c:v>0.16035694215809215</c:v>
                </c:pt>
                <c:pt idx="115">
                  <c:v>9.7348317996949874E-2</c:v>
                </c:pt>
                <c:pt idx="116">
                  <c:v>0.11488571049862273</c:v>
                </c:pt>
                <c:pt idx="117">
                  <c:v>0.1655654191579039</c:v>
                </c:pt>
                <c:pt idx="118">
                  <c:v>0.11531017580616876</c:v>
                </c:pt>
                <c:pt idx="119">
                  <c:v>0.13008324261754822</c:v>
                </c:pt>
                <c:pt idx="120">
                  <c:v>5.7395379460601248E-2</c:v>
                </c:pt>
                <c:pt idx="121">
                  <c:v>9.9153875872030284E-2</c:v>
                </c:pt>
                <c:pt idx="122">
                  <c:v>0.14645520979108895</c:v>
                </c:pt>
                <c:pt idx="123">
                  <c:v>8.3015691686249227E-2</c:v>
                </c:pt>
                <c:pt idx="124">
                  <c:v>0.12313394654658616</c:v>
                </c:pt>
                <c:pt idx="125">
                  <c:v>0.10941117852369686</c:v>
                </c:pt>
                <c:pt idx="126">
                  <c:v>0.14831504604275914</c:v>
                </c:pt>
                <c:pt idx="127">
                  <c:v>0.11359962242661936</c:v>
                </c:pt>
                <c:pt idx="128">
                  <c:v>0.17142157475891651</c:v>
                </c:pt>
                <c:pt idx="129">
                  <c:v>0.15571918307655963</c:v>
                </c:pt>
                <c:pt idx="130">
                  <c:v>0.11957507149435287</c:v>
                </c:pt>
                <c:pt idx="131">
                  <c:v>0.12836780394219716</c:v>
                </c:pt>
                <c:pt idx="132">
                  <c:v>0.13937433114849895</c:v>
                </c:pt>
                <c:pt idx="133">
                  <c:v>0.11330472295346183</c:v>
                </c:pt>
                <c:pt idx="134">
                  <c:v>0.16812592741122145</c:v>
                </c:pt>
                <c:pt idx="135">
                  <c:v>0.10944517815469368</c:v>
                </c:pt>
                <c:pt idx="136">
                  <c:v>0.10606138424090439</c:v>
                </c:pt>
                <c:pt idx="137">
                  <c:v>0.10605019612731681</c:v>
                </c:pt>
                <c:pt idx="138">
                  <c:v>6.890998455559938E-2</c:v>
                </c:pt>
                <c:pt idx="139">
                  <c:v>8.8229066998362526E-2</c:v>
                </c:pt>
                <c:pt idx="140">
                  <c:v>0.14642395478733938</c:v>
                </c:pt>
                <c:pt idx="141">
                  <c:v>0.14856406285637824</c:v>
                </c:pt>
                <c:pt idx="142">
                  <c:v>0.14934305915367219</c:v>
                </c:pt>
                <c:pt idx="143">
                  <c:v>0.14836514408138157</c:v>
                </c:pt>
                <c:pt idx="144">
                  <c:v>0.22132093102634443</c:v>
                </c:pt>
                <c:pt idx="145">
                  <c:v>6.8628428096850769E-2</c:v>
                </c:pt>
                <c:pt idx="146">
                  <c:v>0.14580878648203921</c:v>
                </c:pt>
                <c:pt idx="147">
                  <c:v>6.0940108322380837E-2</c:v>
                </c:pt>
                <c:pt idx="148">
                  <c:v>0.13576346466188127</c:v>
                </c:pt>
                <c:pt idx="149">
                  <c:v>0.16010135427579897</c:v>
                </c:pt>
                <c:pt idx="150">
                  <c:v>7.9145161212979431E-2</c:v>
                </c:pt>
                <c:pt idx="151">
                  <c:v>0.11754553391561906</c:v>
                </c:pt>
                <c:pt idx="152">
                  <c:v>0.1506536899137032</c:v>
                </c:pt>
                <c:pt idx="153">
                  <c:v>0.10197921361725903</c:v>
                </c:pt>
                <c:pt idx="154">
                  <c:v>9.4009545355781654E-2</c:v>
                </c:pt>
                <c:pt idx="155">
                  <c:v>0.16159642220703319</c:v>
                </c:pt>
                <c:pt idx="156">
                  <c:v>0.11514713062059911</c:v>
                </c:pt>
                <c:pt idx="157">
                  <c:v>8.2965312320757434E-2</c:v>
                </c:pt>
                <c:pt idx="158">
                  <c:v>3.853625829179208E-2</c:v>
                </c:pt>
                <c:pt idx="159">
                  <c:v>0.13106209044568118</c:v>
                </c:pt>
                <c:pt idx="160">
                  <c:v>0.19643426285391641</c:v>
                </c:pt>
                <c:pt idx="161">
                  <c:v>9.9283178699947072E-2</c:v>
                </c:pt>
                <c:pt idx="162">
                  <c:v>0.23194782766527844</c:v>
                </c:pt>
                <c:pt idx="163">
                  <c:v>0.14517172369076192</c:v>
                </c:pt>
                <c:pt idx="164">
                  <c:v>0.13363631027930012</c:v>
                </c:pt>
                <c:pt idx="165">
                  <c:v>8.7491240577111995E-2</c:v>
                </c:pt>
                <c:pt idx="166">
                  <c:v>8.8480841808296518E-2</c:v>
                </c:pt>
                <c:pt idx="167">
                  <c:v>0.13680719524912632</c:v>
                </c:pt>
                <c:pt idx="168">
                  <c:v>0.11916506341576749</c:v>
                </c:pt>
                <c:pt idx="169">
                  <c:v>0.13048239522621685</c:v>
                </c:pt>
                <c:pt idx="170">
                  <c:v>0.13623492169157458</c:v>
                </c:pt>
                <c:pt idx="171">
                  <c:v>0.12968133806168858</c:v>
                </c:pt>
                <c:pt idx="172">
                  <c:v>0.10353347578798733</c:v>
                </c:pt>
                <c:pt idx="173">
                  <c:v>0.10088823012433679</c:v>
                </c:pt>
                <c:pt idx="174">
                  <c:v>0.19173589985094353</c:v>
                </c:pt>
                <c:pt idx="175">
                  <c:v>6.050199926003863E-2</c:v>
                </c:pt>
                <c:pt idx="176">
                  <c:v>0.14291339473222564</c:v>
                </c:pt>
                <c:pt idx="177">
                  <c:v>0.11457093222958648</c:v>
                </c:pt>
                <c:pt idx="178">
                  <c:v>8.8132814822433403E-2</c:v>
                </c:pt>
                <c:pt idx="179">
                  <c:v>0.16975985480131328</c:v>
                </c:pt>
                <c:pt idx="180">
                  <c:v>9.8685850642638684E-2</c:v>
                </c:pt>
                <c:pt idx="181">
                  <c:v>0.13733346099801658</c:v>
                </c:pt>
                <c:pt idx="182">
                  <c:v>0.1033145267618103</c:v>
                </c:pt>
                <c:pt idx="183">
                  <c:v>8.7133745320617351E-2</c:v>
                </c:pt>
                <c:pt idx="184">
                  <c:v>0.12753834800343</c:v>
                </c:pt>
                <c:pt idx="185">
                  <c:v>0.14292050408863943</c:v>
                </c:pt>
                <c:pt idx="186">
                  <c:v>9.2322581995876618E-2</c:v>
                </c:pt>
                <c:pt idx="187">
                  <c:v>0.10898509303829229</c:v>
                </c:pt>
                <c:pt idx="188">
                  <c:v>0.12307656442452064</c:v>
                </c:pt>
                <c:pt idx="189">
                  <c:v>0.10472968711679975</c:v>
                </c:pt>
                <c:pt idx="190">
                  <c:v>0.11452351882713074</c:v>
                </c:pt>
                <c:pt idx="191">
                  <c:v>0.10460949346267867</c:v>
                </c:pt>
                <c:pt idx="192">
                  <c:v>0.12727496659964466</c:v>
                </c:pt>
                <c:pt idx="193">
                  <c:v>0.11862654705373288</c:v>
                </c:pt>
                <c:pt idx="194">
                  <c:v>0.14808728107027669</c:v>
                </c:pt>
                <c:pt idx="195">
                  <c:v>8.2814064979690016E-2</c:v>
                </c:pt>
                <c:pt idx="196">
                  <c:v>0.10136334911094025</c:v>
                </c:pt>
                <c:pt idx="197">
                  <c:v>0.1568553017381511</c:v>
                </c:pt>
                <c:pt idx="198">
                  <c:v>0.1150981949701908</c:v>
                </c:pt>
                <c:pt idx="199">
                  <c:v>7.7286179322719306E-2</c:v>
                </c:pt>
                <c:pt idx="200">
                  <c:v>0.11381828081654533</c:v>
                </c:pt>
                <c:pt idx="201">
                  <c:v>0.1688467873581736</c:v>
                </c:pt>
                <c:pt idx="202">
                  <c:v>0.11273814271658367</c:v>
                </c:pt>
                <c:pt idx="203">
                  <c:v>0.10118193421203969</c:v>
                </c:pt>
                <c:pt idx="204">
                  <c:v>0.13544125367217319</c:v>
                </c:pt>
                <c:pt idx="205">
                  <c:v>9.4900304703802618E-2</c:v>
                </c:pt>
                <c:pt idx="206">
                  <c:v>0.15206298733227896</c:v>
                </c:pt>
                <c:pt idx="207">
                  <c:v>0.16630973537217741</c:v>
                </c:pt>
                <c:pt idx="208">
                  <c:v>0.11066222927464864</c:v>
                </c:pt>
                <c:pt idx="209">
                  <c:v>4.8416572342272701E-2</c:v>
                </c:pt>
                <c:pt idx="210">
                  <c:v>0.1563921978330729</c:v>
                </c:pt>
                <c:pt idx="211">
                  <c:v>0.14082469861673985</c:v>
                </c:pt>
                <c:pt idx="212">
                  <c:v>7.5367598212434217E-2</c:v>
                </c:pt>
                <c:pt idx="213">
                  <c:v>0.19053471585700166</c:v>
                </c:pt>
                <c:pt idx="214">
                  <c:v>0.11168230180838279</c:v>
                </c:pt>
                <c:pt idx="215">
                  <c:v>0.10846481231557803</c:v>
                </c:pt>
                <c:pt idx="216">
                  <c:v>0.14948136326644956</c:v>
                </c:pt>
                <c:pt idx="217">
                  <c:v>8.6986089550631362E-2</c:v>
                </c:pt>
                <c:pt idx="218">
                  <c:v>0.18192238279004513</c:v>
                </c:pt>
                <c:pt idx="219">
                  <c:v>0.1047291692460135</c:v>
                </c:pt>
                <c:pt idx="220">
                  <c:v>9.934712963713288E-2</c:v>
                </c:pt>
                <c:pt idx="221">
                  <c:v>0.13299057417832927</c:v>
                </c:pt>
                <c:pt idx="222">
                  <c:v>7.1850211116670337E-2</c:v>
                </c:pt>
                <c:pt idx="223">
                  <c:v>0.15869778894493081</c:v>
                </c:pt>
                <c:pt idx="224">
                  <c:v>0.17828571375029689</c:v>
                </c:pt>
                <c:pt idx="225">
                  <c:v>0.1599748517513504</c:v>
                </c:pt>
                <c:pt idx="226">
                  <c:v>0.14127187012496023</c:v>
                </c:pt>
                <c:pt idx="227">
                  <c:v>0.11323462111653271</c:v>
                </c:pt>
                <c:pt idx="228">
                  <c:v>0.18272855556229217</c:v>
                </c:pt>
                <c:pt idx="229">
                  <c:v>0.12748479944293223</c:v>
                </c:pt>
                <c:pt idx="230">
                  <c:v>0.15468193582168688</c:v>
                </c:pt>
                <c:pt idx="231">
                  <c:v>0.14201431705716061</c:v>
                </c:pt>
                <c:pt idx="232">
                  <c:v>0.12338988439224252</c:v>
                </c:pt>
                <c:pt idx="233">
                  <c:v>0.1114613779364042</c:v>
                </c:pt>
                <c:pt idx="234">
                  <c:v>0.14208568050083947</c:v>
                </c:pt>
                <c:pt idx="235">
                  <c:v>0.23717601984014713</c:v>
                </c:pt>
                <c:pt idx="236">
                  <c:v>0.11012912137359976</c:v>
                </c:pt>
                <c:pt idx="237">
                  <c:v>0.10286799336350327</c:v>
                </c:pt>
                <c:pt idx="238">
                  <c:v>0.20385583914855232</c:v>
                </c:pt>
                <c:pt idx="239">
                  <c:v>0.15355903965819628</c:v>
                </c:pt>
                <c:pt idx="240">
                  <c:v>0.12410109920674728</c:v>
                </c:pt>
                <c:pt idx="241">
                  <c:v>0.16252342739509729</c:v>
                </c:pt>
                <c:pt idx="242">
                  <c:v>0.13635904063371918</c:v>
                </c:pt>
                <c:pt idx="243">
                  <c:v>0.15754372715233522</c:v>
                </c:pt>
                <c:pt idx="244">
                  <c:v>0.1227896487559903</c:v>
                </c:pt>
                <c:pt idx="245">
                  <c:v>8.2596829917431336E-2</c:v>
                </c:pt>
                <c:pt idx="246">
                  <c:v>0.11952966480203209</c:v>
                </c:pt>
                <c:pt idx="247">
                  <c:v>0.11382162368974136</c:v>
                </c:pt>
                <c:pt idx="248">
                  <c:v>0.18951556474336861</c:v>
                </c:pt>
                <c:pt idx="249">
                  <c:v>6.3470220792650522E-2</c:v>
                </c:pt>
                <c:pt idx="250">
                  <c:v>0.14252583148621234</c:v>
                </c:pt>
                <c:pt idx="251">
                  <c:v>0.1559901753399231</c:v>
                </c:pt>
                <c:pt idx="252">
                  <c:v>0.11883734836576743</c:v>
                </c:pt>
                <c:pt idx="253">
                  <c:v>9.141115626874452E-2</c:v>
                </c:pt>
                <c:pt idx="254">
                  <c:v>0.17244983426516569</c:v>
                </c:pt>
                <c:pt idx="255">
                  <c:v>0.15044548739470542</c:v>
                </c:pt>
                <c:pt idx="256">
                  <c:v>0.1710593919220198</c:v>
                </c:pt>
                <c:pt idx="257">
                  <c:v>0.1227755328980038</c:v>
                </c:pt>
                <c:pt idx="258">
                  <c:v>0.15568724713773818</c:v>
                </c:pt>
                <c:pt idx="259">
                  <c:v>9.5329522904966879E-2</c:v>
                </c:pt>
                <c:pt idx="260">
                  <c:v>0.15234932878836815</c:v>
                </c:pt>
                <c:pt idx="261">
                  <c:v>0.11676597787199938</c:v>
                </c:pt>
                <c:pt idx="262">
                  <c:v>0.14971483342481662</c:v>
                </c:pt>
                <c:pt idx="263">
                  <c:v>0.13066911596535391</c:v>
                </c:pt>
                <c:pt idx="264">
                  <c:v>0.10439904398477928</c:v>
                </c:pt>
                <c:pt idx="265">
                  <c:v>8.0778780535016637E-2</c:v>
                </c:pt>
                <c:pt idx="266">
                  <c:v>0.12588057039815936</c:v>
                </c:pt>
                <c:pt idx="267">
                  <c:v>-1.4558959349425749E-2</c:v>
                </c:pt>
                <c:pt idx="268">
                  <c:v>0.10991050198418861</c:v>
                </c:pt>
                <c:pt idx="269">
                  <c:v>0.1088126948733823</c:v>
                </c:pt>
                <c:pt idx="270">
                  <c:v>0.16828892859778577</c:v>
                </c:pt>
                <c:pt idx="271">
                  <c:v>0.12062266832618285</c:v>
                </c:pt>
                <c:pt idx="272">
                  <c:v>5.1606029349144933E-2</c:v>
                </c:pt>
                <c:pt idx="273">
                  <c:v>0.12585386067544313</c:v>
                </c:pt>
                <c:pt idx="274">
                  <c:v>0.18805173415695009</c:v>
                </c:pt>
                <c:pt idx="275">
                  <c:v>0.13425175995960181</c:v>
                </c:pt>
                <c:pt idx="276">
                  <c:v>2.3096912900676614E-2</c:v>
                </c:pt>
                <c:pt idx="277">
                  <c:v>9.4915168157950092E-2</c:v>
                </c:pt>
                <c:pt idx="278">
                  <c:v>0.16422954791639555</c:v>
                </c:pt>
                <c:pt idx="279">
                  <c:v>0.10410647686348184</c:v>
                </c:pt>
                <c:pt idx="280">
                  <c:v>6.7032995283890173E-2</c:v>
                </c:pt>
                <c:pt idx="281">
                  <c:v>0.1464671724769957</c:v>
                </c:pt>
                <c:pt idx="282">
                  <c:v>0.14531246835199418</c:v>
                </c:pt>
                <c:pt idx="283">
                  <c:v>7.2340701493839532E-2</c:v>
                </c:pt>
                <c:pt idx="284">
                  <c:v>0.12344643311048031</c:v>
                </c:pt>
                <c:pt idx="285">
                  <c:v>0.16901497612241556</c:v>
                </c:pt>
                <c:pt idx="286">
                  <c:v>0.13278357499340743</c:v>
                </c:pt>
                <c:pt idx="287">
                  <c:v>0.11642389436148193</c:v>
                </c:pt>
                <c:pt idx="288">
                  <c:v>9.5550364398089727E-2</c:v>
                </c:pt>
                <c:pt idx="289">
                  <c:v>0.11347068368110058</c:v>
                </c:pt>
                <c:pt idx="290">
                  <c:v>0.17198644449452161</c:v>
                </c:pt>
                <c:pt idx="291">
                  <c:v>0.13881492143234908</c:v>
                </c:pt>
                <c:pt idx="292">
                  <c:v>0.14613897245425811</c:v>
                </c:pt>
                <c:pt idx="293">
                  <c:v>0.11689466788366865</c:v>
                </c:pt>
                <c:pt idx="294">
                  <c:v>0.16638429583744596</c:v>
                </c:pt>
                <c:pt idx="295">
                  <c:v>6.8204701065720741E-2</c:v>
                </c:pt>
                <c:pt idx="296">
                  <c:v>0.10882438239258718</c:v>
                </c:pt>
                <c:pt idx="297">
                  <c:v>0.1294729459899262</c:v>
                </c:pt>
                <c:pt idx="298">
                  <c:v>0.12346596796630749</c:v>
                </c:pt>
                <c:pt idx="299">
                  <c:v>0.1459150060588783</c:v>
                </c:pt>
                <c:pt idx="300">
                  <c:v>0.10271740532016693</c:v>
                </c:pt>
                <c:pt idx="301">
                  <c:v>0.10250131307551058</c:v>
                </c:pt>
                <c:pt idx="302">
                  <c:v>6.671838585352674E-2</c:v>
                </c:pt>
                <c:pt idx="303">
                  <c:v>0.12029077587957815</c:v>
                </c:pt>
                <c:pt idx="304">
                  <c:v>0.12448968265220373</c:v>
                </c:pt>
                <c:pt idx="305">
                  <c:v>0.11447427341169458</c:v>
                </c:pt>
                <c:pt idx="306">
                  <c:v>7.1795339624891596E-2</c:v>
                </c:pt>
                <c:pt idx="307">
                  <c:v>0.13148271601511397</c:v>
                </c:pt>
                <c:pt idx="308">
                  <c:v>0.14136822678802297</c:v>
                </c:pt>
                <c:pt idx="309">
                  <c:v>0.10310978359571266</c:v>
                </c:pt>
                <c:pt idx="310">
                  <c:v>0.14452174012767394</c:v>
                </c:pt>
                <c:pt idx="311">
                  <c:v>0.1528528929133337</c:v>
                </c:pt>
                <c:pt idx="312">
                  <c:v>0.10893270371386876</c:v>
                </c:pt>
                <c:pt idx="313">
                  <c:v>0.11345880404192599</c:v>
                </c:pt>
                <c:pt idx="314">
                  <c:v>0.12046585267789567</c:v>
                </c:pt>
                <c:pt idx="315">
                  <c:v>3.6764497831285325E-2</c:v>
                </c:pt>
                <c:pt idx="316">
                  <c:v>0.20436824911172025</c:v>
                </c:pt>
                <c:pt idx="317">
                  <c:v>0.15163982610311066</c:v>
                </c:pt>
                <c:pt idx="318">
                  <c:v>0.14278862274227677</c:v>
                </c:pt>
                <c:pt idx="319">
                  <c:v>7.8233472229229051E-2</c:v>
                </c:pt>
                <c:pt idx="320">
                  <c:v>0.12709936475412142</c:v>
                </c:pt>
                <c:pt idx="321">
                  <c:v>0.11787864054362629</c:v>
                </c:pt>
                <c:pt idx="322">
                  <c:v>7.8972674705083179E-2</c:v>
                </c:pt>
                <c:pt idx="323">
                  <c:v>0.14670004864676045</c:v>
                </c:pt>
                <c:pt idx="324">
                  <c:v>0.1408167029506906</c:v>
                </c:pt>
                <c:pt idx="325">
                  <c:v>7.907589276756255E-2</c:v>
                </c:pt>
                <c:pt idx="326">
                  <c:v>6.5367391149219856E-2</c:v>
                </c:pt>
                <c:pt idx="327">
                  <c:v>0.18775683017108236</c:v>
                </c:pt>
                <c:pt idx="328">
                  <c:v>0.1058066998153393</c:v>
                </c:pt>
                <c:pt idx="329">
                  <c:v>0.17949151189148438</c:v>
                </c:pt>
                <c:pt idx="330">
                  <c:v>0.19297507814514248</c:v>
                </c:pt>
                <c:pt idx="331">
                  <c:v>0.11181693807861492</c:v>
                </c:pt>
                <c:pt idx="332">
                  <c:v>9.0304930131363648E-2</c:v>
                </c:pt>
                <c:pt idx="333">
                  <c:v>0.17598529127580242</c:v>
                </c:pt>
                <c:pt idx="334">
                  <c:v>0.13339892737422332</c:v>
                </c:pt>
                <c:pt idx="335">
                  <c:v>0.13668083528445862</c:v>
                </c:pt>
                <c:pt idx="336">
                  <c:v>0.19525606519389349</c:v>
                </c:pt>
                <c:pt idx="337">
                  <c:v>0.11925305575362088</c:v>
                </c:pt>
                <c:pt idx="338">
                  <c:v>0.12605598684585217</c:v>
                </c:pt>
                <c:pt idx="339">
                  <c:v>0.10710591533435654</c:v>
                </c:pt>
                <c:pt idx="340">
                  <c:v>8.5842774481196926E-2</c:v>
                </c:pt>
                <c:pt idx="341">
                  <c:v>0.18211599185680427</c:v>
                </c:pt>
                <c:pt idx="342">
                  <c:v>0.17286587831473454</c:v>
                </c:pt>
                <c:pt idx="343">
                  <c:v>5.2546425116688056E-2</c:v>
                </c:pt>
                <c:pt idx="344">
                  <c:v>0.11491113220740345</c:v>
                </c:pt>
                <c:pt idx="345">
                  <c:v>0.15337069516263213</c:v>
                </c:pt>
                <c:pt idx="346">
                  <c:v>0.1183890358542925</c:v>
                </c:pt>
                <c:pt idx="347">
                  <c:v>0.1520691581508764</c:v>
                </c:pt>
                <c:pt idx="348">
                  <c:v>0.14337017062124069</c:v>
                </c:pt>
                <c:pt idx="349">
                  <c:v>0.11952689500683178</c:v>
                </c:pt>
                <c:pt idx="350">
                  <c:v>0.16922590821662453</c:v>
                </c:pt>
                <c:pt idx="351">
                  <c:v>0.102437392534382</c:v>
                </c:pt>
                <c:pt idx="352">
                  <c:v>0.10317752089711618</c:v>
                </c:pt>
                <c:pt idx="353">
                  <c:v>0.11609527589921598</c:v>
                </c:pt>
                <c:pt idx="354">
                  <c:v>0.14697035905140154</c:v>
                </c:pt>
                <c:pt idx="355">
                  <c:v>0.12076036573718341</c:v>
                </c:pt>
                <c:pt idx="356">
                  <c:v>0.14837602391733462</c:v>
                </c:pt>
                <c:pt idx="357">
                  <c:v>0.10994437505106092</c:v>
                </c:pt>
                <c:pt idx="358">
                  <c:v>0.12806996205943477</c:v>
                </c:pt>
                <c:pt idx="359">
                  <c:v>0.16953650354451533</c:v>
                </c:pt>
                <c:pt idx="360">
                  <c:v>9.117741579059313E-2</c:v>
                </c:pt>
                <c:pt idx="361">
                  <c:v>8.8677855384066362E-2</c:v>
                </c:pt>
                <c:pt idx="362">
                  <c:v>0.12677109290532584</c:v>
                </c:pt>
                <c:pt idx="363">
                  <c:v>8.9362281293634993E-2</c:v>
                </c:pt>
                <c:pt idx="364">
                  <c:v>8.2446686324562535E-2</c:v>
                </c:pt>
                <c:pt idx="365">
                  <c:v>0.13486386399242889</c:v>
                </c:pt>
                <c:pt idx="366">
                  <c:v>8.9267533114981035E-2</c:v>
                </c:pt>
                <c:pt idx="367">
                  <c:v>0.14409555105878091</c:v>
                </c:pt>
                <c:pt idx="368">
                  <c:v>0.1323264080662554</c:v>
                </c:pt>
                <c:pt idx="369">
                  <c:v>0.15613937556171464</c:v>
                </c:pt>
                <c:pt idx="370">
                  <c:v>0.12069402398624618</c:v>
                </c:pt>
                <c:pt idx="371">
                  <c:v>7.3192216506196672E-2</c:v>
                </c:pt>
                <c:pt idx="372">
                  <c:v>0.10063832855258781</c:v>
                </c:pt>
                <c:pt idx="373">
                  <c:v>9.8770036685134954E-2</c:v>
                </c:pt>
                <c:pt idx="374">
                  <c:v>0.14688002637332431</c:v>
                </c:pt>
                <c:pt idx="375">
                  <c:v>0.17481581232626908</c:v>
                </c:pt>
                <c:pt idx="376">
                  <c:v>6.2676153691604952E-2</c:v>
                </c:pt>
                <c:pt idx="377">
                  <c:v>0.14724329751576803</c:v>
                </c:pt>
                <c:pt idx="378">
                  <c:v>0.10870275493616788</c:v>
                </c:pt>
                <c:pt idx="379">
                  <c:v>6.0236397215337689E-2</c:v>
                </c:pt>
                <c:pt idx="380">
                  <c:v>9.0757651552467067E-2</c:v>
                </c:pt>
                <c:pt idx="381">
                  <c:v>0.14316755379775259</c:v>
                </c:pt>
                <c:pt idx="382">
                  <c:v>0.12504310085464354</c:v>
                </c:pt>
                <c:pt idx="383">
                  <c:v>0.11465006607266659</c:v>
                </c:pt>
                <c:pt idx="384">
                  <c:v>0.16291180614396339</c:v>
                </c:pt>
                <c:pt idx="385">
                  <c:v>0.18269896458296842</c:v>
                </c:pt>
                <c:pt idx="386">
                  <c:v>0.11060147589118685</c:v>
                </c:pt>
                <c:pt idx="387">
                  <c:v>0.1462109065688999</c:v>
                </c:pt>
                <c:pt idx="388">
                  <c:v>0.166585072928779</c:v>
                </c:pt>
                <c:pt idx="389">
                  <c:v>0.13941724340844885</c:v>
                </c:pt>
                <c:pt idx="390">
                  <c:v>0.15010252552675674</c:v>
                </c:pt>
                <c:pt idx="391">
                  <c:v>0.18911158130894101</c:v>
                </c:pt>
                <c:pt idx="392">
                  <c:v>0.15143228925452235</c:v>
                </c:pt>
                <c:pt idx="393">
                  <c:v>0.11540059437038508</c:v>
                </c:pt>
                <c:pt idx="394">
                  <c:v>8.2707452007312554E-2</c:v>
                </c:pt>
                <c:pt idx="395">
                  <c:v>9.7841328055856991E-2</c:v>
                </c:pt>
                <c:pt idx="396">
                  <c:v>0.10017177934937926</c:v>
                </c:pt>
                <c:pt idx="397">
                  <c:v>0.17984027787121803</c:v>
                </c:pt>
                <c:pt idx="398">
                  <c:v>0.10992653304807476</c:v>
                </c:pt>
                <c:pt idx="399">
                  <c:v>0.12687904155372998</c:v>
                </c:pt>
                <c:pt idx="400">
                  <c:v>0.13103915916317632</c:v>
                </c:pt>
                <c:pt idx="401">
                  <c:v>9.1775620413249825E-2</c:v>
                </c:pt>
                <c:pt idx="402">
                  <c:v>0.12352593120723299</c:v>
                </c:pt>
                <c:pt idx="403">
                  <c:v>0.11281271639990109</c:v>
                </c:pt>
                <c:pt idx="404">
                  <c:v>0.20348530579287072</c:v>
                </c:pt>
                <c:pt idx="405">
                  <c:v>0.16589326397360793</c:v>
                </c:pt>
                <c:pt idx="406">
                  <c:v>9.5239381830035441E-2</c:v>
                </c:pt>
                <c:pt idx="407">
                  <c:v>0.12754236831716526</c:v>
                </c:pt>
                <c:pt idx="408">
                  <c:v>0.11638084170330032</c:v>
                </c:pt>
                <c:pt idx="409">
                  <c:v>0.12664267843454624</c:v>
                </c:pt>
                <c:pt idx="410">
                  <c:v>0.10217520252481194</c:v>
                </c:pt>
                <c:pt idx="411">
                  <c:v>0.16269950701988023</c:v>
                </c:pt>
                <c:pt idx="412">
                  <c:v>0.15049336257252577</c:v>
                </c:pt>
                <c:pt idx="413">
                  <c:v>0.16326648054552528</c:v>
                </c:pt>
                <c:pt idx="414">
                  <c:v>0.12136364630126195</c:v>
                </c:pt>
                <c:pt idx="415">
                  <c:v>0.20166986386857388</c:v>
                </c:pt>
                <c:pt idx="416">
                  <c:v>7.0957726229792684E-2</c:v>
                </c:pt>
                <c:pt idx="417">
                  <c:v>8.5314787011839144E-2</c:v>
                </c:pt>
                <c:pt idx="418">
                  <c:v>0.11474788900084221</c:v>
                </c:pt>
                <c:pt idx="419">
                  <c:v>0.13896652618129934</c:v>
                </c:pt>
                <c:pt idx="420">
                  <c:v>0.15261722001409694</c:v>
                </c:pt>
                <c:pt idx="421">
                  <c:v>0.11273041026201724</c:v>
                </c:pt>
                <c:pt idx="422">
                  <c:v>0.10870384183725434</c:v>
                </c:pt>
                <c:pt idx="423">
                  <c:v>0.12330080217977724</c:v>
                </c:pt>
                <c:pt idx="424">
                  <c:v>0.18745535477128072</c:v>
                </c:pt>
                <c:pt idx="425">
                  <c:v>9.952442163620745E-2</c:v>
                </c:pt>
                <c:pt idx="426">
                  <c:v>0.15936077444327168</c:v>
                </c:pt>
                <c:pt idx="427">
                  <c:v>0.1672047273071815</c:v>
                </c:pt>
                <c:pt idx="428">
                  <c:v>5.4160513381892983E-2</c:v>
                </c:pt>
                <c:pt idx="429">
                  <c:v>0.13244017799001995</c:v>
                </c:pt>
                <c:pt idx="430">
                  <c:v>0.1339938340182627</c:v>
                </c:pt>
                <c:pt idx="431">
                  <c:v>0.16868815966888384</c:v>
                </c:pt>
                <c:pt idx="432">
                  <c:v>0.1288039342416738</c:v>
                </c:pt>
                <c:pt idx="433">
                  <c:v>9.6190028741993672E-2</c:v>
                </c:pt>
                <c:pt idx="434">
                  <c:v>0.13710448426856381</c:v>
                </c:pt>
                <c:pt idx="435">
                  <c:v>2.9285701590293201E-2</c:v>
                </c:pt>
                <c:pt idx="436">
                  <c:v>0.16487267537242367</c:v>
                </c:pt>
                <c:pt idx="437">
                  <c:v>0.10514309797808075</c:v>
                </c:pt>
                <c:pt idx="438">
                  <c:v>0.11691326374487687</c:v>
                </c:pt>
                <c:pt idx="439">
                  <c:v>0.19121214402377973</c:v>
                </c:pt>
                <c:pt idx="440">
                  <c:v>0.14300762060864081</c:v>
                </c:pt>
                <c:pt idx="441">
                  <c:v>0.11392696821591031</c:v>
                </c:pt>
                <c:pt idx="442">
                  <c:v>9.5409323356548725E-2</c:v>
                </c:pt>
                <c:pt idx="443">
                  <c:v>0.12062446599327004</c:v>
                </c:pt>
                <c:pt idx="444">
                  <c:v>5.8985866265615527E-2</c:v>
                </c:pt>
                <c:pt idx="445">
                  <c:v>0.1867783496199884</c:v>
                </c:pt>
                <c:pt idx="446">
                  <c:v>0.13090532795140319</c:v>
                </c:pt>
                <c:pt idx="447">
                  <c:v>7.5711599855146972E-2</c:v>
                </c:pt>
                <c:pt idx="448">
                  <c:v>6.7548661800179488E-2</c:v>
                </c:pt>
                <c:pt idx="449">
                  <c:v>0.13632753891981686</c:v>
                </c:pt>
                <c:pt idx="450">
                  <c:v>0.1465867026118719</c:v>
                </c:pt>
                <c:pt idx="451">
                  <c:v>0.13082749115823233</c:v>
                </c:pt>
                <c:pt idx="452">
                  <c:v>7.3109112979164337E-2</c:v>
                </c:pt>
                <c:pt idx="453">
                  <c:v>0.16873509595806979</c:v>
                </c:pt>
                <c:pt idx="454">
                  <c:v>0.12935840033245327</c:v>
                </c:pt>
                <c:pt idx="455">
                  <c:v>0.14410238257630681</c:v>
                </c:pt>
                <c:pt idx="456">
                  <c:v>0.24130172383281945</c:v>
                </c:pt>
                <c:pt idx="457">
                  <c:v>0.13340184601150717</c:v>
                </c:pt>
                <c:pt idx="458">
                  <c:v>0.1149325638337757</c:v>
                </c:pt>
                <c:pt idx="459">
                  <c:v>0.14287772353788242</c:v>
                </c:pt>
                <c:pt idx="460">
                  <c:v>0.14740428091717561</c:v>
                </c:pt>
                <c:pt idx="461">
                  <c:v>0.15607740001254555</c:v>
                </c:pt>
                <c:pt idx="462">
                  <c:v>0.14316045164951063</c:v>
                </c:pt>
                <c:pt idx="463">
                  <c:v>0.19960277563175488</c:v>
                </c:pt>
                <c:pt idx="464">
                  <c:v>0.15381476746182265</c:v>
                </c:pt>
                <c:pt idx="465">
                  <c:v>9.9345246509273011E-2</c:v>
                </c:pt>
                <c:pt idx="466">
                  <c:v>0.14111326871145025</c:v>
                </c:pt>
                <c:pt idx="467">
                  <c:v>0.13060912424646531</c:v>
                </c:pt>
                <c:pt idx="468">
                  <c:v>0.15561318614297903</c:v>
                </c:pt>
                <c:pt idx="469">
                  <c:v>5.1279335880453303E-2</c:v>
                </c:pt>
                <c:pt idx="470">
                  <c:v>0.10204307916048805</c:v>
                </c:pt>
                <c:pt idx="471">
                  <c:v>7.7097024207919418E-2</c:v>
                </c:pt>
                <c:pt idx="472">
                  <c:v>0.10786524043008328</c:v>
                </c:pt>
                <c:pt idx="473">
                  <c:v>0.20597916558763707</c:v>
                </c:pt>
                <c:pt idx="474">
                  <c:v>0.14515248445342976</c:v>
                </c:pt>
                <c:pt idx="475">
                  <c:v>8.5665369057164042E-2</c:v>
                </c:pt>
                <c:pt idx="476">
                  <c:v>0.1290800868361579</c:v>
                </c:pt>
                <c:pt idx="477">
                  <c:v>0.13514677193080615</c:v>
                </c:pt>
                <c:pt idx="478">
                  <c:v>0.20842213481988736</c:v>
                </c:pt>
                <c:pt idx="479">
                  <c:v>0.14787736121709472</c:v>
                </c:pt>
                <c:pt idx="480">
                  <c:v>0.17906721263174319</c:v>
                </c:pt>
                <c:pt idx="481">
                  <c:v>0.1120557261127324</c:v>
                </c:pt>
                <c:pt idx="482">
                  <c:v>8.2044631046858996E-2</c:v>
                </c:pt>
                <c:pt idx="483">
                  <c:v>0.12204332439262977</c:v>
                </c:pt>
                <c:pt idx="484">
                  <c:v>6.5019476762600448E-2</c:v>
                </c:pt>
                <c:pt idx="485">
                  <c:v>0.10991572698605445</c:v>
                </c:pt>
                <c:pt idx="486">
                  <c:v>0.14878559591193863</c:v>
                </c:pt>
                <c:pt idx="487">
                  <c:v>0.12494931548643784</c:v>
                </c:pt>
                <c:pt idx="488">
                  <c:v>0.10135900042288526</c:v>
                </c:pt>
                <c:pt idx="489">
                  <c:v>0.14667448367955771</c:v>
                </c:pt>
                <c:pt idx="490">
                  <c:v>0.19960262987188848</c:v>
                </c:pt>
                <c:pt idx="491">
                  <c:v>0.12813319105801568</c:v>
                </c:pt>
                <c:pt idx="492">
                  <c:v>0.13501315452358753</c:v>
                </c:pt>
                <c:pt idx="493">
                  <c:v>7.067289501194729E-2</c:v>
                </c:pt>
                <c:pt idx="494">
                  <c:v>0.11740002008108164</c:v>
                </c:pt>
                <c:pt idx="495">
                  <c:v>9.2173234995009068E-2</c:v>
                </c:pt>
                <c:pt idx="496">
                  <c:v>0.149122450076554</c:v>
                </c:pt>
                <c:pt idx="497">
                  <c:v>0.1242941211041142</c:v>
                </c:pt>
                <c:pt idx="498">
                  <c:v>0.10355860065552847</c:v>
                </c:pt>
                <c:pt idx="499">
                  <c:v>0.14367766513241875</c:v>
                </c:pt>
                <c:pt idx="500">
                  <c:v>0.11207029749975561</c:v>
                </c:pt>
                <c:pt idx="501">
                  <c:v>9.7529234066303871E-2</c:v>
                </c:pt>
                <c:pt idx="502">
                  <c:v>0.12510238002112928</c:v>
                </c:pt>
                <c:pt idx="503">
                  <c:v>0.12758054512461925</c:v>
                </c:pt>
                <c:pt idx="504">
                  <c:v>0.15052820956756285</c:v>
                </c:pt>
                <c:pt idx="505">
                  <c:v>0.11513670112023355</c:v>
                </c:pt>
                <c:pt idx="506">
                  <c:v>0.12838906011769957</c:v>
                </c:pt>
                <c:pt idx="507">
                  <c:v>5.6053652413057264E-2</c:v>
                </c:pt>
                <c:pt idx="508">
                  <c:v>0.10203352467374138</c:v>
                </c:pt>
                <c:pt idx="509">
                  <c:v>0.15031181349445788</c:v>
                </c:pt>
                <c:pt idx="510">
                  <c:v>4.3555645831320433E-2</c:v>
                </c:pt>
                <c:pt idx="511">
                  <c:v>0.18458476345301911</c:v>
                </c:pt>
                <c:pt idx="512">
                  <c:v>0.14253794494882221</c:v>
                </c:pt>
                <c:pt idx="513">
                  <c:v>0.1347953136546316</c:v>
                </c:pt>
                <c:pt idx="514">
                  <c:v>7.2956750557192862E-2</c:v>
                </c:pt>
                <c:pt idx="515">
                  <c:v>5.9546509175792295E-2</c:v>
                </c:pt>
                <c:pt idx="516">
                  <c:v>0.15455980331108421</c:v>
                </c:pt>
                <c:pt idx="517">
                  <c:v>0.17553810512924173</c:v>
                </c:pt>
                <c:pt idx="518">
                  <c:v>0.1004842274561355</c:v>
                </c:pt>
                <c:pt idx="519">
                  <c:v>0.12624069585555731</c:v>
                </c:pt>
                <c:pt idx="520">
                  <c:v>0.13843620712948912</c:v>
                </c:pt>
                <c:pt idx="521">
                  <c:v>8.1299246938140612E-2</c:v>
                </c:pt>
                <c:pt idx="522">
                  <c:v>0.10970545164826007</c:v>
                </c:pt>
                <c:pt idx="523">
                  <c:v>0.13540926850231472</c:v>
                </c:pt>
                <c:pt idx="524">
                  <c:v>4.3224453732047863E-2</c:v>
                </c:pt>
                <c:pt idx="525">
                  <c:v>0.19664277567359711</c:v>
                </c:pt>
                <c:pt idx="526">
                  <c:v>8.7446171083925606E-2</c:v>
                </c:pt>
                <c:pt idx="527">
                  <c:v>0.2044502333591165</c:v>
                </c:pt>
                <c:pt idx="528">
                  <c:v>9.5095609360988931E-3</c:v>
                </c:pt>
                <c:pt idx="529">
                  <c:v>6.318128478974927E-2</c:v>
                </c:pt>
                <c:pt idx="530">
                  <c:v>3.0648480917268017E-2</c:v>
                </c:pt>
                <c:pt idx="531">
                  <c:v>0.16156075468178877</c:v>
                </c:pt>
                <c:pt idx="532">
                  <c:v>5.3401545858935862E-2</c:v>
                </c:pt>
                <c:pt idx="533">
                  <c:v>0.10153565555236455</c:v>
                </c:pt>
                <c:pt idx="534">
                  <c:v>0.14028791317878841</c:v>
                </c:pt>
                <c:pt idx="535">
                  <c:v>0.10541245915600328</c:v>
                </c:pt>
                <c:pt idx="536">
                  <c:v>9.6029802160067845E-2</c:v>
                </c:pt>
                <c:pt idx="537">
                  <c:v>0.17495020625651136</c:v>
                </c:pt>
                <c:pt idx="538">
                  <c:v>1.8914968200306248E-2</c:v>
                </c:pt>
                <c:pt idx="539">
                  <c:v>0.15920886849549909</c:v>
                </c:pt>
                <c:pt idx="540">
                  <c:v>7.2023056905326399E-2</c:v>
                </c:pt>
                <c:pt idx="541">
                  <c:v>0.17797117668826701</c:v>
                </c:pt>
                <c:pt idx="542">
                  <c:v>0.11454914222602142</c:v>
                </c:pt>
                <c:pt idx="543">
                  <c:v>0.10715380304991484</c:v>
                </c:pt>
                <c:pt idx="544">
                  <c:v>0.15870397121894086</c:v>
                </c:pt>
                <c:pt idx="545">
                  <c:v>0.10173309440196476</c:v>
                </c:pt>
                <c:pt idx="546">
                  <c:v>0.13642238580847987</c:v>
                </c:pt>
                <c:pt idx="547">
                  <c:v>0.12476912051424627</c:v>
                </c:pt>
                <c:pt idx="548">
                  <c:v>0.12238365969683862</c:v>
                </c:pt>
                <c:pt idx="549">
                  <c:v>9.0285409709693454E-2</c:v>
                </c:pt>
                <c:pt idx="550">
                  <c:v>0.11603237100841568</c:v>
                </c:pt>
                <c:pt idx="551">
                  <c:v>0.11181290712568526</c:v>
                </c:pt>
                <c:pt idx="552">
                  <c:v>0.12546841881606952</c:v>
                </c:pt>
                <c:pt idx="553">
                  <c:v>2.204657822038314E-2</c:v>
                </c:pt>
                <c:pt idx="554">
                  <c:v>0.14578472218826555</c:v>
                </c:pt>
                <c:pt idx="555">
                  <c:v>9.8851636469284188E-2</c:v>
                </c:pt>
                <c:pt idx="556">
                  <c:v>0.17278710238191941</c:v>
                </c:pt>
                <c:pt idx="557">
                  <c:v>0.10743092009325039</c:v>
                </c:pt>
                <c:pt idx="558">
                  <c:v>0.12545800058727608</c:v>
                </c:pt>
                <c:pt idx="559">
                  <c:v>0.13639995682336803</c:v>
                </c:pt>
                <c:pt idx="560">
                  <c:v>0.17189220370234537</c:v>
                </c:pt>
                <c:pt idx="561">
                  <c:v>9.2884215238441925E-2</c:v>
                </c:pt>
                <c:pt idx="562">
                  <c:v>0.11249950445869672</c:v>
                </c:pt>
                <c:pt idx="563">
                  <c:v>0.12715279401065871</c:v>
                </c:pt>
                <c:pt idx="564">
                  <c:v>0.17861894099280562</c:v>
                </c:pt>
                <c:pt idx="565">
                  <c:v>0.2380645582257479</c:v>
                </c:pt>
                <c:pt idx="566">
                  <c:v>0.10352548848493548</c:v>
                </c:pt>
                <c:pt idx="567">
                  <c:v>0.11177977535432504</c:v>
                </c:pt>
                <c:pt idx="568">
                  <c:v>0.14691227538529006</c:v>
                </c:pt>
                <c:pt idx="569">
                  <c:v>8.1039013670050508E-2</c:v>
                </c:pt>
                <c:pt idx="570">
                  <c:v>6.1774672552386889E-2</c:v>
                </c:pt>
                <c:pt idx="571">
                  <c:v>9.6713575275806818E-2</c:v>
                </c:pt>
                <c:pt idx="572">
                  <c:v>0.21304552320202674</c:v>
                </c:pt>
                <c:pt idx="573">
                  <c:v>4.5936855427150647E-2</c:v>
                </c:pt>
                <c:pt idx="574">
                  <c:v>0.12305955261920687</c:v>
                </c:pt>
                <c:pt idx="575">
                  <c:v>0.13158441815743416</c:v>
                </c:pt>
                <c:pt idx="576">
                  <c:v>0.14023757103651846</c:v>
                </c:pt>
                <c:pt idx="577">
                  <c:v>0.12287186882248591</c:v>
                </c:pt>
                <c:pt idx="578">
                  <c:v>0.1778584523248341</c:v>
                </c:pt>
                <c:pt idx="579">
                  <c:v>0.13172966389502605</c:v>
                </c:pt>
                <c:pt idx="580">
                  <c:v>0.13275079158213288</c:v>
                </c:pt>
                <c:pt idx="581">
                  <c:v>9.9676355581447496E-2</c:v>
                </c:pt>
                <c:pt idx="582">
                  <c:v>8.8829939101628952E-2</c:v>
                </c:pt>
                <c:pt idx="583">
                  <c:v>0.15442811368368581</c:v>
                </c:pt>
                <c:pt idx="584">
                  <c:v>0.17320357784605278</c:v>
                </c:pt>
                <c:pt idx="585">
                  <c:v>0.15929712559157494</c:v>
                </c:pt>
                <c:pt idx="586">
                  <c:v>9.5917709107744997E-2</c:v>
                </c:pt>
                <c:pt idx="587">
                  <c:v>7.6589989728844898E-2</c:v>
                </c:pt>
                <c:pt idx="588">
                  <c:v>0.11331828414287415</c:v>
                </c:pt>
                <c:pt idx="589">
                  <c:v>6.9871750152007195E-2</c:v>
                </c:pt>
                <c:pt idx="590">
                  <c:v>0.131431991616342</c:v>
                </c:pt>
                <c:pt idx="591">
                  <c:v>0.14398332915020973</c:v>
                </c:pt>
                <c:pt idx="592">
                  <c:v>0.14875389694695684</c:v>
                </c:pt>
                <c:pt idx="593">
                  <c:v>0.14513876256267899</c:v>
                </c:pt>
                <c:pt idx="594">
                  <c:v>0.11058389447181938</c:v>
                </c:pt>
                <c:pt idx="595">
                  <c:v>0.1861262921275646</c:v>
                </c:pt>
                <c:pt idx="596">
                  <c:v>0.16105917556049931</c:v>
                </c:pt>
                <c:pt idx="597">
                  <c:v>0.15039567490643613</c:v>
                </c:pt>
                <c:pt idx="598">
                  <c:v>4.5607187204783628E-2</c:v>
                </c:pt>
                <c:pt idx="599">
                  <c:v>0.16144170965862159</c:v>
                </c:pt>
                <c:pt idx="600">
                  <c:v>9.4968975570649761E-2</c:v>
                </c:pt>
                <c:pt idx="601">
                  <c:v>5.7488148498347158E-2</c:v>
                </c:pt>
                <c:pt idx="602">
                  <c:v>0.14953907584074599</c:v>
                </c:pt>
                <c:pt idx="603">
                  <c:v>9.058365404104407E-2</c:v>
                </c:pt>
                <c:pt idx="604">
                  <c:v>1.9171611040862402E-2</c:v>
                </c:pt>
                <c:pt idx="605">
                  <c:v>8.6349538186000885E-2</c:v>
                </c:pt>
                <c:pt idx="606">
                  <c:v>3.8131089223693237E-2</c:v>
                </c:pt>
                <c:pt idx="607">
                  <c:v>0.11260228339426348</c:v>
                </c:pt>
                <c:pt idx="608">
                  <c:v>0.13549420088731345</c:v>
                </c:pt>
                <c:pt idx="609">
                  <c:v>0.10337340076198664</c:v>
                </c:pt>
                <c:pt idx="610">
                  <c:v>6.5286996907030215E-2</c:v>
                </c:pt>
                <c:pt idx="611">
                  <c:v>0.14590357111908503</c:v>
                </c:pt>
                <c:pt idx="612">
                  <c:v>0.12684778903761185</c:v>
                </c:pt>
                <c:pt idx="613">
                  <c:v>0.15082155358564719</c:v>
                </c:pt>
                <c:pt idx="614">
                  <c:v>0.16135383573962514</c:v>
                </c:pt>
                <c:pt idx="615">
                  <c:v>0.1333684986853001</c:v>
                </c:pt>
                <c:pt idx="616">
                  <c:v>4.2168017289878179E-2</c:v>
                </c:pt>
                <c:pt idx="617">
                  <c:v>8.1434951018470869E-2</c:v>
                </c:pt>
                <c:pt idx="618">
                  <c:v>0.1201761435404336</c:v>
                </c:pt>
                <c:pt idx="619">
                  <c:v>9.2475957352197824E-2</c:v>
                </c:pt>
                <c:pt idx="620">
                  <c:v>0.1984703508523662</c:v>
                </c:pt>
                <c:pt idx="621">
                  <c:v>0.15149385050458619</c:v>
                </c:pt>
                <c:pt idx="622">
                  <c:v>0.14386456549563498</c:v>
                </c:pt>
                <c:pt idx="623">
                  <c:v>9.161660557984419E-2</c:v>
                </c:pt>
                <c:pt idx="624">
                  <c:v>8.5101692103084048E-2</c:v>
                </c:pt>
                <c:pt idx="625">
                  <c:v>9.9943490369479804E-2</c:v>
                </c:pt>
                <c:pt idx="626">
                  <c:v>2.956308376520056E-3</c:v>
                </c:pt>
                <c:pt idx="627">
                  <c:v>0.10095704908337311</c:v>
                </c:pt>
                <c:pt idx="628">
                  <c:v>0.1353955883064728</c:v>
                </c:pt>
                <c:pt idx="629">
                  <c:v>0.1091009420064335</c:v>
                </c:pt>
                <c:pt idx="630">
                  <c:v>0.16300554756923802</c:v>
                </c:pt>
                <c:pt idx="631">
                  <c:v>0.11928825138402388</c:v>
                </c:pt>
                <c:pt idx="632">
                  <c:v>0.10286638844978668</c:v>
                </c:pt>
                <c:pt idx="633">
                  <c:v>0.10484465128335252</c:v>
                </c:pt>
                <c:pt idx="634">
                  <c:v>0.13142994053668033</c:v>
                </c:pt>
                <c:pt idx="635">
                  <c:v>0.23041540036150643</c:v>
                </c:pt>
                <c:pt idx="636">
                  <c:v>0.17067777790616745</c:v>
                </c:pt>
                <c:pt idx="637">
                  <c:v>0.11089857618038934</c:v>
                </c:pt>
                <c:pt idx="638">
                  <c:v>5.9086551100953955E-2</c:v>
                </c:pt>
                <c:pt idx="639">
                  <c:v>8.9021914508780497E-2</c:v>
                </c:pt>
                <c:pt idx="640">
                  <c:v>0.10416300287509017</c:v>
                </c:pt>
                <c:pt idx="641">
                  <c:v>0.14741580390161779</c:v>
                </c:pt>
                <c:pt idx="642">
                  <c:v>5.7917535956290678E-2</c:v>
                </c:pt>
                <c:pt idx="643">
                  <c:v>7.3817805374453371E-2</c:v>
                </c:pt>
                <c:pt idx="644">
                  <c:v>0.2091522921086586</c:v>
                </c:pt>
                <c:pt idx="645">
                  <c:v>0.14464723579272132</c:v>
                </c:pt>
                <c:pt idx="646">
                  <c:v>9.6250073811905423E-2</c:v>
                </c:pt>
                <c:pt idx="647">
                  <c:v>9.3052720697565761E-2</c:v>
                </c:pt>
                <c:pt idx="648">
                  <c:v>0.13224575903575086</c:v>
                </c:pt>
                <c:pt idx="649">
                  <c:v>0.16466715141591237</c:v>
                </c:pt>
                <c:pt idx="650">
                  <c:v>0.17164730566458886</c:v>
                </c:pt>
                <c:pt idx="651">
                  <c:v>4.4841344324321852E-2</c:v>
                </c:pt>
                <c:pt idx="652">
                  <c:v>0.19812047317463488</c:v>
                </c:pt>
                <c:pt idx="653">
                  <c:v>0.11935461579870932</c:v>
                </c:pt>
                <c:pt idx="654">
                  <c:v>0.16517350433969291</c:v>
                </c:pt>
                <c:pt idx="655">
                  <c:v>0.13161250763222121</c:v>
                </c:pt>
                <c:pt idx="656">
                  <c:v>0.14579474005082105</c:v>
                </c:pt>
                <c:pt idx="657">
                  <c:v>0.15907369395998927</c:v>
                </c:pt>
                <c:pt idx="658">
                  <c:v>0.2111693686570888</c:v>
                </c:pt>
                <c:pt idx="659">
                  <c:v>7.7132557650664069E-2</c:v>
                </c:pt>
                <c:pt idx="660">
                  <c:v>8.7620436191517825E-2</c:v>
                </c:pt>
                <c:pt idx="661">
                  <c:v>0.1535382784738637</c:v>
                </c:pt>
                <c:pt idx="662">
                  <c:v>0.11563154385976659</c:v>
                </c:pt>
                <c:pt idx="663">
                  <c:v>0.14712781903476113</c:v>
                </c:pt>
                <c:pt idx="664">
                  <c:v>0.10575377678655684</c:v>
                </c:pt>
                <c:pt idx="665">
                  <c:v>0.16219294045041011</c:v>
                </c:pt>
                <c:pt idx="666">
                  <c:v>0.1250869515988029</c:v>
                </c:pt>
                <c:pt idx="667">
                  <c:v>0.1684116623386025</c:v>
                </c:pt>
                <c:pt idx="668">
                  <c:v>0.14187719589232728</c:v>
                </c:pt>
                <c:pt idx="669">
                  <c:v>9.3722742159835448E-2</c:v>
                </c:pt>
                <c:pt idx="670">
                  <c:v>0.15931525182804229</c:v>
                </c:pt>
                <c:pt idx="671">
                  <c:v>0.12909871684103535</c:v>
                </c:pt>
                <c:pt idx="672">
                  <c:v>0.18084520603090226</c:v>
                </c:pt>
                <c:pt idx="673">
                  <c:v>7.7066486266325285E-2</c:v>
                </c:pt>
                <c:pt idx="674">
                  <c:v>0.17217078515492545</c:v>
                </c:pt>
                <c:pt idx="675">
                  <c:v>6.2644108969193368E-2</c:v>
                </c:pt>
                <c:pt idx="676">
                  <c:v>0.13120416662301082</c:v>
                </c:pt>
                <c:pt idx="677">
                  <c:v>0.11634283486946728</c:v>
                </c:pt>
                <c:pt idx="678">
                  <c:v>5.7908717001655674E-2</c:v>
                </c:pt>
                <c:pt idx="679">
                  <c:v>0.112709313340984</c:v>
                </c:pt>
                <c:pt idx="680">
                  <c:v>0.16459875108431454</c:v>
                </c:pt>
                <c:pt idx="681">
                  <c:v>0.13051753027158952</c:v>
                </c:pt>
                <c:pt idx="682">
                  <c:v>0.11790557434469306</c:v>
                </c:pt>
                <c:pt idx="683">
                  <c:v>0.21727445032917103</c:v>
                </c:pt>
                <c:pt idx="684">
                  <c:v>3.2859913033796317E-2</c:v>
                </c:pt>
                <c:pt idx="685">
                  <c:v>0.1783675904779578</c:v>
                </c:pt>
                <c:pt idx="686">
                  <c:v>0.1003332918721469</c:v>
                </c:pt>
                <c:pt idx="687">
                  <c:v>0.19230003757206582</c:v>
                </c:pt>
                <c:pt idx="688">
                  <c:v>0.11844701583766692</c:v>
                </c:pt>
                <c:pt idx="689">
                  <c:v>0.15427268617626666</c:v>
                </c:pt>
                <c:pt idx="690">
                  <c:v>0.11862296646074455</c:v>
                </c:pt>
                <c:pt idx="691">
                  <c:v>0.14957451397414445</c:v>
                </c:pt>
                <c:pt idx="692">
                  <c:v>0.19164788694864576</c:v>
                </c:pt>
                <c:pt idx="693">
                  <c:v>7.9907774998165593E-2</c:v>
                </c:pt>
                <c:pt idx="694">
                  <c:v>0.1119234546064316</c:v>
                </c:pt>
                <c:pt idx="695">
                  <c:v>7.8004339943433365E-2</c:v>
                </c:pt>
                <c:pt idx="696">
                  <c:v>5.1993960599521216E-2</c:v>
                </c:pt>
                <c:pt idx="697">
                  <c:v>6.2340039608539399E-2</c:v>
                </c:pt>
                <c:pt idx="698">
                  <c:v>0.12748288919029704</c:v>
                </c:pt>
                <c:pt idx="699">
                  <c:v>0.15394388274704696</c:v>
                </c:pt>
                <c:pt idx="700">
                  <c:v>0.12730472834469353</c:v>
                </c:pt>
                <c:pt idx="701">
                  <c:v>0.10324315028141839</c:v>
                </c:pt>
                <c:pt idx="702">
                  <c:v>0.15115555731553698</c:v>
                </c:pt>
                <c:pt idx="703">
                  <c:v>0.12894421226684649</c:v>
                </c:pt>
                <c:pt idx="704">
                  <c:v>7.3397043786631144E-2</c:v>
                </c:pt>
                <c:pt idx="705">
                  <c:v>0.11728826887187438</c:v>
                </c:pt>
                <c:pt idx="706">
                  <c:v>0.1187929785367885</c:v>
                </c:pt>
                <c:pt idx="707">
                  <c:v>0.13643378910073878</c:v>
                </c:pt>
                <c:pt idx="708">
                  <c:v>0.17096721593680542</c:v>
                </c:pt>
                <c:pt idx="709">
                  <c:v>0.1194386731891619</c:v>
                </c:pt>
                <c:pt idx="710">
                  <c:v>9.3278571449982195E-2</c:v>
                </c:pt>
                <c:pt idx="711">
                  <c:v>0.15539516580146895</c:v>
                </c:pt>
                <c:pt idx="712">
                  <c:v>0.15318710103159816</c:v>
                </c:pt>
                <c:pt idx="713">
                  <c:v>0.14526714016381703</c:v>
                </c:pt>
                <c:pt idx="714">
                  <c:v>0.1682249630243362</c:v>
                </c:pt>
                <c:pt idx="715">
                  <c:v>0.13783594323232684</c:v>
                </c:pt>
                <c:pt idx="716">
                  <c:v>0.16777307265764563</c:v>
                </c:pt>
                <c:pt idx="717">
                  <c:v>0.10509832607244007</c:v>
                </c:pt>
                <c:pt idx="718">
                  <c:v>8.2796381526332397E-2</c:v>
                </c:pt>
                <c:pt idx="719">
                  <c:v>6.4692892671605051E-2</c:v>
                </c:pt>
                <c:pt idx="720">
                  <c:v>0.12633100566563726</c:v>
                </c:pt>
                <c:pt idx="721">
                  <c:v>0.16184023296499817</c:v>
                </c:pt>
                <c:pt idx="722">
                  <c:v>0.10519905725528744</c:v>
                </c:pt>
                <c:pt idx="723">
                  <c:v>0.21698372966537249</c:v>
                </c:pt>
                <c:pt idx="724">
                  <c:v>0.14645893679341881</c:v>
                </c:pt>
                <c:pt idx="725">
                  <c:v>0.15453613934882782</c:v>
                </c:pt>
                <c:pt idx="726">
                  <c:v>0.15743336476272241</c:v>
                </c:pt>
                <c:pt idx="727">
                  <c:v>0.11704400595691311</c:v>
                </c:pt>
                <c:pt idx="728">
                  <c:v>0.16106852536408667</c:v>
                </c:pt>
                <c:pt idx="729">
                  <c:v>8.4753168745187679E-2</c:v>
                </c:pt>
                <c:pt idx="730">
                  <c:v>9.8312859517079687E-2</c:v>
                </c:pt>
                <c:pt idx="731">
                  <c:v>3.7615518772046386E-2</c:v>
                </c:pt>
                <c:pt idx="732">
                  <c:v>0.16203014333723331</c:v>
                </c:pt>
                <c:pt idx="733">
                  <c:v>9.7076148008049756E-2</c:v>
                </c:pt>
                <c:pt idx="734">
                  <c:v>0.17231471152544486</c:v>
                </c:pt>
                <c:pt idx="735">
                  <c:v>0.12062136820271085</c:v>
                </c:pt>
                <c:pt idx="736">
                  <c:v>0.10421736414365412</c:v>
                </c:pt>
                <c:pt idx="737">
                  <c:v>4.2936101084290357E-2</c:v>
                </c:pt>
                <c:pt idx="738">
                  <c:v>0.12518840327450675</c:v>
                </c:pt>
                <c:pt idx="739">
                  <c:v>0.1177891045181525</c:v>
                </c:pt>
                <c:pt idx="740">
                  <c:v>0.18224644326482498</c:v>
                </c:pt>
                <c:pt idx="741">
                  <c:v>0.13304532745021547</c:v>
                </c:pt>
                <c:pt idx="742">
                  <c:v>8.518090512839116E-2</c:v>
                </c:pt>
                <c:pt idx="743">
                  <c:v>0.13279621669999209</c:v>
                </c:pt>
                <c:pt idx="744">
                  <c:v>0.17090466231988266</c:v>
                </c:pt>
                <c:pt idx="745">
                  <c:v>6.5131561766801127E-2</c:v>
                </c:pt>
                <c:pt idx="746">
                  <c:v>0.13114674424284622</c:v>
                </c:pt>
                <c:pt idx="747">
                  <c:v>0.13063808812909272</c:v>
                </c:pt>
                <c:pt idx="748">
                  <c:v>0.13332804651117414</c:v>
                </c:pt>
                <c:pt idx="749">
                  <c:v>0.19401029430181183</c:v>
                </c:pt>
                <c:pt idx="750">
                  <c:v>8.9818480308688109E-2</c:v>
                </c:pt>
                <c:pt idx="751">
                  <c:v>0.11324189221401504</c:v>
                </c:pt>
                <c:pt idx="752">
                  <c:v>8.888758027170951E-2</c:v>
                </c:pt>
                <c:pt idx="753">
                  <c:v>6.7669637457097309E-2</c:v>
                </c:pt>
                <c:pt idx="754">
                  <c:v>3.8698263966637114E-2</c:v>
                </c:pt>
                <c:pt idx="755">
                  <c:v>0.13974812896996625</c:v>
                </c:pt>
                <c:pt idx="756">
                  <c:v>9.8117415616364667E-2</c:v>
                </c:pt>
                <c:pt idx="757">
                  <c:v>0.10337792641306187</c:v>
                </c:pt>
                <c:pt idx="758">
                  <c:v>0.15700716361306988</c:v>
                </c:pt>
                <c:pt idx="759">
                  <c:v>7.7648194151144878E-2</c:v>
                </c:pt>
                <c:pt idx="760">
                  <c:v>0.1373051371418903</c:v>
                </c:pt>
                <c:pt idx="761">
                  <c:v>0.14224528297987327</c:v>
                </c:pt>
                <c:pt idx="762">
                  <c:v>0.12053154770672592</c:v>
                </c:pt>
                <c:pt idx="763">
                  <c:v>0.12339938988155552</c:v>
                </c:pt>
                <c:pt idx="764">
                  <c:v>0.2166873920012069</c:v>
                </c:pt>
                <c:pt idx="765">
                  <c:v>0.13886978569478714</c:v>
                </c:pt>
                <c:pt idx="766">
                  <c:v>0.15153541894928146</c:v>
                </c:pt>
                <c:pt idx="767">
                  <c:v>9.9890189192915813E-2</c:v>
                </c:pt>
                <c:pt idx="768">
                  <c:v>0.15941895913187665</c:v>
                </c:pt>
                <c:pt idx="769">
                  <c:v>0.11693862737723038</c:v>
                </c:pt>
                <c:pt idx="770">
                  <c:v>0.12143958943121191</c:v>
                </c:pt>
                <c:pt idx="771">
                  <c:v>9.3931664298022355E-2</c:v>
                </c:pt>
                <c:pt idx="772">
                  <c:v>0.11231313570432988</c:v>
                </c:pt>
                <c:pt idx="773">
                  <c:v>0.13497539799646674</c:v>
                </c:pt>
                <c:pt idx="774">
                  <c:v>9.1857752395997139E-2</c:v>
                </c:pt>
                <c:pt idx="775">
                  <c:v>0.15516533705438107</c:v>
                </c:pt>
                <c:pt idx="776">
                  <c:v>0.10781225584695875</c:v>
                </c:pt>
                <c:pt idx="777">
                  <c:v>7.9477752211570163E-2</c:v>
                </c:pt>
                <c:pt idx="778">
                  <c:v>0.12894328304037117</c:v>
                </c:pt>
                <c:pt idx="779">
                  <c:v>0.12528475254947224</c:v>
                </c:pt>
                <c:pt idx="780">
                  <c:v>0.14409014451625701</c:v>
                </c:pt>
                <c:pt idx="781">
                  <c:v>0.10021425420481123</c:v>
                </c:pt>
                <c:pt idx="782">
                  <c:v>0.12037552233590176</c:v>
                </c:pt>
                <c:pt idx="783">
                  <c:v>0.11934594028901202</c:v>
                </c:pt>
                <c:pt idx="784">
                  <c:v>0.12851905932796903</c:v>
                </c:pt>
                <c:pt idx="785">
                  <c:v>0.11052725235780514</c:v>
                </c:pt>
                <c:pt idx="786">
                  <c:v>0.12963230877297782</c:v>
                </c:pt>
                <c:pt idx="787">
                  <c:v>0.12824764487233864</c:v>
                </c:pt>
                <c:pt idx="788">
                  <c:v>0.11260728257385466</c:v>
                </c:pt>
                <c:pt idx="789">
                  <c:v>0.15608270780607825</c:v>
                </c:pt>
                <c:pt idx="790">
                  <c:v>0.15251542830312914</c:v>
                </c:pt>
                <c:pt idx="791">
                  <c:v>0.10869378413261543</c:v>
                </c:pt>
                <c:pt idx="792">
                  <c:v>3.1046096695778402E-2</c:v>
                </c:pt>
                <c:pt idx="793">
                  <c:v>0.17409025807101131</c:v>
                </c:pt>
                <c:pt idx="794">
                  <c:v>0.1425943017789173</c:v>
                </c:pt>
                <c:pt idx="795">
                  <c:v>4.8960208319629217E-2</c:v>
                </c:pt>
                <c:pt idx="796">
                  <c:v>0.20714163084095283</c:v>
                </c:pt>
                <c:pt idx="797">
                  <c:v>6.3930504976664082E-2</c:v>
                </c:pt>
                <c:pt idx="798">
                  <c:v>0.13710108006855748</c:v>
                </c:pt>
                <c:pt idx="799">
                  <c:v>0.16105074843537182</c:v>
                </c:pt>
                <c:pt idx="800">
                  <c:v>0.20847863446332404</c:v>
                </c:pt>
                <c:pt idx="801">
                  <c:v>0.12608020014600285</c:v>
                </c:pt>
                <c:pt idx="802">
                  <c:v>6.3135788217689282E-2</c:v>
                </c:pt>
                <c:pt idx="803">
                  <c:v>0.13983475420521074</c:v>
                </c:pt>
                <c:pt idx="804">
                  <c:v>0.13286913292561309</c:v>
                </c:pt>
                <c:pt idx="805">
                  <c:v>8.2120267012900428E-2</c:v>
                </c:pt>
                <c:pt idx="806">
                  <c:v>0.11440296224207103</c:v>
                </c:pt>
                <c:pt idx="807">
                  <c:v>8.7469995047660731E-2</c:v>
                </c:pt>
                <c:pt idx="808">
                  <c:v>0.1136165075463289</c:v>
                </c:pt>
                <c:pt idx="809">
                  <c:v>0.10286816952472577</c:v>
                </c:pt>
                <c:pt idx="810">
                  <c:v>9.6179235392582996E-2</c:v>
                </c:pt>
                <c:pt idx="811">
                  <c:v>6.6308633654042382E-2</c:v>
                </c:pt>
                <c:pt idx="812">
                  <c:v>0.11602003875503186</c:v>
                </c:pt>
                <c:pt idx="813">
                  <c:v>0.13557769473295167</c:v>
                </c:pt>
                <c:pt idx="814">
                  <c:v>0.14117851775042034</c:v>
                </c:pt>
                <c:pt idx="815">
                  <c:v>0.13301792348138264</c:v>
                </c:pt>
                <c:pt idx="816">
                  <c:v>0.11061206633875642</c:v>
                </c:pt>
                <c:pt idx="817">
                  <c:v>5.0376080646458377E-2</c:v>
                </c:pt>
                <c:pt idx="818">
                  <c:v>0.10533046889516484</c:v>
                </c:pt>
                <c:pt idx="819">
                  <c:v>0.10941170590252014</c:v>
                </c:pt>
                <c:pt idx="820">
                  <c:v>0.12972239295394772</c:v>
                </c:pt>
                <c:pt idx="821">
                  <c:v>3.0641573077993201E-2</c:v>
                </c:pt>
                <c:pt idx="822">
                  <c:v>0.1175761968695852</c:v>
                </c:pt>
                <c:pt idx="823">
                  <c:v>0.15283387945304128</c:v>
                </c:pt>
                <c:pt idx="824">
                  <c:v>9.6516315199083991E-2</c:v>
                </c:pt>
                <c:pt idx="825">
                  <c:v>0.1164419621516295</c:v>
                </c:pt>
                <c:pt idx="826">
                  <c:v>0.11162171015996947</c:v>
                </c:pt>
                <c:pt idx="827">
                  <c:v>0.16650081714903209</c:v>
                </c:pt>
                <c:pt idx="828">
                  <c:v>0.16162190438422464</c:v>
                </c:pt>
                <c:pt idx="829">
                  <c:v>0.21276321588342384</c:v>
                </c:pt>
                <c:pt idx="830">
                  <c:v>0.17048461552635885</c:v>
                </c:pt>
                <c:pt idx="831">
                  <c:v>0.10981286841497706</c:v>
                </c:pt>
                <c:pt idx="832">
                  <c:v>0.10964026811243421</c:v>
                </c:pt>
                <c:pt idx="833">
                  <c:v>0.19744218463629259</c:v>
                </c:pt>
                <c:pt idx="834">
                  <c:v>0.14414969300691283</c:v>
                </c:pt>
                <c:pt idx="835">
                  <c:v>9.5495960588412032E-2</c:v>
                </c:pt>
                <c:pt idx="836">
                  <c:v>9.9623216804896941E-2</c:v>
                </c:pt>
                <c:pt idx="837">
                  <c:v>0.11945070299533889</c:v>
                </c:pt>
                <c:pt idx="838">
                  <c:v>0.1160974074110932</c:v>
                </c:pt>
                <c:pt idx="839">
                  <c:v>0.1211815516786281</c:v>
                </c:pt>
                <c:pt idx="840">
                  <c:v>0.20620532102487488</c:v>
                </c:pt>
                <c:pt idx="841">
                  <c:v>0.10786099477622457</c:v>
                </c:pt>
                <c:pt idx="842">
                  <c:v>0.16402861468918317</c:v>
                </c:pt>
                <c:pt idx="843">
                  <c:v>9.3776957847456544E-2</c:v>
                </c:pt>
                <c:pt idx="844">
                  <c:v>7.1029156081227285E-2</c:v>
                </c:pt>
                <c:pt idx="845">
                  <c:v>0.11560574560775549</c:v>
                </c:pt>
                <c:pt idx="846">
                  <c:v>0.17148051667358644</c:v>
                </c:pt>
                <c:pt idx="847">
                  <c:v>0.18994039901966886</c:v>
                </c:pt>
                <c:pt idx="848">
                  <c:v>0.13943313614532826</c:v>
                </c:pt>
                <c:pt idx="849">
                  <c:v>9.2627352687124187E-2</c:v>
                </c:pt>
                <c:pt idx="850">
                  <c:v>0.11831938908054163</c:v>
                </c:pt>
                <c:pt idx="851">
                  <c:v>0.12086652245150376</c:v>
                </c:pt>
                <c:pt idx="852">
                  <c:v>0.13342709038053968</c:v>
                </c:pt>
                <c:pt idx="853">
                  <c:v>0.10373285250588182</c:v>
                </c:pt>
                <c:pt idx="854">
                  <c:v>7.4114582341664459E-2</c:v>
                </c:pt>
                <c:pt idx="855">
                  <c:v>0.11329386512037942</c:v>
                </c:pt>
                <c:pt idx="856">
                  <c:v>0.14105048553619071</c:v>
                </c:pt>
                <c:pt idx="857">
                  <c:v>0.13186346897747114</c:v>
                </c:pt>
                <c:pt idx="858">
                  <c:v>0.13352725530958764</c:v>
                </c:pt>
                <c:pt idx="859">
                  <c:v>0.15747752674971949</c:v>
                </c:pt>
                <c:pt idx="860">
                  <c:v>8.8149210998157201E-2</c:v>
                </c:pt>
                <c:pt idx="861">
                  <c:v>0.16033835640759619</c:v>
                </c:pt>
                <c:pt idx="862">
                  <c:v>3.1942821959734857E-2</c:v>
                </c:pt>
                <c:pt idx="863">
                  <c:v>0.14076952375920726</c:v>
                </c:pt>
                <c:pt idx="864">
                  <c:v>8.216480843691798E-2</c:v>
                </c:pt>
                <c:pt idx="865">
                  <c:v>0.12525187961397677</c:v>
                </c:pt>
                <c:pt idx="866">
                  <c:v>8.0007059134766578E-2</c:v>
                </c:pt>
                <c:pt idx="867">
                  <c:v>0.10058953361107825</c:v>
                </c:pt>
                <c:pt idx="868">
                  <c:v>0.10199175720327247</c:v>
                </c:pt>
                <c:pt idx="869">
                  <c:v>6.6303881592705949E-2</c:v>
                </c:pt>
                <c:pt idx="870">
                  <c:v>0.14778339470867508</c:v>
                </c:pt>
                <c:pt idx="871">
                  <c:v>0.13539135020372939</c:v>
                </c:pt>
                <c:pt idx="872">
                  <c:v>7.4716223994025555E-2</c:v>
                </c:pt>
                <c:pt idx="873">
                  <c:v>0.13735131921733412</c:v>
                </c:pt>
                <c:pt idx="874">
                  <c:v>0.14454701452765661</c:v>
                </c:pt>
                <c:pt idx="875">
                  <c:v>0.13716768517303635</c:v>
                </c:pt>
                <c:pt idx="876">
                  <c:v>0.15462457578420086</c:v>
                </c:pt>
                <c:pt idx="877">
                  <c:v>0.1354468107544804</c:v>
                </c:pt>
                <c:pt idx="878">
                  <c:v>0.13310999538195034</c:v>
                </c:pt>
                <c:pt idx="879">
                  <c:v>0.10476884584279134</c:v>
                </c:pt>
                <c:pt idx="880">
                  <c:v>6.4613075395442365E-2</c:v>
                </c:pt>
                <c:pt idx="881">
                  <c:v>0.1133572926132409</c:v>
                </c:pt>
                <c:pt idx="882">
                  <c:v>0.11688058058746975</c:v>
                </c:pt>
                <c:pt idx="883">
                  <c:v>5.4856583141759785E-2</c:v>
                </c:pt>
                <c:pt idx="884">
                  <c:v>9.3232268888314707E-2</c:v>
                </c:pt>
                <c:pt idx="885">
                  <c:v>0.15337100374731705</c:v>
                </c:pt>
                <c:pt idx="886">
                  <c:v>0.1508032959909773</c:v>
                </c:pt>
                <c:pt idx="887">
                  <c:v>0.14851032964083721</c:v>
                </c:pt>
                <c:pt idx="888">
                  <c:v>0.11648021827063459</c:v>
                </c:pt>
                <c:pt idx="889">
                  <c:v>0.17872819863467093</c:v>
                </c:pt>
                <c:pt idx="890">
                  <c:v>0.10702468958402278</c:v>
                </c:pt>
                <c:pt idx="891">
                  <c:v>0.1435328647666978</c:v>
                </c:pt>
                <c:pt idx="892">
                  <c:v>0.10431944072080768</c:v>
                </c:pt>
                <c:pt idx="893">
                  <c:v>0.159857076297925</c:v>
                </c:pt>
                <c:pt idx="894">
                  <c:v>6.6283135977037944E-2</c:v>
                </c:pt>
                <c:pt idx="895">
                  <c:v>0.12799756071509094</c:v>
                </c:pt>
                <c:pt idx="896">
                  <c:v>0.1928266180599465</c:v>
                </c:pt>
                <c:pt idx="897">
                  <c:v>0.13537435569284639</c:v>
                </c:pt>
                <c:pt idx="898">
                  <c:v>0.15289750290377135</c:v>
                </c:pt>
                <c:pt idx="899">
                  <c:v>7.573834826917647E-2</c:v>
                </c:pt>
                <c:pt idx="900">
                  <c:v>0.1574379707168756</c:v>
                </c:pt>
                <c:pt idx="901">
                  <c:v>6.798663549026962E-2</c:v>
                </c:pt>
                <c:pt idx="902">
                  <c:v>0.13463470592165905</c:v>
                </c:pt>
                <c:pt idx="903">
                  <c:v>0.16980996548045368</c:v>
                </c:pt>
                <c:pt idx="904">
                  <c:v>0.16290230255928506</c:v>
                </c:pt>
                <c:pt idx="905">
                  <c:v>0.17305167210033723</c:v>
                </c:pt>
                <c:pt idx="906">
                  <c:v>0.15712394903358629</c:v>
                </c:pt>
                <c:pt idx="907">
                  <c:v>0.17259357847157553</c:v>
                </c:pt>
                <c:pt idx="908">
                  <c:v>0.14003275165970663</c:v>
                </c:pt>
                <c:pt idx="909">
                  <c:v>0.11330339305498605</c:v>
                </c:pt>
                <c:pt idx="910">
                  <c:v>0.11351405483964427</c:v>
                </c:pt>
                <c:pt idx="911">
                  <c:v>0.11960048164280934</c:v>
                </c:pt>
                <c:pt idx="912">
                  <c:v>0.10047570504848835</c:v>
                </c:pt>
                <c:pt idx="913">
                  <c:v>0.12099857159753746</c:v>
                </c:pt>
                <c:pt idx="914">
                  <c:v>9.2486799419216226E-2</c:v>
                </c:pt>
                <c:pt idx="915">
                  <c:v>1.3418754172288772E-2</c:v>
                </c:pt>
                <c:pt idx="916">
                  <c:v>0.14376661159983684</c:v>
                </c:pt>
                <c:pt idx="917">
                  <c:v>6.4712612784980195E-2</c:v>
                </c:pt>
                <c:pt idx="918">
                  <c:v>0.10919983231236507</c:v>
                </c:pt>
                <c:pt idx="919">
                  <c:v>0.16765990989395618</c:v>
                </c:pt>
                <c:pt idx="920">
                  <c:v>0.17620960885512815</c:v>
                </c:pt>
                <c:pt idx="921">
                  <c:v>0.1238093938626541</c:v>
                </c:pt>
                <c:pt idx="922">
                  <c:v>8.8867141126188542E-2</c:v>
                </c:pt>
                <c:pt idx="923">
                  <c:v>0.11712205296604949</c:v>
                </c:pt>
                <c:pt idx="924">
                  <c:v>0.16978042892861467</c:v>
                </c:pt>
                <c:pt idx="925">
                  <c:v>4.0084198163473417E-2</c:v>
                </c:pt>
                <c:pt idx="926">
                  <c:v>0.11501622803081446</c:v>
                </c:pt>
                <c:pt idx="927">
                  <c:v>0.1819658760491123</c:v>
                </c:pt>
                <c:pt idx="928">
                  <c:v>0.12139501064636704</c:v>
                </c:pt>
                <c:pt idx="929">
                  <c:v>0.15448815542620942</c:v>
                </c:pt>
                <c:pt idx="930">
                  <c:v>0.17156665212558764</c:v>
                </c:pt>
                <c:pt idx="931">
                  <c:v>0.15937885187406664</c:v>
                </c:pt>
                <c:pt idx="932">
                  <c:v>0.16479580449534836</c:v>
                </c:pt>
                <c:pt idx="933">
                  <c:v>0.11526271238986219</c:v>
                </c:pt>
                <c:pt idx="934">
                  <c:v>0.18510080184953104</c:v>
                </c:pt>
                <c:pt idx="935">
                  <c:v>0.19156052747733554</c:v>
                </c:pt>
                <c:pt idx="936">
                  <c:v>0.11903976646135916</c:v>
                </c:pt>
                <c:pt idx="937">
                  <c:v>0.12148042231937062</c:v>
                </c:pt>
                <c:pt idx="938">
                  <c:v>0.11650466995687481</c:v>
                </c:pt>
                <c:pt idx="939">
                  <c:v>0.1226847695539206</c:v>
                </c:pt>
                <c:pt idx="940">
                  <c:v>0.15553072001724288</c:v>
                </c:pt>
                <c:pt idx="941">
                  <c:v>9.8010875166503197E-2</c:v>
                </c:pt>
                <c:pt idx="942">
                  <c:v>0.16951412574294977</c:v>
                </c:pt>
                <c:pt idx="943">
                  <c:v>0.19730809179165121</c:v>
                </c:pt>
                <c:pt idx="944">
                  <c:v>0.14529174443707937</c:v>
                </c:pt>
                <c:pt idx="945">
                  <c:v>4.9389808663015344E-2</c:v>
                </c:pt>
                <c:pt idx="946">
                  <c:v>8.7826312747523616E-2</c:v>
                </c:pt>
                <c:pt idx="947">
                  <c:v>0.12884076416758816</c:v>
                </c:pt>
                <c:pt idx="948">
                  <c:v>0.13111512592264418</c:v>
                </c:pt>
                <c:pt idx="949">
                  <c:v>9.7858194668962284E-2</c:v>
                </c:pt>
                <c:pt idx="950">
                  <c:v>0.15528192675099994</c:v>
                </c:pt>
                <c:pt idx="951">
                  <c:v>0.15477090942015792</c:v>
                </c:pt>
                <c:pt idx="952">
                  <c:v>0.14789089925023191</c:v>
                </c:pt>
                <c:pt idx="953">
                  <c:v>7.9548103629122124E-2</c:v>
                </c:pt>
                <c:pt idx="954">
                  <c:v>0.15632163379673081</c:v>
                </c:pt>
                <c:pt idx="955">
                  <c:v>0.11721759370268003</c:v>
                </c:pt>
                <c:pt idx="956">
                  <c:v>0.10637989589362817</c:v>
                </c:pt>
                <c:pt idx="957">
                  <c:v>0.15925570113232546</c:v>
                </c:pt>
                <c:pt idx="958">
                  <c:v>9.7517544416843904E-2</c:v>
                </c:pt>
                <c:pt idx="959">
                  <c:v>0.16206744829508679</c:v>
                </c:pt>
                <c:pt idx="960">
                  <c:v>0.11178643991484805</c:v>
                </c:pt>
                <c:pt idx="961">
                  <c:v>2.7639577376202595E-2</c:v>
                </c:pt>
                <c:pt idx="962">
                  <c:v>0.15356427899969027</c:v>
                </c:pt>
                <c:pt idx="963">
                  <c:v>0.12475493638289237</c:v>
                </c:pt>
                <c:pt idx="964">
                  <c:v>9.3287394123390044E-2</c:v>
                </c:pt>
                <c:pt idx="965">
                  <c:v>0.10740247186766894</c:v>
                </c:pt>
                <c:pt idx="966">
                  <c:v>0.19337857771073175</c:v>
                </c:pt>
                <c:pt idx="967">
                  <c:v>9.2141130711794972E-2</c:v>
                </c:pt>
                <c:pt idx="968">
                  <c:v>0.20764937636513636</c:v>
                </c:pt>
                <c:pt idx="969">
                  <c:v>0.17544023559530686</c:v>
                </c:pt>
                <c:pt idx="970">
                  <c:v>0.19758164259577526</c:v>
                </c:pt>
                <c:pt idx="971">
                  <c:v>0.15347472629041548</c:v>
                </c:pt>
                <c:pt idx="972">
                  <c:v>7.8607342024056948E-2</c:v>
                </c:pt>
                <c:pt idx="973">
                  <c:v>0.12361360973273605</c:v>
                </c:pt>
                <c:pt idx="974">
                  <c:v>0.13716152030331941</c:v>
                </c:pt>
                <c:pt idx="975">
                  <c:v>8.8596479301038755E-2</c:v>
                </c:pt>
                <c:pt idx="976">
                  <c:v>0.16331998142163329</c:v>
                </c:pt>
                <c:pt idx="977">
                  <c:v>0.19069387508073099</c:v>
                </c:pt>
                <c:pt idx="978">
                  <c:v>0.11604657098405191</c:v>
                </c:pt>
                <c:pt idx="979">
                  <c:v>0.14315114785997274</c:v>
                </c:pt>
                <c:pt idx="980">
                  <c:v>6.6277226130631917E-2</c:v>
                </c:pt>
                <c:pt idx="981">
                  <c:v>6.6483964904795911E-2</c:v>
                </c:pt>
                <c:pt idx="982">
                  <c:v>0.14022789287003334</c:v>
                </c:pt>
                <c:pt idx="983">
                  <c:v>0.14883794758320512</c:v>
                </c:pt>
                <c:pt idx="984">
                  <c:v>0.14154638011037868</c:v>
                </c:pt>
                <c:pt idx="985">
                  <c:v>9.4445610911241928E-2</c:v>
                </c:pt>
                <c:pt idx="986">
                  <c:v>0.10374975161962396</c:v>
                </c:pt>
                <c:pt idx="987">
                  <c:v>0.18994587770067461</c:v>
                </c:pt>
                <c:pt idx="988">
                  <c:v>0.12531424341347375</c:v>
                </c:pt>
                <c:pt idx="989">
                  <c:v>7.7640427224089592E-2</c:v>
                </c:pt>
                <c:pt idx="990">
                  <c:v>0.14248372976794776</c:v>
                </c:pt>
                <c:pt idx="991">
                  <c:v>0.13785606612834478</c:v>
                </c:pt>
                <c:pt idx="992">
                  <c:v>0.17003065219997637</c:v>
                </c:pt>
                <c:pt idx="993">
                  <c:v>0.15025665790415665</c:v>
                </c:pt>
                <c:pt idx="994">
                  <c:v>0.16422166984088093</c:v>
                </c:pt>
                <c:pt idx="995">
                  <c:v>0.17286596812627408</c:v>
                </c:pt>
                <c:pt idx="996">
                  <c:v>0.11105279154957692</c:v>
                </c:pt>
                <c:pt idx="997">
                  <c:v>0.10701047758395177</c:v>
                </c:pt>
                <c:pt idx="998">
                  <c:v>0.12167870070185316</c:v>
                </c:pt>
                <c:pt idx="999">
                  <c:v>9.5922368882632725E-2</c:v>
                </c:pt>
                <c:pt idx="1000">
                  <c:v>0.1567672979765824</c:v>
                </c:pt>
              </c:numCache>
            </c:numRef>
          </c:xVal>
          <c:yVal>
            <c:numRef>
              <c:f>PSA!$BI$16:$BI$1015</c:f>
              <c:numCache>
                <c:formatCode>General</c:formatCode>
                <c:ptCount val="1000"/>
                <c:pt idx="0">
                  <c:v>-1987.7701885507558</c:v>
                </c:pt>
                <c:pt idx="1">
                  <c:v>-1578.2068143030483</c:v>
                </c:pt>
                <c:pt idx="2">
                  <c:v>-2189.4030797494925</c:v>
                </c:pt>
                <c:pt idx="3">
                  <c:v>-2169.017766622128</c:v>
                </c:pt>
                <c:pt idx="4">
                  <c:v>-1561.5276733721985</c:v>
                </c:pt>
                <c:pt idx="5">
                  <c:v>-1381.4477809277159</c:v>
                </c:pt>
                <c:pt idx="6">
                  <c:v>-1518.0688613244711</c:v>
                </c:pt>
                <c:pt idx="7">
                  <c:v>-1824.4074391393224</c:v>
                </c:pt>
                <c:pt idx="8">
                  <c:v>-2585.6817391901423</c:v>
                </c:pt>
                <c:pt idx="9">
                  <c:v>-2456.8718914230412</c:v>
                </c:pt>
                <c:pt idx="10">
                  <c:v>-1882.6970582065114</c:v>
                </c:pt>
                <c:pt idx="11">
                  <c:v>-1968.1744081210345</c:v>
                </c:pt>
                <c:pt idx="12">
                  <c:v>-1737.5883181213139</c:v>
                </c:pt>
                <c:pt idx="13">
                  <c:v>-1829.1157046705484</c:v>
                </c:pt>
                <c:pt idx="14">
                  <c:v>-1482.2722181841236</c:v>
                </c:pt>
                <c:pt idx="15">
                  <c:v>-1305.388714091896</c:v>
                </c:pt>
                <c:pt idx="16">
                  <c:v>-1906.2326650476025</c:v>
                </c:pt>
                <c:pt idx="17">
                  <c:v>-1236.8030547044036</c:v>
                </c:pt>
                <c:pt idx="18">
                  <c:v>-1191.5119189630568</c:v>
                </c:pt>
                <c:pt idx="19">
                  <c:v>-1116.1851007151126</c:v>
                </c:pt>
                <c:pt idx="20">
                  <c:v>-2081.9460188930098</c:v>
                </c:pt>
                <c:pt idx="21">
                  <c:v>-2020.616154344083</c:v>
                </c:pt>
                <c:pt idx="22">
                  <c:v>-1384.7629125150124</c:v>
                </c:pt>
                <c:pt idx="23">
                  <c:v>-2227.3807468965242</c:v>
                </c:pt>
                <c:pt idx="24">
                  <c:v>-1591.9561986074259</c:v>
                </c:pt>
                <c:pt idx="25">
                  <c:v>-1808.6016491358314</c:v>
                </c:pt>
                <c:pt idx="26">
                  <c:v>-1807.0387579274975</c:v>
                </c:pt>
                <c:pt idx="27">
                  <c:v>-1479.134575109405</c:v>
                </c:pt>
                <c:pt idx="28">
                  <c:v>-941.26366155198775</c:v>
                </c:pt>
                <c:pt idx="29">
                  <c:v>-1680.9592575455463</c:v>
                </c:pt>
                <c:pt idx="30">
                  <c:v>-1975.5682553325023</c:v>
                </c:pt>
                <c:pt idx="31">
                  <c:v>-1941.7558662792289</c:v>
                </c:pt>
                <c:pt idx="32">
                  <c:v>-1230.9851100743181</c:v>
                </c:pt>
                <c:pt idx="33">
                  <c:v>-920.22551047065645</c:v>
                </c:pt>
                <c:pt idx="34">
                  <c:v>-1890.9560498000792</c:v>
                </c:pt>
                <c:pt idx="35">
                  <c:v>50.630523313011508</c:v>
                </c:pt>
                <c:pt idx="36">
                  <c:v>-1318.8608361347142</c:v>
                </c:pt>
                <c:pt idx="37">
                  <c:v>-1162.9089035365614</c:v>
                </c:pt>
                <c:pt idx="38">
                  <c:v>-1498.4605069603422</c:v>
                </c:pt>
                <c:pt idx="39">
                  <c:v>-2068.4162532432965</c:v>
                </c:pt>
                <c:pt idx="40">
                  <c:v>-1946.6482076723478</c:v>
                </c:pt>
                <c:pt idx="41">
                  <c:v>-1661.1922034315212</c:v>
                </c:pt>
                <c:pt idx="42">
                  <c:v>-989.80287254566792</c:v>
                </c:pt>
                <c:pt idx="43">
                  <c:v>-1361.2365363615172</c:v>
                </c:pt>
                <c:pt idx="44">
                  <c:v>376.89384310245805</c:v>
                </c:pt>
                <c:pt idx="45">
                  <c:v>-614.49028206667572</c:v>
                </c:pt>
                <c:pt idx="46">
                  <c:v>-1629.4090202603402</c:v>
                </c:pt>
                <c:pt idx="47">
                  <c:v>-2315.3954046592989</c:v>
                </c:pt>
                <c:pt idx="48">
                  <c:v>-1944.1376564279344</c:v>
                </c:pt>
                <c:pt idx="49">
                  <c:v>-2292.1632919197727</c:v>
                </c:pt>
                <c:pt idx="50">
                  <c:v>-1948.606430478234</c:v>
                </c:pt>
                <c:pt idx="51">
                  <c:v>-1518.8875058322301</c:v>
                </c:pt>
                <c:pt idx="52">
                  <c:v>-1474.9938126564084</c:v>
                </c:pt>
                <c:pt idx="53">
                  <c:v>-2559.7174314952281</c:v>
                </c:pt>
                <c:pt idx="54">
                  <c:v>-1398.281273076238</c:v>
                </c:pt>
                <c:pt idx="55">
                  <c:v>-1528.6386828675895</c:v>
                </c:pt>
                <c:pt idx="56">
                  <c:v>-2022.804244939849</c:v>
                </c:pt>
                <c:pt idx="57">
                  <c:v>-1573.2127448838</c:v>
                </c:pt>
                <c:pt idx="58">
                  <c:v>-1480.7743604794086</c:v>
                </c:pt>
                <c:pt idx="59">
                  <c:v>-1025.4113688550715</c:v>
                </c:pt>
                <c:pt idx="60">
                  <c:v>-2226.6941122110729</c:v>
                </c:pt>
                <c:pt idx="61">
                  <c:v>-1033.6865705029195</c:v>
                </c:pt>
                <c:pt idx="62">
                  <c:v>-1995.1679793523072</c:v>
                </c:pt>
                <c:pt idx="63">
                  <c:v>-2195.5751471256372</c:v>
                </c:pt>
                <c:pt idx="64">
                  <c:v>-1448.4932275896717</c:v>
                </c:pt>
                <c:pt idx="65">
                  <c:v>-1503.7616650927666</c:v>
                </c:pt>
                <c:pt idx="66">
                  <c:v>-1356.8804891168111</c:v>
                </c:pt>
                <c:pt idx="67">
                  <c:v>-2123.5183183308109</c:v>
                </c:pt>
                <c:pt idx="68">
                  <c:v>-1182.5550794218143</c:v>
                </c:pt>
                <c:pt idx="69">
                  <c:v>-2023.495256989263</c:v>
                </c:pt>
                <c:pt idx="70">
                  <c:v>-1386.6228642509377</c:v>
                </c:pt>
                <c:pt idx="71">
                  <c:v>-2214.1690955802769</c:v>
                </c:pt>
                <c:pt idx="72">
                  <c:v>-2551.8290220121708</c:v>
                </c:pt>
                <c:pt idx="73">
                  <c:v>-2016.65683319245</c:v>
                </c:pt>
                <c:pt idx="74">
                  <c:v>-1657.8326442469697</c:v>
                </c:pt>
                <c:pt idx="75">
                  <c:v>-1832.1847349094605</c:v>
                </c:pt>
                <c:pt idx="76">
                  <c:v>-1525.7578672508243</c:v>
                </c:pt>
                <c:pt idx="77">
                  <c:v>-1812.7609479766834</c:v>
                </c:pt>
                <c:pt idx="78">
                  <c:v>-1657.4548932573816</c:v>
                </c:pt>
                <c:pt idx="79">
                  <c:v>-1927.9536594018427</c:v>
                </c:pt>
                <c:pt idx="80">
                  <c:v>-1249.9206146990764</c:v>
                </c:pt>
                <c:pt idx="81">
                  <c:v>-1628.2063862844661</c:v>
                </c:pt>
                <c:pt idx="82">
                  <c:v>-1415.7988352387765</c:v>
                </c:pt>
                <c:pt idx="83">
                  <c:v>-1306.3155375181232</c:v>
                </c:pt>
                <c:pt idx="84">
                  <c:v>-1682.8186530641542</c:v>
                </c:pt>
                <c:pt idx="85">
                  <c:v>-2081.2711810657274</c:v>
                </c:pt>
                <c:pt idx="86">
                  <c:v>-2144.8131592527498</c:v>
                </c:pt>
                <c:pt idx="87">
                  <c:v>-1080.4956407763966</c:v>
                </c:pt>
                <c:pt idx="88">
                  <c:v>-2798.7947755731439</c:v>
                </c:pt>
                <c:pt idx="89">
                  <c:v>-1024.1968539908848</c:v>
                </c:pt>
                <c:pt idx="90">
                  <c:v>-853.31622428465198</c:v>
                </c:pt>
                <c:pt idx="91">
                  <c:v>-1375.7058418518645</c:v>
                </c:pt>
                <c:pt idx="92">
                  <c:v>-1408.8384428397258</c:v>
                </c:pt>
                <c:pt idx="93">
                  <c:v>-1631.9506405572465</c:v>
                </c:pt>
                <c:pt idx="94">
                  <c:v>-1816.4022879240511</c:v>
                </c:pt>
                <c:pt idx="95">
                  <c:v>-1560.4903182097769</c:v>
                </c:pt>
                <c:pt idx="96">
                  <c:v>-469.11651849899499</c:v>
                </c:pt>
                <c:pt idx="97">
                  <c:v>-1874.1731392725633</c:v>
                </c:pt>
                <c:pt idx="98">
                  <c:v>-1846.523691067021</c:v>
                </c:pt>
                <c:pt idx="99">
                  <c:v>-2057.7238709492085</c:v>
                </c:pt>
                <c:pt idx="100">
                  <c:v>-2106.7482479398313</c:v>
                </c:pt>
                <c:pt idx="101">
                  <c:v>-1455.198067912992</c:v>
                </c:pt>
                <c:pt idx="102">
                  <c:v>-99.902940715430304</c:v>
                </c:pt>
                <c:pt idx="103">
                  <c:v>-1398.3455070987839</c:v>
                </c:pt>
                <c:pt idx="104">
                  <c:v>-2472.3434656727914</c:v>
                </c:pt>
                <c:pt idx="105">
                  <c:v>-2260.0462309223512</c:v>
                </c:pt>
                <c:pt idx="106">
                  <c:v>-1461.4019933964519</c:v>
                </c:pt>
                <c:pt idx="107">
                  <c:v>-2163.661095639909</c:v>
                </c:pt>
                <c:pt idx="108">
                  <c:v>-1486.412303079167</c:v>
                </c:pt>
                <c:pt idx="109">
                  <c:v>-1295.6089513694169</c:v>
                </c:pt>
                <c:pt idx="110">
                  <c:v>-2520.5708859628794</c:v>
                </c:pt>
                <c:pt idx="111">
                  <c:v>-891.20094101574796</c:v>
                </c:pt>
                <c:pt idx="112">
                  <c:v>-1758.8221385664947</c:v>
                </c:pt>
                <c:pt idx="113">
                  <c:v>-1945.2599087634444</c:v>
                </c:pt>
                <c:pt idx="114">
                  <c:v>-2434.9083706941165</c:v>
                </c:pt>
                <c:pt idx="115">
                  <c:v>-1674.9136009424401</c:v>
                </c:pt>
                <c:pt idx="116">
                  <c:v>-2157.3514961064648</c:v>
                </c:pt>
                <c:pt idx="117">
                  <c:v>-978.51403760147514</c:v>
                </c:pt>
                <c:pt idx="118">
                  <c:v>-2405.4917074809637</c:v>
                </c:pt>
                <c:pt idx="119">
                  <c:v>-1174.6716835743136</c:v>
                </c:pt>
                <c:pt idx="120">
                  <c:v>-1428.560500802967</c:v>
                </c:pt>
                <c:pt idx="121">
                  <c:v>-1965.9922423168173</c:v>
                </c:pt>
                <c:pt idx="122">
                  <c:v>-1340.4869350984518</c:v>
                </c:pt>
                <c:pt idx="123">
                  <c:v>-1740.8641088671429</c:v>
                </c:pt>
                <c:pt idx="124">
                  <c:v>-1856.9964991503439</c:v>
                </c:pt>
                <c:pt idx="125">
                  <c:v>-1673.9561783262325</c:v>
                </c:pt>
                <c:pt idx="126">
                  <c:v>-961.60729158989852</c:v>
                </c:pt>
                <c:pt idx="127">
                  <c:v>-2931.7205418786616</c:v>
                </c:pt>
                <c:pt idx="128">
                  <c:v>-1876.292834653068</c:v>
                </c:pt>
                <c:pt idx="129">
                  <c:v>-1905.3502119127224</c:v>
                </c:pt>
                <c:pt idx="130">
                  <c:v>-1317.3637189423753</c:v>
                </c:pt>
                <c:pt idx="131">
                  <c:v>-1463.7104680115881</c:v>
                </c:pt>
                <c:pt idx="132">
                  <c:v>-1498.4760257979651</c:v>
                </c:pt>
                <c:pt idx="133">
                  <c:v>-1722.6622983615962</c:v>
                </c:pt>
                <c:pt idx="134">
                  <c:v>-2315.7054227840417</c:v>
                </c:pt>
                <c:pt idx="135">
                  <c:v>-956.76198389864294</c:v>
                </c:pt>
                <c:pt idx="136">
                  <c:v>-1429.8695275632053</c:v>
                </c:pt>
                <c:pt idx="137">
                  <c:v>-2188.2689044468279</c:v>
                </c:pt>
                <c:pt idx="138">
                  <c:v>-1572.0700743537163</c:v>
                </c:pt>
                <c:pt idx="139">
                  <c:v>-1493.9070545742143</c:v>
                </c:pt>
                <c:pt idx="140">
                  <c:v>-2658.3429945482058</c:v>
                </c:pt>
                <c:pt idx="141">
                  <c:v>-1432.6404971207958</c:v>
                </c:pt>
                <c:pt idx="142">
                  <c:v>-2071.7456524613663</c:v>
                </c:pt>
                <c:pt idx="143">
                  <c:v>-2071.4510596216423</c:v>
                </c:pt>
                <c:pt idx="144">
                  <c:v>-1686.7373855031619</c:v>
                </c:pt>
                <c:pt idx="145">
                  <c:v>-1574.1378350835148</c:v>
                </c:pt>
                <c:pt idx="146">
                  <c:v>-1199.2174983652512</c:v>
                </c:pt>
                <c:pt idx="147">
                  <c:v>-1752.3776587559551</c:v>
                </c:pt>
                <c:pt idx="148">
                  <c:v>-2067.6218724908831</c:v>
                </c:pt>
                <c:pt idx="149">
                  <c:v>-1638.2393166401016</c:v>
                </c:pt>
                <c:pt idx="150">
                  <c:v>-2268.9678738129151</c:v>
                </c:pt>
                <c:pt idx="151">
                  <c:v>-1782.1463660001755</c:v>
                </c:pt>
                <c:pt idx="152">
                  <c:v>-1351.4699252252467</c:v>
                </c:pt>
                <c:pt idx="153">
                  <c:v>-1128.9070485304983</c:v>
                </c:pt>
                <c:pt idx="154">
                  <c:v>-2585.4234184792149</c:v>
                </c:pt>
                <c:pt idx="155">
                  <c:v>-1680.232679789653</c:v>
                </c:pt>
                <c:pt idx="156">
                  <c:v>-1730.6307455274509</c:v>
                </c:pt>
                <c:pt idx="157">
                  <c:v>-2295.3380582638201</c:v>
                </c:pt>
                <c:pt idx="158">
                  <c:v>-1518.2402757386299</c:v>
                </c:pt>
                <c:pt idx="159">
                  <c:v>-2397.1809945754212</c:v>
                </c:pt>
                <c:pt idx="160">
                  <c:v>-1559.2122746137466</c:v>
                </c:pt>
                <c:pt idx="161">
                  <c:v>-2293.0993146721012</c:v>
                </c:pt>
                <c:pt idx="162">
                  <c:v>-1747.6544413794327</c:v>
                </c:pt>
                <c:pt idx="163">
                  <c:v>-1895.8668374832632</c:v>
                </c:pt>
                <c:pt idx="164">
                  <c:v>-1760.5516574613139</c:v>
                </c:pt>
                <c:pt idx="165">
                  <c:v>-1428.6408533059148</c:v>
                </c:pt>
                <c:pt idx="166">
                  <c:v>-1347.7083206601383</c:v>
                </c:pt>
                <c:pt idx="167">
                  <c:v>-1671.7109557903023</c:v>
                </c:pt>
                <c:pt idx="168">
                  <c:v>-1463.752425053186</c:v>
                </c:pt>
                <c:pt idx="169">
                  <c:v>-1926.2175309488957</c:v>
                </c:pt>
                <c:pt idx="170">
                  <c:v>-2074.9375011653392</c:v>
                </c:pt>
                <c:pt idx="171">
                  <c:v>-1718.2189888680878</c:v>
                </c:pt>
                <c:pt idx="172">
                  <c:v>-1768.806758437815</c:v>
                </c:pt>
                <c:pt idx="173">
                  <c:v>-2035.9592723268288</c:v>
                </c:pt>
                <c:pt idx="174">
                  <c:v>-974.41704700696573</c:v>
                </c:pt>
                <c:pt idx="175">
                  <c:v>-1959.4011909561523</c:v>
                </c:pt>
                <c:pt idx="176">
                  <c:v>-1597.9236043113051</c:v>
                </c:pt>
                <c:pt idx="177">
                  <c:v>-1015.8845834479653</c:v>
                </c:pt>
                <c:pt idx="178">
                  <c:v>-1807.3515657057578</c:v>
                </c:pt>
                <c:pt idx="179">
                  <c:v>-1276.6598612740781</c:v>
                </c:pt>
                <c:pt idx="180">
                  <c:v>-854.63838276910246</c:v>
                </c:pt>
                <c:pt idx="181">
                  <c:v>-1339.2899851097754</c:v>
                </c:pt>
                <c:pt idx="182">
                  <c:v>-1830.0058502632455</c:v>
                </c:pt>
                <c:pt idx="183">
                  <c:v>-1539.3051541280001</c:v>
                </c:pt>
                <c:pt idx="184">
                  <c:v>-1747.4487667378562</c:v>
                </c:pt>
                <c:pt idx="185">
                  <c:v>-457.38296489843924</c:v>
                </c:pt>
                <c:pt idx="186">
                  <c:v>-1193.4649148315075</c:v>
                </c:pt>
                <c:pt idx="187">
                  <c:v>-1845.8260842622549</c:v>
                </c:pt>
                <c:pt idx="188">
                  <c:v>-1759.0531032479194</c:v>
                </c:pt>
                <c:pt idx="189">
                  <c:v>-1756.5238814408949</c:v>
                </c:pt>
                <c:pt idx="190">
                  <c:v>-1369.4511851956631</c:v>
                </c:pt>
                <c:pt idx="191">
                  <c:v>-2380.2931818336656</c:v>
                </c:pt>
                <c:pt idx="192">
                  <c:v>-1964.7846167767275</c:v>
                </c:pt>
                <c:pt idx="193">
                  <c:v>-1700.8413711598987</c:v>
                </c:pt>
                <c:pt idx="194">
                  <c:v>-811.07648392410192</c:v>
                </c:pt>
                <c:pt idx="195">
                  <c:v>-1853.8387305959841</c:v>
                </c:pt>
                <c:pt idx="196">
                  <c:v>-1986.202520307721</c:v>
                </c:pt>
                <c:pt idx="197">
                  <c:v>-1799.2498910031863</c:v>
                </c:pt>
                <c:pt idx="198">
                  <c:v>-1959.6919134700438</c:v>
                </c:pt>
                <c:pt idx="199">
                  <c:v>-1548.4234656636836</c:v>
                </c:pt>
                <c:pt idx="200">
                  <c:v>-2600.0257306055137</c:v>
                </c:pt>
                <c:pt idx="201">
                  <c:v>-1716.6834715339792</c:v>
                </c:pt>
                <c:pt idx="202">
                  <c:v>-1211.0078617525578</c:v>
                </c:pt>
                <c:pt idx="203">
                  <c:v>-2073.7075170119206</c:v>
                </c:pt>
                <c:pt idx="204">
                  <c:v>-2003.5229461052295</c:v>
                </c:pt>
                <c:pt idx="205">
                  <c:v>-1984.999856338487</c:v>
                </c:pt>
                <c:pt idx="206">
                  <c:v>-1998.2844797387806</c:v>
                </c:pt>
                <c:pt idx="207">
                  <c:v>-1609.8044932031044</c:v>
                </c:pt>
                <c:pt idx="208">
                  <c:v>-1106.2609466314025</c:v>
                </c:pt>
                <c:pt idx="209">
                  <c:v>-1489.5581474957871</c:v>
                </c:pt>
                <c:pt idx="210">
                  <c:v>-1735.5960071880836</c:v>
                </c:pt>
                <c:pt idx="211">
                  <c:v>-1232.3699862655776</c:v>
                </c:pt>
                <c:pt idx="212">
                  <c:v>-2308.7577271666232</c:v>
                </c:pt>
                <c:pt idx="213">
                  <c:v>-1411.0631075003184</c:v>
                </c:pt>
                <c:pt idx="214">
                  <c:v>-1336.5633729554393</c:v>
                </c:pt>
                <c:pt idx="215">
                  <c:v>-1970.0995708617265</c:v>
                </c:pt>
                <c:pt idx="216">
                  <c:v>-1696.9729038215592</c:v>
                </c:pt>
                <c:pt idx="217">
                  <c:v>-2231.556753620971</c:v>
                </c:pt>
                <c:pt idx="218">
                  <c:v>-1281.5592968177807</c:v>
                </c:pt>
                <c:pt idx="219">
                  <c:v>-1181.4701837623143</c:v>
                </c:pt>
                <c:pt idx="220">
                  <c:v>-2054.6898556228261</c:v>
                </c:pt>
                <c:pt idx="221">
                  <c:v>-1906.1663958226418</c:v>
                </c:pt>
                <c:pt idx="222">
                  <c:v>-1751.0228079044173</c:v>
                </c:pt>
                <c:pt idx="223">
                  <c:v>-1972.6443709278537</c:v>
                </c:pt>
                <c:pt idx="224">
                  <c:v>-1895.0043723871931</c:v>
                </c:pt>
                <c:pt idx="225">
                  <c:v>-997.63280439437949</c:v>
                </c:pt>
                <c:pt idx="226">
                  <c:v>-1739.9617943060439</c:v>
                </c:pt>
                <c:pt idx="227">
                  <c:v>-2267.5429145440285</c:v>
                </c:pt>
                <c:pt idx="228">
                  <c:v>-1768.5265088368324</c:v>
                </c:pt>
                <c:pt idx="229">
                  <c:v>-1750.4684517737478</c:v>
                </c:pt>
                <c:pt idx="230">
                  <c:v>-1552.7022178687475</c:v>
                </c:pt>
                <c:pt idx="231">
                  <c:v>-1434.0183042215285</c:v>
                </c:pt>
                <c:pt idx="232">
                  <c:v>-1563.0064798298117</c:v>
                </c:pt>
                <c:pt idx="233">
                  <c:v>-1860.3473456176871</c:v>
                </c:pt>
                <c:pt idx="234">
                  <c:v>-2873.8788049795403</c:v>
                </c:pt>
                <c:pt idx="235">
                  <c:v>-1412.822430350694</c:v>
                </c:pt>
                <c:pt idx="236">
                  <c:v>-1592.2471824053646</c:v>
                </c:pt>
                <c:pt idx="237">
                  <c:v>-2235.8536000847816</c:v>
                </c:pt>
                <c:pt idx="238">
                  <c:v>-2186.6556693035236</c:v>
                </c:pt>
                <c:pt idx="239">
                  <c:v>-1742.9393994893471</c:v>
                </c:pt>
                <c:pt idx="240">
                  <c:v>-1924.9877960689046</c:v>
                </c:pt>
                <c:pt idx="241">
                  <c:v>-1167.2817163201107</c:v>
                </c:pt>
                <c:pt idx="242">
                  <c:v>-2397.4676085368701</c:v>
                </c:pt>
                <c:pt idx="243">
                  <c:v>-1772.2713357023895</c:v>
                </c:pt>
                <c:pt idx="244">
                  <c:v>-2519.8394829778845</c:v>
                </c:pt>
                <c:pt idx="245">
                  <c:v>-1207.803618353224</c:v>
                </c:pt>
                <c:pt idx="246">
                  <c:v>-1906.615047969055</c:v>
                </c:pt>
                <c:pt idx="247">
                  <c:v>-2087.8798864502896</c:v>
                </c:pt>
                <c:pt idx="248">
                  <c:v>-782.82603091472993</c:v>
                </c:pt>
                <c:pt idx="249">
                  <c:v>-1618.5292152735929</c:v>
                </c:pt>
                <c:pt idx="250">
                  <c:v>-2170.2691287326306</c:v>
                </c:pt>
                <c:pt idx="251">
                  <c:v>-770.56643096802873</c:v>
                </c:pt>
                <c:pt idx="252">
                  <c:v>-1607.3799094973365</c:v>
                </c:pt>
                <c:pt idx="253">
                  <c:v>-1949.6015525630937</c:v>
                </c:pt>
                <c:pt idx="254">
                  <c:v>-1825.0295341237797</c:v>
                </c:pt>
                <c:pt idx="255">
                  <c:v>-1826.0080191907618</c:v>
                </c:pt>
                <c:pt idx="256">
                  <c:v>-2005.2371325190907</c:v>
                </c:pt>
                <c:pt idx="257">
                  <c:v>-1385.2020389964309</c:v>
                </c:pt>
                <c:pt idx="258">
                  <c:v>-1662.332991352916</c:v>
                </c:pt>
                <c:pt idx="259">
                  <c:v>-1802.5907107873354</c:v>
                </c:pt>
                <c:pt idx="260">
                  <c:v>-1666.1429682463058</c:v>
                </c:pt>
                <c:pt idx="261">
                  <c:v>-1692.7425225291445</c:v>
                </c:pt>
                <c:pt idx="262">
                  <c:v>-1427.7500409249915</c:v>
                </c:pt>
                <c:pt idx="263">
                  <c:v>-738.21324342089065</c:v>
                </c:pt>
                <c:pt idx="264">
                  <c:v>-1252.9632250069699</c:v>
                </c:pt>
                <c:pt idx="265">
                  <c:v>-1825.5663626823589</c:v>
                </c:pt>
                <c:pt idx="266">
                  <c:v>-1848.7076630893134</c:v>
                </c:pt>
                <c:pt idx="267">
                  <c:v>-1429.8693290975643</c:v>
                </c:pt>
                <c:pt idx="268">
                  <c:v>-1996.6752655410237</c:v>
                </c:pt>
                <c:pt idx="269">
                  <c:v>-1785.6582870736893</c:v>
                </c:pt>
                <c:pt idx="270">
                  <c:v>-1693.6831083525831</c:v>
                </c:pt>
                <c:pt idx="271">
                  <c:v>-1443.1329988831785</c:v>
                </c:pt>
                <c:pt idx="272">
                  <c:v>-1509.0051390672379</c:v>
                </c:pt>
                <c:pt idx="273">
                  <c:v>-2704.7837412957742</c:v>
                </c:pt>
                <c:pt idx="274">
                  <c:v>-1615.2979567253642</c:v>
                </c:pt>
                <c:pt idx="275">
                  <c:v>-905.24722157212818</c:v>
                </c:pt>
                <c:pt idx="276">
                  <c:v>-947.06805418769363</c:v>
                </c:pt>
                <c:pt idx="277">
                  <c:v>-2169.8095001863257</c:v>
                </c:pt>
                <c:pt idx="278">
                  <c:v>-1722.6216484823963</c:v>
                </c:pt>
                <c:pt idx="279">
                  <c:v>-773.27695720017073</c:v>
                </c:pt>
                <c:pt idx="280">
                  <c:v>-1808.3434426704771</c:v>
                </c:pt>
                <c:pt idx="281">
                  <c:v>-1493.8559632818651</c:v>
                </c:pt>
                <c:pt idx="282">
                  <c:v>-1122.5943720875512</c:v>
                </c:pt>
                <c:pt idx="283">
                  <c:v>-1748.9472085598682</c:v>
                </c:pt>
                <c:pt idx="284">
                  <c:v>-1775.5480780768121</c:v>
                </c:pt>
                <c:pt idx="285">
                  <c:v>-1529.9751939949783</c:v>
                </c:pt>
                <c:pt idx="286">
                  <c:v>-1512.3685836746736</c:v>
                </c:pt>
                <c:pt idx="287">
                  <c:v>-987.83647797950835</c:v>
                </c:pt>
                <c:pt idx="288">
                  <c:v>-2306.0199669816793</c:v>
                </c:pt>
                <c:pt idx="289">
                  <c:v>-2046.676593865981</c:v>
                </c:pt>
                <c:pt idx="290">
                  <c:v>-1900.4580002789298</c:v>
                </c:pt>
                <c:pt idx="291">
                  <c:v>-1593.04537078063</c:v>
                </c:pt>
                <c:pt idx="292">
                  <c:v>-1258.7277844078635</c:v>
                </c:pt>
                <c:pt idx="293">
                  <c:v>-2007.9505918350915</c:v>
                </c:pt>
                <c:pt idx="294">
                  <c:v>-772.84318589643226</c:v>
                </c:pt>
                <c:pt idx="295">
                  <c:v>-1284.1004990443325</c:v>
                </c:pt>
                <c:pt idx="296">
                  <c:v>-1421.1974160016689</c:v>
                </c:pt>
                <c:pt idx="297">
                  <c:v>-1089.2935299247765</c:v>
                </c:pt>
                <c:pt idx="298">
                  <c:v>-1726.0068370736408</c:v>
                </c:pt>
                <c:pt idx="299">
                  <c:v>-1605.6755647654354</c:v>
                </c:pt>
                <c:pt idx="300">
                  <c:v>-1350.8934603517991</c:v>
                </c:pt>
                <c:pt idx="301">
                  <c:v>-1478.4442928426142</c:v>
                </c:pt>
                <c:pt idx="302">
                  <c:v>-1291.9257873387833</c:v>
                </c:pt>
                <c:pt idx="303">
                  <c:v>-2018.2878243519808</c:v>
                </c:pt>
                <c:pt idx="304">
                  <c:v>-1328.7208379343065</c:v>
                </c:pt>
                <c:pt idx="305">
                  <c:v>-1172.3438723211293</c:v>
                </c:pt>
                <c:pt idx="306">
                  <c:v>-1203.7822144910169</c:v>
                </c:pt>
                <c:pt idx="307">
                  <c:v>-1769.9146887764655</c:v>
                </c:pt>
                <c:pt idx="308">
                  <c:v>-1559.2341356082616</c:v>
                </c:pt>
                <c:pt idx="309">
                  <c:v>-1901.0136438681511</c:v>
                </c:pt>
                <c:pt idx="310">
                  <c:v>-2190.2027913264465</c:v>
                </c:pt>
                <c:pt idx="311">
                  <c:v>-2363.1662991071644</c:v>
                </c:pt>
                <c:pt idx="312">
                  <c:v>-2040.3407942364429</c:v>
                </c:pt>
                <c:pt idx="313">
                  <c:v>-1259.2336659845023</c:v>
                </c:pt>
                <c:pt idx="314">
                  <c:v>-1916.8998331406838</c:v>
                </c:pt>
                <c:pt idx="315">
                  <c:v>-2120.3852484242962</c:v>
                </c:pt>
                <c:pt idx="316">
                  <c:v>-1455.5332499740907</c:v>
                </c:pt>
                <c:pt idx="317">
                  <c:v>-2038.4334721607738</c:v>
                </c:pt>
                <c:pt idx="318">
                  <c:v>-1263.797331189402</c:v>
                </c:pt>
                <c:pt idx="319">
                  <c:v>-1817.4671239980817</c:v>
                </c:pt>
                <c:pt idx="320">
                  <c:v>-2260.6163421545789</c:v>
                </c:pt>
                <c:pt idx="321">
                  <c:v>-1282.1464168279199</c:v>
                </c:pt>
                <c:pt idx="322">
                  <c:v>-2267.1776635981078</c:v>
                </c:pt>
                <c:pt idx="323">
                  <c:v>-1999.3874757581943</c:v>
                </c:pt>
                <c:pt idx="324">
                  <c:v>-1217.6015776839049</c:v>
                </c:pt>
                <c:pt idx="325">
                  <c:v>-1965.627204057193</c:v>
                </c:pt>
                <c:pt idx="326">
                  <c:v>-2155.5481259013177</c:v>
                </c:pt>
                <c:pt idx="327">
                  <c:v>-1084.5431140532892</c:v>
                </c:pt>
                <c:pt idx="328">
                  <c:v>-2346.5614423533989</c:v>
                </c:pt>
                <c:pt idx="329">
                  <c:v>-2313.3747694663616</c:v>
                </c:pt>
                <c:pt idx="330">
                  <c:v>-1517.5436979457809</c:v>
                </c:pt>
                <c:pt idx="331">
                  <c:v>-1989.7655533489742</c:v>
                </c:pt>
                <c:pt idx="332">
                  <c:v>-2364.9579184079194</c:v>
                </c:pt>
                <c:pt idx="333">
                  <c:v>-1830.1816512073856</c:v>
                </c:pt>
                <c:pt idx="334">
                  <c:v>-1475.3460814098435</c:v>
                </c:pt>
                <c:pt idx="335">
                  <c:v>-2249.4990797178907</c:v>
                </c:pt>
                <c:pt idx="336">
                  <c:v>-1790.6175970471377</c:v>
                </c:pt>
                <c:pt idx="337">
                  <c:v>-1833.1929321721691</c:v>
                </c:pt>
                <c:pt idx="338">
                  <c:v>-1447.6828221155811</c:v>
                </c:pt>
                <c:pt idx="339">
                  <c:v>-1123.7324009689037</c:v>
                </c:pt>
                <c:pt idx="340">
                  <c:v>-2254.6151376436173</c:v>
                </c:pt>
                <c:pt idx="341">
                  <c:v>-2176.2668213806901</c:v>
                </c:pt>
                <c:pt idx="342">
                  <c:v>-1834.0885814376961</c:v>
                </c:pt>
                <c:pt idx="343">
                  <c:v>-1302.0963514300747</c:v>
                </c:pt>
                <c:pt idx="344">
                  <c:v>-2432.8085748658923</c:v>
                </c:pt>
                <c:pt idx="345">
                  <c:v>-2313.6185381018295</c:v>
                </c:pt>
                <c:pt idx="346">
                  <c:v>-1442.6894884381036</c:v>
                </c:pt>
                <c:pt idx="347">
                  <c:v>-1653.2005658766357</c:v>
                </c:pt>
                <c:pt idx="348">
                  <c:v>-2077.9488259767968</c:v>
                </c:pt>
                <c:pt idx="349">
                  <c:v>-2329.4741111693293</c:v>
                </c:pt>
                <c:pt idx="350">
                  <c:v>-2447.0787472621741</c:v>
                </c:pt>
                <c:pt idx="351">
                  <c:v>-1323.3592684809992</c:v>
                </c:pt>
                <c:pt idx="352">
                  <c:v>-1478.5416663743381</c:v>
                </c:pt>
                <c:pt idx="353">
                  <c:v>-2435.2836816320341</c:v>
                </c:pt>
                <c:pt idx="354">
                  <c:v>-937.5033880227129</c:v>
                </c:pt>
                <c:pt idx="355">
                  <c:v>-1908.5739969925053</c:v>
                </c:pt>
                <c:pt idx="356">
                  <c:v>-1252.5186626127106</c:v>
                </c:pt>
                <c:pt idx="357">
                  <c:v>-1672.4104044306441</c:v>
                </c:pt>
                <c:pt idx="358">
                  <c:v>-2063.0526714678854</c:v>
                </c:pt>
                <c:pt idx="359">
                  <c:v>-890.08936808639555</c:v>
                </c:pt>
                <c:pt idx="360">
                  <c:v>-1650.6944839433709</c:v>
                </c:pt>
                <c:pt idx="361">
                  <c:v>-1893.3869080224831</c:v>
                </c:pt>
                <c:pt idx="362">
                  <c:v>-1925.3034503507661</c:v>
                </c:pt>
                <c:pt idx="363">
                  <c:v>-977.77753354511515</c:v>
                </c:pt>
                <c:pt idx="364">
                  <c:v>-1764.9678563344933</c:v>
                </c:pt>
                <c:pt idx="365">
                  <c:v>-1391.6492911400564</c:v>
                </c:pt>
                <c:pt idx="366">
                  <c:v>-2606.6438799624157</c:v>
                </c:pt>
                <c:pt idx="367">
                  <c:v>-1503.9180103599283</c:v>
                </c:pt>
                <c:pt idx="368">
                  <c:v>-2052.4624219806428</c:v>
                </c:pt>
                <c:pt idx="369">
                  <c:v>-1820.8501096410037</c:v>
                </c:pt>
                <c:pt idx="370">
                  <c:v>-1287.1453477007672</c:v>
                </c:pt>
                <c:pt idx="371">
                  <c:v>-1872.3172459795824</c:v>
                </c:pt>
                <c:pt idx="372">
                  <c:v>-1513.3074832876446</c:v>
                </c:pt>
                <c:pt idx="373">
                  <c:v>-2162.2857041607494</c:v>
                </c:pt>
                <c:pt idx="374">
                  <c:v>-1458.7536481528805</c:v>
                </c:pt>
                <c:pt idx="375">
                  <c:v>-2452.1968176910013</c:v>
                </c:pt>
                <c:pt idx="376">
                  <c:v>-1888.6211809669621</c:v>
                </c:pt>
                <c:pt idx="377">
                  <c:v>-1226.0666068478604</c:v>
                </c:pt>
                <c:pt idx="378">
                  <c:v>-1434.4367799969623</c:v>
                </c:pt>
                <c:pt idx="379">
                  <c:v>-1813.2002463599347</c:v>
                </c:pt>
                <c:pt idx="380">
                  <c:v>-2086.9195364063053</c:v>
                </c:pt>
                <c:pt idx="381">
                  <c:v>-1899.1218571477075</c:v>
                </c:pt>
                <c:pt idx="382">
                  <c:v>-1773.056657929119</c:v>
                </c:pt>
                <c:pt idx="383">
                  <c:v>-2265.4907062253042</c:v>
                </c:pt>
                <c:pt idx="384">
                  <c:v>-1545.4182252847531</c:v>
                </c:pt>
                <c:pt idx="385">
                  <c:v>-2038.68382892925</c:v>
                </c:pt>
                <c:pt idx="386">
                  <c:v>-2067.1329129071964</c:v>
                </c:pt>
                <c:pt idx="387">
                  <c:v>-2484.4232559983357</c:v>
                </c:pt>
                <c:pt idx="388">
                  <c:v>-1682.2439893706614</c:v>
                </c:pt>
                <c:pt idx="389">
                  <c:v>-1721.2464157119102</c:v>
                </c:pt>
                <c:pt idx="390">
                  <c:v>-2119.6224547943566</c:v>
                </c:pt>
                <c:pt idx="391">
                  <c:v>-1468.3248364145838</c:v>
                </c:pt>
                <c:pt idx="392">
                  <c:v>-1358.1788641195017</c:v>
                </c:pt>
                <c:pt idx="393">
                  <c:v>-1370.4195399789605</c:v>
                </c:pt>
                <c:pt idx="394">
                  <c:v>-1073.2359432958619</c:v>
                </c:pt>
                <c:pt idx="395">
                  <c:v>-343.34157773882907</c:v>
                </c:pt>
                <c:pt idx="396">
                  <c:v>-2011.853809905675</c:v>
                </c:pt>
                <c:pt idx="397">
                  <c:v>-1702.0916129935504</c:v>
                </c:pt>
                <c:pt idx="398">
                  <c:v>-2024.3926051807357</c:v>
                </c:pt>
                <c:pt idx="399">
                  <c:v>-1675.1425230370514</c:v>
                </c:pt>
                <c:pt idx="400">
                  <c:v>-1368.9508369181713</c:v>
                </c:pt>
                <c:pt idx="401">
                  <c:v>-1452.9461248673761</c:v>
                </c:pt>
                <c:pt idx="402">
                  <c:v>-996.27884391977568</c:v>
                </c:pt>
                <c:pt idx="403">
                  <c:v>-2824.10876681433</c:v>
                </c:pt>
                <c:pt idx="404">
                  <c:v>-2034.1588959537912</c:v>
                </c:pt>
                <c:pt idx="405">
                  <c:v>-1333.5353380232991</c:v>
                </c:pt>
                <c:pt idx="406">
                  <c:v>-1911.3380836340802</c:v>
                </c:pt>
                <c:pt idx="407">
                  <c:v>-1212.3357519761194</c:v>
                </c:pt>
                <c:pt idx="408">
                  <c:v>-1776.8209478074714</c:v>
                </c:pt>
                <c:pt idx="409">
                  <c:v>-1514.9880831850242</c:v>
                </c:pt>
                <c:pt idx="410">
                  <c:v>-1388.2277652341727</c:v>
                </c:pt>
                <c:pt idx="411">
                  <c:v>-1557.4886190382676</c:v>
                </c:pt>
                <c:pt idx="412">
                  <c:v>-1901.9259153169842</c:v>
                </c:pt>
                <c:pt idx="413">
                  <c:v>-2052.5148386695946</c:v>
                </c:pt>
                <c:pt idx="414">
                  <c:v>-1793.8434418575634</c:v>
                </c:pt>
                <c:pt idx="415">
                  <c:v>-995.95211540386663</c:v>
                </c:pt>
                <c:pt idx="416">
                  <c:v>-679.83975296167773</c:v>
                </c:pt>
                <c:pt idx="417">
                  <c:v>-1174.909939645353</c:v>
                </c:pt>
                <c:pt idx="418">
                  <c:v>-1081.671285941411</c:v>
                </c:pt>
                <c:pt idx="419">
                  <c:v>-2126.6153401507181</c:v>
                </c:pt>
                <c:pt idx="420">
                  <c:v>-1081.2058936223184</c:v>
                </c:pt>
                <c:pt idx="421">
                  <c:v>-1618.2941642243095</c:v>
                </c:pt>
                <c:pt idx="422">
                  <c:v>-1749.8486079417344</c:v>
                </c:pt>
                <c:pt idx="423">
                  <c:v>-2028.4546937298292</c:v>
                </c:pt>
                <c:pt idx="424">
                  <c:v>-1178.5119868606926</c:v>
                </c:pt>
                <c:pt idx="425">
                  <c:v>-1943.3545931208355</c:v>
                </c:pt>
                <c:pt idx="426">
                  <c:v>-1606.3728408584429</c:v>
                </c:pt>
                <c:pt idx="427">
                  <c:v>-1548.7236138519511</c:v>
                </c:pt>
                <c:pt idx="428">
                  <c:v>-1410.2445947395609</c:v>
                </c:pt>
                <c:pt idx="429">
                  <c:v>-1905.589538560147</c:v>
                </c:pt>
                <c:pt idx="430">
                  <c:v>-2153.6477547809918</c:v>
                </c:pt>
                <c:pt idx="431">
                  <c:v>-1972.6860517520399</c:v>
                </c:pt>
                <c:pt idx="432">
                  <c:v>-932.07107644386997</c:v>
                </c:pt>
                <c:pt idx="433">
                  <c:v>-1023.9990574411058</c:v>
                </c:pt>
                <c:pt idx="434">
                  <c:v>-1678.8537056166388</c:v>
                </c:pt>
                <c:pt idx="435">
                  <c:v>-1928.6585354530689</c:v>
                </c:pt>
                <c:pt idx="436">
                  <c:v>-1154.4823166569113</c:v>
                </c:pt>
                <c:pt idx="437">
                  <c:v>-1644.2631673586729</c:v>
                </c:pt>
                <c:pt idx="438">
                  <c:v>-2072.4348982354495</c:v>
                </c:pt>
                <c:pt idx="439">
                  <c:v>-1965.4008977657795</c:v>
                </c:pt>
                <c:pt idx="440">
                  <c:v>-1669.4304379111709</c:v>
                </c:pt>
                <c:pt idx="441">
                  <c:v>-1588.462459549628</c:v>
                </c:pt>
                <c:pt idx="442">
                  <c:v>-1552.4568118726311</c:v>
                </c:pt>
                <c:pt idx="443">
                  <c:v>-934.89177639758418</c:v>
                </c:pt>
                <c:pt idx="444">
                  <c:v>-1905.8295260307641</c:v>
                </c:pt>
                <c:pt idx="445">
                  <c:v>-1716.8259686679958</c:v>
                </c:pt>
                <c:pt idx="446">
                  <c:v>-2975.8783569422667</c:v>
                </c:pt>
                <c:pt idx="447">
                  <c:v>-891.76223877235316</c:v>
                </c:pt>
                <c:pt idx="448">
                  <c:v>-1433.9718309923774</c:v>
                </c:pt>
                <c:pt idx="449">
                  <c:v>-1861.6665451986191</c:v>
                </c:pt>
                <c:pt idx="450">
                  <c:v>-2075.2906601505965</c:v>
                </c:pt>
                <c:pt idx="451">
                  <c:v>-680.6076852415863</c:v>
                </c:pt>
                <c:pt idx="452">
                  <c:v>-2278.0287151565281</c:v>
                </c:pt>
                <c:pt idx="453">
                  <c:v>-2045.6689118612558</c:v>
                </c:pt>
                <c:pt idx="454">
                  <c:v>-1639.7625128702784</c:v>
                </c:pt>
                <c:pt idx="455">
                  <c:v>-2579.5387409455434</c:v>
                </c:pt>
                <c:pt idx="456">
                  <c:v>-1449.060199593092</c:v>
                </c:pt>
                <c:pt idx="457">
                  <c:v>-1435.3202294581133</c:v>
                </c:pt>
                <c:pt idx="458">
                  <c:v>-1562.0453262722294</c:v>
                </c:pt>
                <c:pt idx="459">
                  <c:v>-1159.8558677572</c:v>
                </c:pt>
                <c:pt idx="460">
                  <c:v>-2624.4950329379353</c:v>
                </c:pt>
                <c:pt idx="461">
                  <c:v>-1716.5466643999098</c:v>
                </c:pt>
                <c:pt idx="462">
                  <c:v>-2259.7133926647366</c:v>
                </c:pt>
                <c:pt idx="463">
                  <c:v>-1874.3521783776523</c:v>
                </c:pt>
                <c:pt idx="464">
                  <c:v>-1127.8247143117478</c:v>
                </c:pt>
                <c:pt idx="465">
                  <c:v>-1449.385054399143</c:v>
                </c:pt>
                <c:pt idx="466">
                  <c:v>-1060.2688775423594</c:v>
                </c:pt>
                <c:pt idx="467">
                  <c:v>-2887.0429866730701</c:v>
                </c:pt>
                <c:pt idx="468">
                  <c:v>-869.92137462324172</c:v>
                </c:pt>
                <c:pt idx="469">
                  <c:v>-1298.2163605962269</c:v>
                </c:pt>
                <c:pt idx="470">
                  <c:v>-1083.8255113114865</c:v>
                </c:pt>
                <c:pt idx="471">
                  <c:v>-1860.2720749775181</c:v>
                </c:pt>
                <c:pt idx="472">
                  <c:v>-2465.9707418280159</c:v>
                </c:pt>
                <c:pt idx="473">
                  <c:v>-2260.5234715441038</c:v>
                </c:pt>
                <c:pt idx="474">
                  <c:v>-1212.0985420439101</c:v>
                </c:pt>
                <c:pt idx="475">
                  <c:v>-1857.1387281716161</c:v>
                </c:pt>
                <c:pt idx="476">
                  <c:v>-1943.3143918972492</c:v>
                </c:pt>
                <c:pt idx="477">
                  <c:v>-2690.6714945371641</c:v>
                </c:pt>
                <c:pt idx="478">
                  <c:v>-2406.2684995377931</c:v>
                </c:pt>
                <c:pt idx="479">
                  <c:v>-2006.6122423335764</c:v>
                </c:pt>
                <c:pt idx="480">
                  <c:v>-1341.5310677407106</c:v>
                </c:pt>
                <c:pt idx="481">
                  <c:v>-1849.4781747823727</c:v>
                </c:pt>
                <c:pt idx="482">
                  <c:v>-1055.81268243253</c:v>
                </c:pt>
                <c:pt idx="483">
                  <c:v>-568.60465771807503</c:v>
                </c:pt>
                <c:pt idx="484">
                  <c:v>-1467.033794507297</c:v>
                </c:pt>
                <c:pt idx="485">
                  <c:v>-2000.9143860698678</c:v>
                </c:pt>
                <c:pt idx="486">
                  <c:v>-1745.3324506175995</c:v>
                </c:pt>
                <c:pt idx="487">
                  <c:v>-994.53185846110864</c:v>
                </c:pt>
                <c:pt idx="488">
                  <c:v>-1811.3109320849326</c:v>
                </c:pt>
                <c:pt idx="489">
                  <c:v>-2163.1851446315268</c:v>
                </c:pt>
                <c:pt idx="490">
                  <c:v>-1399.0867611654103</c:v>
                </c:pt>
                <c:pt idx="491">
                  <c:v>-1918.308348445411</c:v>
                </c:pt>
                <c:pt idx="492">
                  <c:v>-1250.9422396935115</c:v>
                </c:pt>
                <c:pt idx="493">
                  <c:v>-1641.1249749815324</c:v>
                </c:pt>
                <c:pt idx="494">
                  <c:v>-985.01147050954751</c:v>
                </c:pt>
                <c:pt idx="495">
                  <c:v>-2596.599209349486</c:v>
                </c:pt>
                <c:pt idx="496">
                  <c:v>-1229.7378694589715</c:v>
                </c:pt>
                <c:pt idx="497">
                  <c:v>-996.92705144762294</c:v>
                </c:pt>
                <c:pt idx="498">
                  <c:v>-1494.3935435612075</c:v>
                </c:pt>
                <c:pt idx="499">
                  <c:v>-1514.842091401646</c:v>
                </c:pt>
                <c:pt idx="500">
                  <c:v>-1391.0907866332273</c:v>
                </c:pt>
                <c:pt idx="501">
                  <c:v>-1611.8406226049556</c:v>
                </c:pt>
                <c:pt idx="502">
                  <c:v>-1229.8327161669658</c:v>
                </c:pt>
                <c:pt idx="503">
                  <c:v>-1697.5328162039659</c:v>
                </c:pt>
                <c:pt idx="504">
                  <c:v>-1319.0094243932108</c:v>
                </c:pt>
                <c:pt idx="505">
                  <c:v>-1576.1681640281749</c:v>
                </c:pt>
                <c:pt idx="506">
                  <c:v>-978.31072276306804</c:v>
                </c:pt>
                <c:pt idx="507">
                  <c:v>-2138.6025306687807</c:v>
                </c:pt>
                <c:pt idx="508">
                  <c:v>-1568.4184578782151</c:v>
                </c:pt>
                <c:pt idx="509">
                  <c:v>-1746.3641674432438</c:v>
                </c:pt>
                <c:pt idx="510">
                  <c:v>-2235.3738841745653</c:v>
                </c:pt>
                <c:pt idx="511">
                  <c:v>-1951.3064168781857</c:v>
                </c:pt>
                <c:pt idx="512">
                  <c:v>-1866.565018711568</c:v>
                </c:pt>
                <c:pt idx="513">
                  <c:v>-1185.2255175929458</c:v>
                </c:pt>
                <c:pt idx="514">
                  <c:v>-576.54993386790738</c:v>
                </c:pt>
                <c:pt idx="515">
                  <c:v>-2027.0902529059385</c:v>
                </c:pt>
                <c:pt idx="516">
                  <c:v>-2404.3916853977717</c:v>
                </c:pt>
                <c:pt idx="517">
                  <c:v>-978.91931834093702</c:v>
                </c:pt>
                <c:pt idx="518">
                  <c:v>-1634.1263828289666</c:v>
                </c:pt>
                <c:pt idx="519">
                  <c:v>-1312.0256244589109</c:v>
                </c:pt>
                <c:pt idx="520">
                  <c:v>-1546.5626315342524</c:v>
                </c:pt>
                <c:pt idx="521">
                  <c:v>-1309.6224340795889</c:v>
                </c:pt>
                <c:pt idx="522">
                  <c:v>-1759.7797076386923</c:v>
                </c:pt>
                <c:pt idx="523">
                  <c:v>-243.13486867015308</c:v>
                </c:pt>
                <c:pt idx="524">
                  <c:v>-2197.1279384164809</c:v>
                </c:pt>
                <c:pt idx="525">
                  <c:v>-1165.2480300942698</c:v>
                </c:pt>
                <c:pt idx="526">
                  <c:v>-2299.1053764983808</c:v>
                </c:pt>
                <c:pt idx="527">
                  <c:v>-1755.5402120831277</c:v>
                </c:pt>
                <c:pt idx="528">
                  <c:v>-452.23544603293703</c:v>
                </c:pt>
                <c:pt idx="529">
                  <c:v>-1034.3644300472442</c:v>
                </c:pt>
                <c:pt idx="530">
                  <c:v>-2128.8551076886652</c:v>
                </c:pt>
                <c:pt idx="531">
                  <c:v>-1474.1092844200102</c:v>
                </c:pt>
                <c:pt idx="532">
                  <c:v>-799.54950416051724</c:v>
                </c:pt>
                <c:pt idx="533">
                  <c:v>-1378.567267463397</c:v>
                </c:pt>
                <c:pt idx="534">
                  <c:v>-1892.2334797468429</c:v>
                </c:pt>
                <c:pt idx="535">
                  <c:v>-1048.4027147817396</c:v>
                </c:pt>
                <c:pt idx="536">
                  <c:v>-2216.3155504128954</c:v>
                </c:pt>
                <c:pt idx="537">
                  <c:v>-261.52885622846952</c:v>
                </c:pt>
                <c:pt idx="538">
                  <c:v>-1784.1383179733966</c:v>
                </c:pt>
                <c:pt idx="539">
                  <c:v>-963.53808077558642</c:v>
                </c:pt>
                <c:pt idx="540">
                  <c:v>-2411.6922472243023</c:v>
                </c:pt>
                <c:pt idx="541">
                  <c:v>-1618.4750274691905</c:v>
                </c:pt>
                <c:pt idx="542">
                  <c:v>-2014.2720759793738</c:v>
                </c:pt>
                <c:pt idx="543">
                  <c:v>-1996.4604851271142</c:v>
                </c:pt>
                <c:pt idx="544">
                  <c:v>-1389.972484197162</c:v>
                </c:pt>
                <c:pt idx="545">
                  <c:v>-1246.6203851530299</c:v>
                </c:pt>
                <c:pt idx="546">
                  <c:v>-1606.7372973635502</c:v>
                </c:pt>
                <c:pt idx="547">
                  <c:v>-1337.9835900176258</c:v>
                </c:pt>
                <c:pt idx="548">
                  <c:v>-1641.9458111929416</c:v>
                </c:pt>
                <c:pt idx="549">
                  <c:v>-1256.75576648688</c:v>
                </c:pt>
                <c:pt idx="550">
                  <c:v>-1400.9806092710787</c:v>
                </c:pt>
                <c:pt idx="551">
                  <c:v>-2043.4768171161995</c:v>
                </c:pt>
                <c:pt idx="552">
                  <c:v>-2008.0190643672104</c:v>
                </c:pt>
                <c:pt idx="553">
                  <c:v>-1595.3103781300597</c:v>
                </c:pt>
                <c:pt idx="554">
                  <c:v>-1788.2649572084338</c:v>
                </c:pt>
                <c:pt idx="555">
                  <c:v>-1613.027819985713</c:v>
                </c:pt>
                <c:pt idx="556">
                  <c:v>-1309.2506961448526</c:v>
                </c:pt>
                <c:pt idx="557">
                  <c:v>-1970.2004515180743</c:v>
                </c:pt>
                <c:pt idx="558">
                  <c:v>-1867.9515407885774</c:v>
                </c:pt>
                <c:pt idx="559">
                  <c:v>-1708.1852987293678</c:v>
                </c:pt>
                <c:pt idx="560">
                  <c:v>-787.78065372136189</c:v>
                </c:pt>
                <c:pt idx="561">
                  <c:v>-1647.9037005439168</c:v>
                </c:pt>
                <c:pt idx="562">
                  <c:v>-1380.5665635005134</c:v>
                </c:pt>
                <c:pt idx="563">
                  <c:v>-2225.2322733013862</c:v>
                </c:pt>
                <c:pt idx="564">
                  <c:v>-2821.9160972287791</c:v>
                </c:pt>
                <c:pt idx="565">
                  <c:v>-1491.0515042495972</c:v>
                </c:pt>
                <c:pt idx="566">
                  <c:v>-1042.3631850687088</c:v>
                </c:pt>
                <c:pt idx="567">
                  <c:v>-2039.4157631863636</c:v>
                </c:pt>
                <c:pt idx="568">
                  <c:v>-845.89228218344942</c:v>
                </c:pt>
                <c:pt idx="569">
                  <c:v>-691.47655976418901</c:v>
                </c:pt>
                <c:pt idx="570">
                  <c:v>-1466.8077358687297</c:v>
                </c:pt>
                <c:pt idx="571">
                  <c:v>-2587.60799395098</c:v>
                </c:pt>
                <c:pt idx="572">
                  <c:v>-1482.4813246169942</c:v>
                </c:pt>
                <c:pt idx="573">
                  <c:v>-1808.3682284575771</c:v>
                </c:pt>
                <c:pt idx="574">
                  <c:v>-1643.2026740777947</c:v>
                </c:pt>
                <c:pt idx="575">
                  <c:v>-1750.2627350603143</c:v>
                </c:pt>
                <c:pt idx="576">
                  <c:v>-1462.7757441404392</c:v>
                </c:pt>
                <c:pt idx="577">
                  <c:v>-2247.88060778816</c:v>
                </c:pt>
                <c:pt idx="578">
                  <c:v>-1000.7778727149707</c:v>
                </c:pt>
                <c:pt idx="579">
                  <c:v>-1465.6896561192843</c:v>
                </c:pt>
                <c:pt idx="580">
                  <c:v>-1184.5406579166302</c:v>
                </c:pt>
                <c:pt idx="581">
                  <c:v>-1219.3826146471329</c:v>
                </c:pt>
                <c:pt idx="582">
                  <c:v>-1796.0629126181739</c:v>
                </c:pt>
                <c:pt idx="583">
                  <c:v>-2482.8955676600017</c:v>
                </c:pt>
                <c:pt idx="584">
                  <c:v>-2004.3581305497501</c:v>
                </c:pt>
                <c:pt idx="585">
                  <c:v>-1891.0031836770504</c:v>
                </c:pt>
                <c:pt idx="586">
                  <c:v>-1759.2704400087969</c:v>
                </c:pt>
                <c:pt idx="587">
                  <c:v>-1294.9766141828295</c:v>
                </c:pt>
                <c:pt idx="588">
                  <c:v>-549.16271614505968</c:v>
                </c:pt>
                <c:pt idx="589">
                  <c:v>-1900.3374873467255</c:v>
                </c:pt>
                <c:pt idx="590">
                  <c:v>-2120.285663190065</c:v>
                </c:pt>
                <c:pt idx="591">
                  <c:v>-2208.5714603297238</c:v>
                </c:pt>
                <c:pt idx="592">
                  <c:v>-1601.1511060430057</c:v>
                </c:pt>
                <c:pt idx="593">
                  <c:v>-1236.0381115906712</c:v>
                </c:pt>
                <c:pt idx="594">
                  <c:v>-2160.8708355167691</c:v>
                </c:pt>
                <c:pt idx="595">
                  <c:v>-2562.6042937303573</c:v>
                </c:pt>
                <c:pt idx="596">
                  <c:v>-1902.0650343854359</c:v>
                </c:pt>
                <c:pt idx="597">
                  <c:v>-103.00906843526172</c:v>
                </c:pt>
                <c:pt idx="598">
                  <c:v>-2225.269261900612</c:v>
                </c:pt>
                <c:pt idx="599">
                  <c:v>-1796.7538255498512</c:v>
                </c:pt>
                <c:pt idx="600">
                  <c:v>-1377.245655374325</c:v>
                </c:pt>
                <c:pt idx="601">
                  <c:v>-1772.2034425223392</c:v>
                </c:pt>
                <c:pt idx="602">
                  <c:v>-643.239144834537</c:v>
                </c:pt>
                <c:pt idx="603">
                  <c:v>-1584.0887471938768</c:v>
                </c:pt>
                <c:pt idx="604">
                  <c:v>-1988.4825331344837</c:v>
                </c:pt>
                <c:pt idx="605">
                  <c:v>-1594.3988894232607</c:v>
                </c:pt>
                <c:pt idx="606">
                  <c:v>-1996.3568932598573</c:v>
                </c:pt>
                <c:pt idx="607">
                  <c:v>-1443.3237468139559</c:v>
                </c:pt>
                <c:pt idx="608">
                  <c:v>-1792.610268123477</c:v>
                </c:pt>
                <c:pt idx="609">
                  <c:v>-1416.2763951650559</c:v>
                </c:pt>
                <c:pt idx="610">
                  <c:v>-1913.1174047238601</c:v>
                </c:pt>
                <c:pt idx="611">
                  <c:v>-1410.5326796992595</c:v>
                </c:pt>
                <c:pt idx="612">
                  <c:v>-1609.2789146182186</c:v>
                </c:pt>
                <c:pt idx="613">
                  <c:v>-2215.7982035327441</c:v>
                </c:pt>
                <c:pt idx="614">
                  <c:v>-1519.9764075703424</c:v>
                </c:pt>
                <c:pt idx="615">
                  <c:v>-1256.5428611299722</c:v>
                </c:pt>
                <c:pt idx="616">
                  <c:v>-2022.4734098774497</c:v>
                </c:pt>
                <c:pt idx="617">
                  <c:v>-1669.0663531220489</c:v>
                </c:pt>
                <c:pt idx="618">
                  <c:v>-2298.1738361481839</c:v>
                </c:pt>
                <c:pt idx="619">
                  <c:v>-2239.1763113312336</c:v>
                </c:pt>
                <c:pt idx="620">
                  <c:v>-2533.7385669184587</c:v>
                </c:pt>
                <c:pt idx="621">
                  <c:v>-1003.474078540894</c:v>
                </c:pt>
                <c:pt idx="622">
                  <c:v>-621.12777345208451</c:v>
                </c:pt>
                <c:pt idx="623">
                  <c:v>-1606.0510405483801</c:v>
                </c:pt>
                <c:pt idx="624">
                  <c:v>-1829.2470479866752</c:v>
                </c:pt>
                <c:pt idx="625">
                  <c:v>-727.39110848856217</c:v>
                </c:pt>
                <c:pt idx="626">
                  <c:v>-861.84860481636861</c:v>
                </c:pt>
                <c:pt idx="627">
                  <c:v>-1435.0227079605975</c:v>
                </c:pt>
                <c:pt idx="628">
                  <c:v>-2332.1131670732138</c:v>
                </c:pt>
                <c:pt idx="629">
                  <c:v>-1633.1092182600405</c:v>
                </c:pt>
                <c:pt idx="630">
                  <c:v>-1449.1864670270588</c:v>
                </c:pt>
                <c:pt idx="631">
                  <c:v>-1688.2919853306666</c:v>
                </c:pt>
                <c:pt idx="632">
                  <c:v>-260.13351946599141</c:v>
                </c:pt>
                <c:pt idx="633">
                  <c:v>-1771.6806337839662</c:v>
                </c:pt>
                <c:pt idx="634">
                  <c:v>-2313.430779962815</c:v>
                </c:pt>
                <c:pt idx="635">
                  <c:v>-1607.0451683377032</c:v>
                </c:pt>
                <c:pt idx="636">
                  <c:v>-1511.6998045903165</c:v>
                </c:pt>
                <c:pt idx="637">
                  <c:v>-854.7045733845589</c:v>
                </c:pt>
                <c:pt idx="638">
                  <c:v>-1520.0479572488111</c:v>
                </c:pt>
                <c:pt idx="639">
                  <c:v>-1099.1613843609521</c:v>
                </c:pt>
                <c:pt idx="640">
                  <c:v>-1880.3181124893017</c:v>
                </c:pt>
                <c:pt idx="641">
                  <c:v>-149.06564532729681</c:v>
                </c:pt>
                <c:pt idx="642">
                  <c:v>-731.85605950346508</c:v>
                </c:pt>
                <c:pt idx="643">
                  <c:v>-3134.0809465806815</c:v>
                </c:pt>
                <c:pt idx="644">
                  <c:v>-1538.680975059091</c:v>
                </c:pt>
                <c:pt idx="645">
                  <c:v>-1549.9032956848532</c:v>
                </c:pt>
                <c:pt idx="646">
                  <c:v>-1210.8879975339805</c:v>
                </c:pt>
                <c:pt idx="647">
                  <c:v>-1962.9466760376235</c:v>
                </c:pt>
                <c:pt idx="648">
                  <c:v>-1792.5254311783501</c:v>
                </c:pt>
                <c:pt idx="649">
                  <c:v>-1393.7128245353815</c:v>
                </c:pt>
                <c:pt idx="650">
                  <c:v>-1083.6571147228242</c:v>
                </c:pt>
                <c:pt idx="651">
                  <c:v>-2685.2653984973149</c:v>
                </c:pt>
                <c:pt idx="652">
                  <c:v>-1836.0292133343028</c:v>
                </c:pt>
                <c:pt idx="653">
                  <c:v>-2007.1256102575571</c:v>
                </c:pt>
                <c:pt idx="654">
                  <c:v>-1570.1049194499938</c:v>
                </c:pt>
                <c:pt idx="655">
                  <c:v>-1797.1096888896282</c:v>
                </c:pt>
                <c:pt idx="656">
                  <c:v>-2070.6687939353287</c:v>
                </c:pt>
                <c:pt idx="657">
                  <c:v>-2257.9591858246858</c:v>
                </c:pt>
                <c:pt idx="658">
                  <c:v>-1055.4912481050123</c:v>
                </c:pt>
                <c:pt idx="659">
                  <c:v>-1978.1677311628155</c:v>
                </c:pt>
                <c:pt idx="660">
                  <c:v>-1842.5268499094382</c:v>
                </c:pt>
                <c:pt idx="661">
                  <c:v>-1202.594624786987</c:v>
                </c:pt>
                <c:pt idx="662">
                  <c:v>-2037.5613938002789</c:v>
                </c:pt>
                <c:pt idx="663">
                  <c:v>-1339.5318363345577</c:v>
                </c:pt>
                <c:pt idx="664">
                  <c:v>-2130.2386637230957</c:v>
                </c:pt>
                <c:pt idx="665">
                  <c:v>-2576.3525723789353</c:v>
                </c:pt>
                <c:pt idx="666">
                  <c:v>-1771.4329014620598</c:v>
                </c:pt>
                <c:pt idx="667">
                  <c:v>-1897.4860964785403</c:v>
                </c:pt>
                <c:pt idx="668">
                  <c:v>-1904.8225375488983</c:v>
                </c:pt>
                <c:pt idx="669">
                  <c:v>-1865.2111540419719</c:v>
                </c:pt>
                <c:pt idx="670">
                  <c:v>-2253.6166700058093</c:v>
                </c:pt>
                <c:pt idx="671">
                  <c:v>-2403.8967853193899</c:v>
                </c:pt>
                <c:pt idx="672">
                  <c:v>-1472.8958698650385</c:v>
                </c:pt>
                <c:pt idx="673">
                  <c:v>-1743.893281331897</c:v>
                </c:pt>
                <c:pt idx="674">
                  <c:v>-1826.2494454450061</c:v>
                </c:pt>
                <c:pt idx="675">
                  <c:v>-2092.7110869586177</c:v>
                </c:pt>
                <c:pt idx="676">
                  <c:v>-1940.2755326682527</c:v>
                </c:pt>
                <c:pt idx="677">
                  <c:v>87.119794766607811</c:v>
                </c:pt>
                <c:pt idx="678">
                  <c:v>-1210.9874763991247</c:v>
                </c:pt>
                <c:pt idx="679">
                  <c:v>-1900.0605365567753</c:v>
                </c:pt>
                <c:pt idx="680">
                  <c:v>-2495.3224340559973</c:v>
                </c:pt>
                <c:pt idx="681">
                  <c:v>-1728.8926712726534</c:v>
                </c:pt>
                <c:pt idx="682">
                  <c:v>-2507.2077237234334</c:v>
                </c:pt>
                <c:pt idx="683">
                  <c:v>-794.42638647856074</c:v>
                </c:pt>
                <c:pt idx="684">
                  <c:v>-2303.4552616473084</c:v>
                </c:pt>
                <c:pt idx="685">
                  <c:v>-1647.474221942437</c:v>
                </c:pt>
                <c:pt idx="686">
                  <c:v>-2512.8847015852662</c:v>
                </c:pt>
                <c:pt idx="687">
                  <c:v>-1384.251449992822</c:v>
                </c:pt>
                <c:pt idx="688">
                  <c:v>-1916.29353755185</c:v>
                </c:pt>
                <c:pt idx="689">
                  <c:v>-1218.34782573345</c:v>
                </c:pt>
                <c:pt idx="690">
                  <c:v>-1841.4223137804802</c:v>
                </c:pt>
                <c:pt idx="691">
                  <c:v>-2262.2260658237501</c:v>
                </c:pt>
                <c:pt idx="692">
                  <c:v>-1180.7870337595377</c:v>
                </c:pt>
                <c:pt idx="693">
                  <c:v>-1329.1867719501315</c:v>
                </c:pt>
                <c:pt idx="694">
                  <c:v>-1243.0565192363283</c:v>
                </c:pt>
                <c:pt idx="695">
                  <c:v>-970.55678881753556</c:v>
                </c:pt>
                <c:pt idx="696">
                  <c:v>-1131.4893461124011</c:v>
                </c:pt>
                <c:pt idx="697">
                  <c:v>-1577.534164950368</c:v>
                </c:pt>
                <c:pt idx="698">
                  <c:v>-2179.5784451634099</c:v>
                </c:pt>
                <c:pt idx="699">
                  <c:v>-1667.3510612672253</c:v>
                </c:pt>
                <c:pt idx="700">
                  <c:v>-1669.8457282607415</c:v>
                </c:pt>
                <c:pt idx="701">
                  <c:v>-1850.3375654118427</c:v>
                </c:pt>
                <c:pt idx="702">
                  <c:v>-1971.0694652357779</c:v>
                </c:pt>
                <c:pt idx="703">
                  <c:v>-1055.7424617541401</c:v>
                </c:pt>
                <c:pt idx="704">
                  <c:v>-1946.282945424944</c:v>
                </c:pt>
                <c:pt idx="705">
                  <c:v>-1847.4918463325594</c:v>
                </c:pt>
                <c:pt idx="706">
                  <c:v>-1867.4041169351694</c:v>
                </c:pt>
                <c:pt idx="707">
                  <c:v>-2700.1759003924963</c:v>
                </c:pt>
                <c:pt idx="708">
                  <c:v>-1782.3841753251618</c:v>
                </c:pt>
                <c:pt idx="709">
                  <c:v>-1954.74499805081</c:v>
                </c:pt>
                <c:pt idx="710">
                  <c:v>-2377.9010635618615</c:v>
                </c:pt>
                <c:pt idx="711">
                  <c:v>-2049.0207053426129</c:v>
                </c:pt>
                <c:pt idx="712">
                  <c:v>-1685.4958762544848</c:v>
                </c:pt>
                <c:pt idx="713">
                  <c:v>-1939.3220307365409</c:v>
                </c:pt>
                <c:pt idx="714">
                  <c:v>-1586.5781569834508</c:v>
                </c:pt>
                <c:pt idx="715">
                  <c:v>-1743.1633348922333</c:v>
                </c:pt>
                <c:pt idx="716">
                  <c:v>-1050.9818352000148</c:v>
                </c:pt>
                <c:pt idx="717">
                  <c:v>-1075.9935274086602</c:v>
                </c:pt>
                <c:pt idx="718">
                  <c:v>-1437.5411587066919</c:v>
                </c:pt>
                <c:pt idx="719">
                  <c:v>-1387.5557041127468</c:v>
                </c:pt>
                <c:pt idx="720">
                  <c:v>-1629.5022325224127</c:v>
                </c:pt>
                <c:pt idx="721">
                  <c:v>-1533.9970799583389</c:v>
                </c:pt>
                <c:pt idx="722">
                  <c:v>-2118.3118605756463</c:v>
                </c:pt>
                <c:pt idx="723">
                  <c:v>-2187.0344713516388</c:v>
                </c:pt>
                <c:pt idx="724">
                  <c:v>-2299.9931707315409</c:v>
                </c:pt>
                <c:pt idx="725">
                  <c:v>-2367.1974896212487</c:v>
                </c:pt>
                <c:pt idx="726">
                  <c:v>-1731.3375456367648</c:v>
                </c:pt>
                <c:pt idx="727">
                  <c:v>-1590.0020716811341</c:v>
                </c:pt>
                <c:pt idx="728">
                  <c:v>-1187.5181189236901</c:v>
                </c:pt>
                <c:pt idx="729">
                  <c:v>-1301.7057283712202</c:v>
                </c:pt>
                <c:pt idx="730">
                  <c:v>-1087.123124400503</c:v>
                </c:pt>
                <c:pt idx="731">
                  <c:v>-1933.5825374370179</c:v>
                </c:pt>
                <c:pt idx="732">
                  <c:v>-1356.2729850853066</c:v>
                </c:pt>
                <c:pt idx="733">
                  <c:v>-1875.3600240742817</c:v>
                </c:pt>
                <c:pt idx="734">
                  <c:v>-2069.02187499305</c:v>
                </c:pt>
                <c:pt idx="735">
                  <c:v>-1523.2034892396914</c:v>
                </c:pt>
                <c:pt idx="736">
                  <c:v>-1785.2653905226325</c:v>
                </c:pt>
                <c:pt idx="737">
                  <c:v>-1746.2269808764249</c:v>
                </c:pt>
                <c:pt idx="738">
                  <c:v>-1993.1785189139773</c:v>
                </c:pt>
                <c:pt idx="739">
                  <c:v>-2556.375145176964</c:v>
                </c:pt>
                <c:pt idx="740">
                  <c:v>-1876.6807120215963</c:v>
                </c:pt>
                <c:pt idx="741">
                  <c:v>-2369.5844635513204</c:v>
                </c:pt>
                <c:pt idx="742">
                  <c:v>-1784.4262493182468</c:v>
                </c:pt>
                <c:pt idx="743">
                  <c:v>-1489.447593351666</c:v>
                </c:pt>
                <c:pt idx="744">
                  <c:v>-991.90892127483676</c:v>
                </c:pt>
                <c:pt idx="745">
                  <c:v>-2320.049058093864</c:v>
                </c:pt>
                <c:pt idx="746">
                  <c:v>-1593.4060758967826</c:v>
                </c:pt>
                <c:pt idx="747">
                  <c:v>-1570.6187905622792</c:v>
                </c:pt>
                <c:pt idx="748">
                  <c:v>-2076.0627664933272</c:v>
                </c:pt>
                <c:pt idx="749">
                  <c:v>-1232.4165352427954</c:v>
                </c:pt>
                <c:pt idx="750">
                  <c:v>-1753.1835741043906</c:v>
                </c:pt>
                <c:pt idx="751">
                  <c:v>-627.0052291941829</c:v>
                </c:pt>
                <c:pt idx="752">
                  <c:v>-531.25216296792496</c:v>
                </c:pt>
                <c:pt idx="753">
                  <c:v>-1563.451708296343</c:v>
                </c:pt>
                <c:pt idx="754">
                  <c:v>-2015.1687364891113</c:v>
                </c:pt>
                <c:pt idx="755">
                  <c:v>-1137.7973373912973</c:v>
                </c:pt>
                <c:pt idx="756">
                  <c:v>-1834.7488593243615</c:v>
                </c:pt>
                <c:pt idx="757">
                  <c:v>-1944.9489266595047</c:v>
                </c:pt>
                <c:pt idx="758">
                  <c:v>-1340.731447424143</c:v>
                </c:pt>
                <c:pt idx="759">
                  <c:v>-1610.8036212780571</c:v>
                </c:pt>
                <c:pt idx="760">
                  <c:v>-1695.1357378128305</c:v>
                </c:pt>
                <c:pt idx="761">
                  <c:v>-1970.1581582009967</c:v>
                </c:pt>
                <c:pt idx="762">
                  <c:v>-2604.6218617953418</c:v>
                </c:pt>
                <c:pt idx="763">
                  <c:v>-2501.9352215676336</c:v>
                </c:pt>
                <c:pt idx="764">
                  <c:v>-1864.5378224115993</c:v>
                </c:pt>
                <c:pt idx="765">
                  <c:v>-1435.0519954501506</c:v>
                </c:pt>
                <c:pt idx="766">
                  <c:v>-1346.6170058240386</c:v>
                </c:pt>
                <c:pt idx="767">
                  <c:v>-1825.85392925427</c:v>
                </c:pt>
                <c:pt idx="768">
                  <c:v>-1077.4972415270095</c:v>
                </c:pt>
                <c:pt idx="769">
                  <c:v>-2390.6201271439058</c:v>
                </c:pt>
                <c:pt idx="770">
                  <c:v>-1306.5335071708978</c:v>
                </c:pt>
                <c:pt idx="771">
                  <c:v>-967.16470445091545</c:v>
                </c:pt>
                <c:pt idx="772">
                  <c:v>-2168.7594595669361</c:v>
                </c:pt>
                <c:pt idx="773">
                  <c:v>-957.25358050176874</c:v>
                </c:pt>
                <c:pt idx="774">
                  <c:v>-1511.9855120291322</c:v>
                </c:pt>
                <c:pt idx="775">
                  <c:v>-1082.2479387980711</c:v>
                </c:pt>
                <c:pt idx="776">
                  <c:v>-701.07395427412121</c:v>
                </c:pt>
                <c:pt idx="777">
                  <c:v>-1869.1878906209895</c:v>
                </c:pt>
                <c:pt idx="778">
                  <c:v>-1914.8065705595072</c:v>
                </c:pt>
                <c:pt idx="779">
                  <c:v>-1723.0825670571357</c:v>
                </c:pt>
                <c:pt idx="780">
                  <c:v>-1544.4660483245389</c:v>
                </c:pt>
                <c:pt idx="781">
                  <c:v>-1875.1693966016755</c:v>
                </c:pt>
                <c:pt idx="782">
                  <c:v>-1406.2402928760712</c:v>
                </c:pt>
                <c:pt idx="783">
                  <c:v>-1218.7363927090919</c:v>
                </c:pt>
                <c:pt idx="784">
                  <c:v>-2060.4650323692767</c:v>
                </c:pt>
                <c:pt idx="785">
                  <c:v>-1395.8557692611357</c:v>
                </c:pt>
                <c:pt idx="786">
                  <c:v>-1976.1036349100614</c:v>
                </c:pt>
                <c:pt idx="787">
                  <c:v>-1722.8906316914799</c:v>
                </c:pt>
                <c:pt idx="788">
                  <c:v>-2273.0049020585866</c:v>
                </c:pt>
                <c:pt idx="789">
                  <c:v>-2372.7597183871694</c:v>
                </c:pt>
                <c:pt idx="790">
                  <c:v>-1565.8035585369435</c:v>
                </c:pt>
                <c:pt idx="791">
                  <c:v>-1045.6010667509836</c:v>
                </c:pt>
                <c:pt idx="792">
                  <c:v>-2697.7640187111247</c:v>
                </c:pt>
                <c:pt idx="793">
                  <c:v>-1935.642916023382</c:v>
                </c:pt>
                <c:pt idx="794">
                  <c:v>-1284.6752744851256</c:v>
                </c:pt>
                <c:pt idx="795">
                  <c:v>-2352.5889261600096</c:v>
                </c:pt>
                <c:pt idx="796">
                  <c:v>-1491.6267591079231</c:v>
                </c:pt>
                <c:pt idx="797">
                  <c:v>-1268.7388417584589</c:v>
                </c:pt>
                <c:pt idx="798">
                  <c:v>-1658.1282405514503</c:v>
                </c:pt>
                <c:pt idx="799">
                  <c:v>-2081.4449432330002</c:v>
                </c:pt>
                <c:pt idx="800">
                  <c:v>-2113.0187585284293</c:v>
                </c:pt>
                <c:pt idx="801">
                  <c:v>-1524.3060026084859</c:v>
                </c:pt>
                <c:pt idx="802">
                  <c:v>-1439.9174029079877</c:v>
                </c:pt>
                <c:pt idx="803">
                  <c:v>-1169.9012326270313</c:v>
                </c:pt>
                <c:pt idx="804">
                  <c:v>-1639.5348340403361</c:v>
                </c:pt>
                <c:pt idx="805">
                  <c:v>-1212.5441462694725</c:v>
                </c:pt>
                <c:pt idx="806">
                  <c:v>-2143.4779605419753</c:v>
                </c:pt>
                <c:pt idx="807">
                  <c:v>-881.06906202908431</c:v>
                </c:pt>
                <c:pt idx="808">
                  <c:v>-1374.3926236789703</c:v>
                </c:pt>
                <c:pt idx="809">
                  <c:v>-1081.4059494951362</c:v>
                </c:pt>
                <c:pt idx="810">
                  <c:v>-679.02631192102854</c:v>
                </c:pt>
                <c:pt idx="811">
                  <c:v>-1161.0558488481329</c:v>
                </c:pt>
                <c:pt idx="812">
                  <c:v>-1467.0868196889787</c:v>
                </c:pt>
                <c:pt idx="813">
                  <c:v>-1910.0251418542757</c:v>
                </c:pt>
                <c:pt idx="814">
                  <c:v>-1868.236338298695</c:v>
                </c:pt>
                <c:pt idx="815">
                  <c:v>-1020.7651351544337</c:v>
                </c:pt>
                <c:pt idx="816">
                  <c:v>-1259.398559258625</c:v>
                </c:pt>
                <c:pt idx="817">
                  <c:v>-1008.5297561118787</c:v>
                </c:pt>
                <c:pt idx="818">
                  <c:v>-785.35294967910158</c:v>
                </c:pt>
                <c:pt idx="819">
                  <c:v>-1676.5868696308899</c:v>
                </c:pt>
                <c:pt idx="820">
                  <c:v>-1604.6037636999827</c:v>
                </c:pt>
                <c:pt idx="821">
                  <c:v>-1095.1124843573052</c:v>
                </c:pt>
                <c:pt idx="822">
                  <c:v>-1924.7411067321955</c:v>
                </c:pt>
                <c:pt idx="823">
                  <c:v>-913.33103133070108</c:v>
                </c:pt>
                <c:pt idx="824">
                  <c:v>-2002.4439569820679</c:v>
                </c:pt>
                <c:pt idx="825">
                  <c:v>-1730.2883762876809</c:v>
                </c:pt>
                <c:pt idx="826">
                  <c:v>-1915.853531238492</c:v>
                </c:pt>
                <c:pt idx="827">
                  <c:v>-2452.0597355219215</c:v>
                </c:pt>
                <c:pt idx="828">
                  <c:v>-2324.3769880986947</c:v>
                </c:pt>
                <c:pt idx="829">
                  <c:v>-2129.0201546130265</c:v>
                </c:pt>
                <c:pt idx="830">
                  <c:v>-1672.4109965619427</c:v>
                </c:pt>
                <c:pt idx="831">
                  <c:v>-182.96768312480708</c:v>
                </c:pt>
                <c:pt idx="832">
                  <c:v>-2552.9351351395453</c:v>
                </c:pt>
                <c:pt idx="833">
                  <c:v>-1748.0529321113136</c:v>
                </c:pt>
                <c:pt idx="834">
                  <c:v>-1529.3315612412989</c:v>
                </c:pt>
                <c:pt idx="835">
                  <c:v>-1397.6958089961263</c:v>
                </c:pt>
                <c:pt idx="836">
                  <c:v>-1325.8475307161862</c:v>
                </c:pt>
                <c:pt idx="837">
                  <c:v>-2614.7276168330136</c:v>
                </c:pt>
                <c:pt idx="838">
                  <c:v>-2214.2235703653423</c:v>
                </c:pt>
                <c:pt idx="839">
                  <c:v>-2211.4503799472295</c:v>
                </c:pt>
                <c:pt idx="840">
                  <c:v>-943.08925177299534</c:v>
                </c:pt>
                <c:pt idx="841">
                  <c:v>-2608.196137843639</c:v>
                </c:pt>
                <c:pt idx="842">
                  <c:v>-1700.5191924167157</c:v>
                </c:pt>
                <c:pt idx="843">
                  <c:v>-1672.6091744050063</c:v>
                </c:pt>
                <c:pt idx="844">
                  <c:v>-1904.2451814640372</c:v>
                </c:pt>
                <c:pt idx="845">
                  <c:v>-2333.2875926406996</c:v>
                </c:pt>
                <c:pt idx="846">
                  <c:v>-2247.3577126030868</c:v>
                </c:pt>
                <c:pt idx="847">
                  <c:v>-1576.8595081916428</c:v>
                </c:pt>
                <c:pt idx="848">
                  <c:v>-1257.7024161429581</c:v>
                </c:pt>
                <c:pt idx="849">
                  <c:v>-966.72536483284784</c:v>
                </c:pt>
                <c:pt idx="850">
                  <c:v>-1279.0945031359734</c:v>
                </c:pt>
                <c:pt idx="851">
                  <c:v>-1628.0411578063504</c:v>
                </c:pt>
                <c:pt idx="852">
                  <c:v>-1129.1377937327488</c:v>
                </c:pt>
                <c:pt idx="853">
                  <c:v>-1469.8478013798886</c:v>
                </c:pt>
                <c:pt idx="854">
                  <c:v>-2334.3554042014875</c:v>
                </c:pt>
                <c:pt idx="855">
                  <c:v>-2061.3288990007277</c:v>
                </c:pt>
                <c:pt idx="856">
                  <c:v>-2524.6650075106445</c:v>
                </c:pt>
                <c:pt idx="857">
                  <c:v>-1880.272923177894</c:v>
                </c:pt>
                <c:pt idx="858">
                  <c:v>-1785.2929627763224</c:v>
                </c:pt>
                <c:pt idx="859">
                  <c:v>-2032.3678534559731</c:v>
                </c:pt>
                <c:pt idx="860">
                  <c:v>-2629.2078378924925</c:v>
                </c:pt>
                <c:pt idx="861">
                  <c:v>-1733.3932583780552</c:v>
                </c:pt>
                <c:pt idx="862">
                  <c:v>-1594.1267114266084</c:v>
                </c:pt>
                <c:pt idx="863">
                  <c:v>-1111.3276430126862</c:v>
                </c:pt>
                <c:pt idx="864">
                  <c:v>-2381.6028664873302</c:v>
                </c:pt>
                <c:pt idx="865">
                  <c:v>-1192.6270807020483</c:v>
                </c:pt>
                <c:pt idx="866">
                  <c:v>-1726.7651572006362</c:v>
                </c:pt>
                <c:pt idx="867">
                  <c:v>-1366.701153328504</c:v>
                </c:pt>
                <c:pt idx="868">
                  <c:v>-1391.0963792905386</c:v>
                </c:pt>
                <c:pt idx="869">
                  <c:v>-2133.0470584174036</c:v>
                </c:pt>
                <c:pt idx="870">
                  <c:v>-1411.6865051703062</c:v>
                </c:pt>
                <c:pt idx="871">
                  <c:v>-1652.9263172599021</c:v>
                </c:pt>
                <c:pt idx="872">
                  <c:v>-2238.4303513907071</c:v>
                </c:pt>
                <c:pt idx="873">
                  <c:v>-2258.1302499537123</c:v>
                </c:pt>
                <c:pt idx="874">
                  <c:v>-2098.0219399882917</c:v>
                </c:pt>
                <c:pt idx="875">
                  <c:v>-1940.3246202042501</c:v>
                </c:pt>
                <c:pt idx="876">
                  <c:v>-1807.8078796295013</c:v>
                </c:pt>
                <c:pt idx="877">
                  <c:v>-1481.3587226447999</c:v>
                </c:pt>
                <c:pt idx="878">
                  <c:v>-1961.2827860734324</c:v>
                </c:pt>
                <c:pt idx="879">
                  <c:v>-1057.6981218418223</c:v>
                </c:pt>
                <c:pt idx="880">
                  <c:v>-2004.0962315984507</c:v>
                </c:pt>
                <c:pt idx="881">
                  <c:v>-2258.2876184924826</c:v>
                </c:pt>
                <c:pt idx="882">
                  <c:v>-1931.382842331368</c:v>
                </c:pt>
                <c:pt idx="883">
                  <c:v>-1945.9185782531131</c:v>
                </c:pt>
                <c:pt idx="884">
                  <c:v>-1903.1169463914412</c:v>
                </c:pt>
                <c:pt idx="885">
                  <c:v>-1779.8547450114711</c:v>
                </c:pt>
                <c:pt idx="886">
                  <c:v>-1557.5379297975451</c:v>
                </c:pt>
                <c:pt idx="887">
                  <c:v>-1556.6047317980556</c:v>
                </c:pt>
                <c:pt idx="888">
                  <c:v>-1708.3504328988784</c:v>
                </c:pt>
                <c:pt idx="889">
                  <c:v>-1863.9329342337005</c:v>
                </c:pt>
                <c:pt idx="890">
                  <c:v>-2265.6458082092431</c:v>
                </c:pt>
                <c:pt idx="891">
                  <c:v>-386.53125229728175</c:v>
                </c:pt>
                <c:pt idx="892">
                  <c:v>-1907.9929624117212</c:v>
                </c:pt>
                <c:pt idx="893">
                  <c:v>-1044.4785336020577</c:v>
                </c:pt>
                <c:pt idx="894">
                  <c:v>-1650.1768157766201</c:v>
                </c:pt>
                <c:pt idx="895">
                  <c:v>-2430.551894505028</c:v>
                </c:pt>
                <c:pt idx="896">
                  <c:v>-1973.7814296878205</c:v>
                </c:pt>
                <c:pt idx="897">
                  <c:v>-1524.7830460240948</c:v>
                </c:pt>
                <c:pt idx="898">
                  <c:v>-623.33109832229093</c:v>
                </c:pt>
                <c:pt idx="899">
                  <c:v>-2292.3783086536569</c:v>
                </c:pt>
                <c:pt idx="900">
                  <c:v>-1024.6165215088549</c:v>
                </c:pt>
                <c:pt idx="901">
                  <c:v>-2061.7357552510803</c:v>
                </c:pt>
                <c:pt idx="902">
                  <c:v>-2133.3602170550876</c:v>
                </c:pt>
                <c:pt idx="903">
                  <c:v>-1946.2594709052064</c:v>
                </c:pt>
                <c:pt idx="904">
                  <c:v>-2232.8311433366762</c:v>
                </c:pt>
                <c:pt idx="905">
                  <c:v>-2449.182258588844</c:v>
                </c:pt>
                <c:pt idx="906">
                  <c:v>-3096.5726115617726</c:v>
                </c:pt>
                <c:pt idx="907">
                  <c:v>-2007.0818497590371</c:v>
                </c:pt>
                <c:pt idx="908">
                  <c:v>-1293.4923812463821</c:v>
                </c:pt>
                <c:pt idx="909">
                  <c:v>-1335.3273052944423</c:v>
                </c:pt>
                <c:pt idx="910">
                  <c:v>-1214.297769985511</c:v>
                </c:pt>
                <c:pt idx="911">
                  <c:v>-1516.2489110828319</c:v>
                </c:pt>
                <c:pt idx="912">
                  <c:v>-1825.2271547203709</c:v>
                </c:pt>
                <c:pt idx="913">
                  <c:v>-1258.0958502675931</c:v>
                </c:pt>
                <c:pt idx="914">
                  <c:v>-1670.3478569900908</c:v>
                </c:pt>
                <c:pt idx="915">
                  <c:v>-1529.1528967501363</c:v>
                </c:pt>
                <c:pt idx="916">
                  <c:v>-1202.1341059085098</c:v>
                </c:pt>
                <c:pt idx="917">
                  <c:v>-878.08478585458943</c:v>
                </c:pt>
                <c:pt idx="918">
                  <c:v>-2463.5413267663098</c:v>
                </c:pt>
                <c:pt idx="919">
                  <c:v>-2426.9703790926578</c:v>
                </c:pt>
                <c:pt idx="920">
                  <c:v>-2051.1173762100661</c:v>
                </c:pt>
                <c:pt idx="921">
                  <c:v>-1851.2122624558251</c:v>
                </c:pt>
                <c:pt idx="922">
                  <c:v>-1646.8177157052705</c:v>
                </c:pt>
                <c:pt idx="923">
                  <c:v>-1806.8107582640077</c:v>
                </c:pt>
                <c:pt idx="924">
                  <c:v>-2553.1860824153118</c:v>
                </c:pt>
                <c:pt idx="925">
                  <c:v>-1068.1930067693465</c:v>
                </c:pt>
                <c:pt idx="926">
                  <c:v>-1714.5480284880905</c:v>
                </c:pt>
                <c:pt idx="927">
                  <c:v>-1296.7450757838524</c:v>
                </c:pt>
                <c:pt idx="928">
                  <c:v>-1646.9245086262235</c:v>
                </c:pt>
                <c:pt idx="929">
                  <c:v>-1813.8552194873628</c:v>
                </c:pt>
                <c:pt idx="930">
                  <c:v>-1798.9492532200529</c:v>
                </c:pt>
                <c:pt idx="931">
                  <c:v>-2073.2349483739235</c:v>
                </c:pt>
                <c:pt idx="932">
                  <c:v>-2364.8643972542486</c:v>
                </c:pt>
                <c:pt idx="933">
                  <c:v>-2294.0342818627978</c:v>
                </c:pt>
                <c:pt idx="934">
                  <c:v>-1891.7742092975823</c:v>
                </c:pt>
                <c:pt idx="935">
                  <c:v>-1475.6800981446722</c:v>
                </c:pt>
                <c:pt idx="936">
                  <c:v>-1075.3372608960344</c:v>
                </c:pt>
                <c:pt idx="937">
                  <c:v>-1285.896434121998</c:v>
                </c:pt>
                <c:pt idx="938">
                  <c:v>-1450.8530992531596</c:v>
                </c:pt>
                <c:pt idx="939">
                  <c:v>-2256.0882917252311</c:v>
                </c:pt>
                <c:pt idx="940">
                  <c:v>-1690.2665350702155</c:v>
                </c:pt>
                <c:pt idx="941">
                  <c:v>-2498.4049310766568</c:v>
                </c:pt>
                <c:pt idx="942">
                  <c:v>-2167.7273394291406</c:v>
                </c:pt>
                <c:pt idx="943">
                  <c:v>-795.19598045328166</c:v>
                </c:pt>
                <c:pt idx="944">
                  <c:v>24.9515246196097</c:v>
                </c:pt>
                <c:pt idx="945">
                  <c:v>-1351.8958168433455</c:v>
                </c:pt>
                <c:pt idx="946">
                  <c:v>-1261.5786226350465</c:v>
                </c:pt>
                <c:pt idx="947">
                  <c:v>-1964.8732921980845</c:v>
                </c:pt>
                <c:pt idx="948">
                  <c:v>-1472.7588910933337</c:v>
                </c:pt>
                <c:pt idx="949">
                  <c:v>-2057.3802746920846</c:v>
                </c:pt>
                <c:pt idx="950">
                  <c:v>-1682.0790833149367</c:v>
                </c:pt>
                <c:pt idx="951">
                  <c:v>-2200.6785908056918</c:v>
                </c:pt>
                <c:pt idx="952">
                  <c:v>-1098.3263717453083</c:v>
                </c:pt>
                <c:pt idx="953">
                  <c:v>-2046.6009726139164</c:v>
                </c:pt>
                <c:pt idx="954">
                  <c:v>-1906.1796270554332</c:v>
                </c:pt>
                <c:pt idx="955">
                  <c:v>-888.21038893575314</c:v>
                </c:pt>
                <c:pt idx="956">
                  <c:v>-2089.2255690670863</c:v>
                </c:pt>
                <c:pt idx="957">
                  <c:v>-553.9791259719932</c:v>
                </c:pt>
                <c:pt idx="958">
                  <c:v>-2298.3760257741669</c:v>
                </c:pt>
                <c:pt idx="959">
                  <c:v>-1593.858336876765</c:v>
                </c:pt>
                <c:pt idx="960">
                  <c:v>-1688.8884203249472</c:v>
                </c:pt>
                <c:pt idx="961">
                  <c:v>-2003.1747071011341</c:v>
                </c:pt>
                <c:pt idx="962">
                  <c:v>-1343.7940905522701</c:v>
                </c:pt>
                <c:pt idx="963">
                  <c:v>-1215.413333400691</c:v>
                </c:pt>
                <c:pt idx="964">
                  <c:v>-2136.2234777926788</c:v>
                </c:pt>
                <c:pt idx="965">
                  <c:v>-1809.9129682521307</c:v>
                </c:pt>
                <c:pt idx="966">
                  <c:v>-942.54641730494041</c:v>
                </c:pt>
                <c:pt idx="967">
                  <c:v>-2007.8372614955879</c:v>
                </c:pt>
                <c:pt idx="968">
                  <c:v>-2460.4111533031828</c:v>
                </c:pt>
                <c:pt idx="969">
                  <c:v>-1981.8518827539665</c:v>
                </c:pt>
                <c:pt idx="970">
                  <c:v>-2010.9556715529907</c:v>
                </c:pt>
                <c:pt idx="971">
                  <c:v>-666.27183409353893</c:v>
                </c:pt>
                <c:pt idx="972">
                  <c:v>-1814.3301243158348</c:v>
                </c:pt>
                <c:pt idx="973">
                  <c:v>-2550.9344361601543</c:v>
                </c:pt>
                <c:pt idx="974">
                  <c:v>-1788.0929193525953</c:v>
                </c:pt>
                <c:pt idx="975">
                  <c:v>-1956.4627036314341</c:v>
                </c:pt>
                <c:pt idx="976">
                  <c:v>-1728.3624106631905</c:v>
                </c:pt>
                <c:pt idx="977">
                  <c:v>-1221.9548993117787</c:v>
                </c:pt>
                <c:pt idx="978">
                  <c:v>-2140.7988838978345</c:v>
                </c:pt>
                <c:pt idx="979">
                  <c:v>-1091.5586470734852</c:v>
                </c:pt>
                <c:pt idx="980">
                  <c:v>-1864.1745642939204</c:v>
                </c:pt>
                <c:pt idx="981">
                  <c:v>-1479.12416808946</c:v>
                </c:pt>
                <c:pt idx="982">
                  <c:v>-1532.4892231548729</c:v>
                </c:pt>
                <c:pt idx="983">
                  <c:v>-1727.0254429283959</c:v>
                </c:pt>
                <c:pt idx="984">
                  <c:v>-1583.2220486502774</c:v>
                </c:pt>
                <c:pt idx="985">
                  <c:v>-1980.4078409216745</c:v>
                </c:pt>
                <c:pt idx="986">
                  <c:v>-2189.6944718377781</c:v>
                </c:pt>
                <c:pt idx="987">
                  <c:v>-1720.7581414535962</c:v>
                </c:pt>
                <c:pt idx="988">
                  <c:v>-1691.9648284716532</c:v>
                </c:pt>
                <c:pt idx="989">
                  <c:v>-1888.3263101801276</c:v>
                </c:pt>
                <c:pt idx="990">
                  <c:v>-1157.9309946725261</c:v>
                </c:pt>
                <c:pt idx="991">
                  <c:v>-2121.1021864968934</c:v>
                </c:pt>
                <c:pt idx="992">
                  <c:v>-1312.4225550229312</c:v>
                </c:pt>
                <c:pt idx="993">
                  <c:v>-2345.4286572176934</c:v>
                </c:pt>
                <c:pt idx="994">
                  <c:v>-2388.6662175296806</c:v>
                </c:pt>
                <c:pt idx="995">
                  <c:v>-1370.1834739141486</c:v>
                </c:pt>
                <c:pt idx="996">
                  <c:v>-1549.9998862238426</c:v>
                </c:pt>
                <c:pt idx="997">
                  <c:v>-1317.8112259376576</c:v>
                </c:pt>
                <c:pt idx="998">
                  <c:v>-1208.2267046151101</c:v>
                </c:pt>
                <c:pt idx="999">
                  <c:v>-1859.4744041572558</c:v>
                </c:pt>
              </c:numCache>
            </c:numRef>
          </c:yVal>
          <c:smooth val="0"/>
          <c:extLst>
            <c:ext xmlns:c16="http://schemas.microsoft.com/office/drawing/2014/chart" uri="{C3380CC4-5D6E-409C-BE32-E72D297353CC}">
              <c16:uniqueId val="{00000000-E165-4057-A058-E2203F10C8F4}"/>
            </c:ext>
          </c:extLst>
        </c:ser>
        <c:dLbls>
          <c:showLegendKey val="0"/>
          <c:showVal val="0"/>
          <c:showCatName val="0"/>
          <c:showSerName val="0"/>
          <c:showPercent val="0"/>
          <c:showBubbleSize val="0"/>
        </c:dLbls>
        <c:axId val="2034707807"/>
        <c:axId val="1858946399"/>
      </c:scatterChart>
      <c:valAx>
        <c:axId val="20347078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58946399"/>
        <c:crosses val="autoZero"/>
        <c:crossBetween val="midCat"/>
      </c:valAx>
      <c:valAx>
        <c:axId val="1858946399"/>
        <c:scaling>
          <c:orientation val="minMax"/>
          <c:max val="350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034707807"/>
        <c:crosses val="autoZero"/>
        <c:crossBetween val="midCat"/>
      </c:valAx>
      <c:spPr>
        <a:solidFill>
          <a:sysClr val="window" lastClr="FFFFFF"/>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Cumulative Cancer Incidence</a:t>
            </a:r>
          </a:p>
        </c:rich>
      </c:tx>
      <c:overlay val="0"/>
      <c:spPr>
        <a:noFill/>
        <a:ln>
          <a:noFill/>
        </a:ln>
        <a:effectLst/>
      </c:spPr>
    </c:title>
    <c:autoTitleDeleted val="0"/>
    <c:plotArea>
      <c:layout/>
      <c:scatterChart>
        <c:scatterStyle val="lineMarker"/>
        <c:varyColors val="0"/>
        <c:ser>
          <c:idx val="0"/>
          <c:order val="0"/>
          <c:tx>
            <c:strRef>
              <c:f>Breast_Ovarian!$DI$6:$DI$7</c:f>
              <c:strCache>
                <c:ptCount val="2"/>
                <c:pt idx="0">
                  <c:v>BC</c:v>
                </c:pt>
                <c:pt idx="1">
                  <c:v>BRCA1</c:v>
                </c:pt>
              </c:strCache>
            </c:strRef>
          </c:tx>
          <c:spPr>
            <a:ln w="19050" cap="rnd">
              <a:solidFill>
                <a:schemeClr val="accent1"/>
              </a:solidFill>
              <a:round/>
            </a:ln>
            <a:effectLst/>
          </c:spPr>
          <c:marker>
            <c:symbol val="none"/>
          </c:marker>
          <c:dLbls>
            <c:dLbl>
              <c:idx val="3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08F-4ABB-BFDE-9119276AAB4C}"/>
                </c:ext>
              </c:extLst>
            </c:dLbl>
            <c:dLbl>
              <c:idx val="4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08F-4ABB-BFDE-9119276AAB4C}"/>
                </c:ext>
              </c:extLst>
            </c:dLbl>
            <c:dLbl>
              <c:idx val="5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08F-4ABB-BFDE-9119276AAB4C}"/>
                </c:ext>
              </c:extLst>
            </c:dLbl>
            <c:dLbl>
              <c:idx val="6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08F-4ABB-BFDE-9119276AAB4C}"/>
                </c:ext>
              </c:extLst>
            </c:dLbl>
            <c:dLbl>
              <c:idx val="7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08F-4ABB-BFDE-9119276AAB4C}"/>
                </c:ext>
              </c:extLst>
            </c:dLbl>
            <c:dLbl>
              <c:idx val="8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08F-4ABB-BFDE-9119276AAB4C}"/>
                </c:ext>
              </c:extLst>
            </c:dLbl>
            <c:numFmt formatCode="0%" sourceLinked="0"/>
            <c:spPr>
              <a:solidFill>
                <a:sysClr val="window" lastClr="FFFFFF"/>
              </a:solidFill>
              <a:ln>
                <a:noFill/>
              </a:ln>
              <a:effectLst/>
            </c:spPr>
            <c:txPr>
              <a:bodyPr rot="0" spcFirstLastPara="1" vertOverflow="ellipsis" vert="horz" wrap="square" lIns="0" tIns="0" rIns="0" bIns="0"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Breast_Ovarian!$DI$8:$DI$108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4.0000000000000001E-3</c:v>
                </c:pt>
                <c:pt idx="22">
                  <c:v>8.0000000000000002E-3</c:v>
                </c:pt>
                <c:pt idx="23">
                  <c:v>1.2E-2</c:v>
                </c:pt>
                <c:pt idx="24">
                  <c:v>1.6E-2</c:v>
                </c:pt>
                <c:pt idx="25">
                  <c:v>0.02</c:v>
                </c:pt>
                <c:pt idx="26">
                  <c:v>2.4E-2</c:v>
                </c:pt>
                <c:pt idx="27">
                  <c:v>2.8000000000000001E-2</c:v>
                </c:pt>
                <c:pt idx="28">
                  <c:v>3.2000000000000001E-2</c:v>
                </c:pt>
                <c:pt idx="29">
                  <c:v>3.6000000000000004E-2</c:v>
                </c:pt>
                <c:pt idx="30">
                  <c:v>0.04</c:v>
                </c:pt>
                <c:pt idx="31">
                  <c:v>0.06</c:v>
                </c:pt>
                <c:pt idx="32">
                  <c:v>7.9999999999999988E-2</c:v>
                </c:pt>
                <c:pt idx="33">
                  <c:v>9.9999999999999978E-2</c:v>
                </c:pt>
                <c:pt idx="34">
                  <c:v>0.11999999999999997</c:v>
                </c:pt>
                <c:pt idx="35">
                  <c:v>0.13999999999999996</c:v>
                </c:pt>
                <c:pt idx="36">
                  <c:v>0.15999999999999995</c:v>
                </c:pt>
                <c:pt idx="37">
                  <c:v>0.17999999999999994</c:v>
                </c:pt>
                <c:pt idx="38">
                  <c:v>0.19999999999999993</c:v>
                </c:pt>
                <c:pt idx="39">
                  <c:v>0.21999999999999992</c:v>
                </c:pt>
                <c:pt idx="40">
                  <c:v>0.24</c:v>
                </c:pt>
                <c:pt idx="41">
                  <c:v>0.25900000000000001</c:v>
                </c:pt>
                <c:pt idx="42">
                  <c:v>0.27800000000000002</c:v>
                </c:pt>
                <c:pt idx="43">
                  <c:v>0.29700000000000004</c:v>
                </c:pt>
                <c:pt idx="44">
                  <c:v>0.31600000000000006</c:v>
                </c:pt>
                <c:pt idx="45">
                  <c:v>0.33500000000000008</c:v>
                </c:pt>
                <c:pt idx="46">
                  <c:v>0.35400000000000009</c:v>
                </c:pt>
                <c:pt idx="47">
                  <c:v>0.37300000000000011</c:v>
                </c:pt>
                <c:pt idx="48">
                  <c:v>0.39200000000000013</c:v>
                </c:pt>
                <c:pt idx="49">
                  <c:v>0.41100000000000014</c:v>
                </c:pt>
                <c:pt idx="50">
                  <c:v>0.43</c:v>
                </c:pt>
                <c:pt idx="51">
                  <c:v>0.443</c:v>
                </c:pt>
                <c:pt idx="52">
                  <c:v>0.45600000000000002</c:v>
                </c:pt>
                <c:pt idx="53">
                  <c:v>0.46900000000000003</c:v>
                </c:pt>
                <c:pt idx="54">
                  <c:v>0.48200000000000004</c:v>
                </c:pt>
                <c:pt idx="55">
                  <c:v>0.49500000000000005</c:v>
                </c:pt>
                <c:pt idx="56">
                  <c:v>0.50800000000000001</c:v>
                </c:pt>
                <c:pt idx="57">
                  <c:v>0.52100000000000002</c:v>
                </c:pt>
                <c:pt idx="58">
                  <c:v>0.53400000000000003</c:v>
                </c:pt>
                <c:pt idx="59">
                  <c:v>0.54700000000000004</c:v>
                </c:pt>
                <c:pt idx="60">
                  <c:v>0.56000000000000005</c:v>
                </c:pt>
                <c:pt idx="61">
                  <c:v>0.57000000000000006</c:v>
                </c:pt>
                <c:pt idx="62">
                  <c:v>0.58000000000000007</c:v>
                </c:pt>
                <c:pt idx="63">
                  <c:v>0.59000000000000008</c:v>
                </c:pt>
                <c:pt idx="64">
                  <c:v>0.60000000000000009</c:v>
                </c:pt>
                <c:pt idx="65">
                  <c:v>0.6100000000000001</c:v>
                </c:pt>
                <c:pt idx="66">
                  <c:v>0.62000000000000011</c:v>
                </c:pt>
                <c:pt idx="67">
                  <c:v>0.63000000000000012</c:v>
                </c:pt>
                <c:pt idx="68">
                  <c:v>0.64000000000000012</c:v>
                </c:pt>
                <c:pt idx="69">
                  <c:v>0.65000000000000013</c:v>
                </c:pt>
                <c:pt idx="70">
                  <c:v>0.66</c:v>
                </c:pt>
                <c:pt idx="71">
                  <c:v>0.66600000000000004</c:v>
                </c:pt>
                <c:pt idx="72">
                  <c:v>0.67200000000000004</c:v>
                </c:pt>
                <c:pt idx="73">
                  <c:v>0.67800000000000005</c:v>
                </c:pt>
                <c:pt idx="74">
                  <c:v>0.68400000000000005</c:v>
                </c:pt>
                <c:pt idx="75">
                  <c:v>0.69000000000000006</c:v>
                </c:pt>
                <c:pt idx="76">
                  <c:v>0.69600000000000006</c:v>
                </c:pt>
                <c:pt idx="77">
                  <c:v>0.70200000000000007</c:v>
                </c:pt>
                <c:pt idx="78">
                  <c:v>0.70800000000000007</c:v>
                </c:pt>
                <c:pt idx="79">
                  <c:v>0.71400000000000008</c:v>
                </c:pt>
                <c:pt idx="80">
                  <c:v>0.72</c:v>
                </c:pt>
                <c:pt idx="81">
                  <c:v>0.72</c:v>
                </c:pt>
                <c:pt idx="82">
                  <c:v>0.72</c:v>
                </c:pt>
                <c:pt idx="83">
                  <c:v>0.72</c:v>
                </c:pt>
                <c:pt idx="84">
                  <c:v>0.72</c:v>
                </c:pt>
                <c:pt idx="85">
                  <c:v>0.72</c:v>
                </c:pt>
                <c:pt idx="86">
                  <c:v>0.72</c:v>
                </c:pt>
                <c:pt idx="87">
                  <c:v>0.72</c:v>
                </c:pt>
                <c:pt idx="88">
                  <c:v>0.72</c:v>
                </c:pt>
                <c:pt idx="89">
                  <c:v>0.72</c:v>
                </c:pt>
                <c:pt idx="90">
                  <c:v>0.72</c:v>
                </c:pt>
                <c:pt idx="91">
                  <c:v>0.72</c:v>
                </c:pt>
                <c:pt idx="92">
                  <c:v>0.72</c:v>
                </c:pt>
                <c:pt idx="93">
                  <c:v>0.72</c:v>
                </c:pt>
                <c:pt idx="94">
                  <c:v>0.72</c:v>
                </c:pt>
                <c:pt idx="95">
                  <c:v>0.72</c:v>
                </c:pt>
                <c:pt idx="96">
                  <c:v>0.72</c:v>
                </c:pt>
                <c:pt idx="97">
                  <c:v>0.72</c:v>
                </c:pt>
                <c:pt idx="98">
                  <c:v>0.72</c:v>
                </c:pt>
                <c:pt idx="99">
                  <c:v>0.72</c:v>
                </c:pt>
                <c:pt idx="100">
                  <c:v>0.72</c:v>
                </c:pt>
              </c:numCache>
            </c:numRef>
          </c:yVal>
          <c:smooth val="0"/>
          <c:extLst>
            <c:ext xmlns:c16="http://schemas.microsoft.com/office/drawing/2014/chart" uri="{C3380CC4-5D6E-409C-BE32-E72D297353CC}">
              <c16:uniqueId val="{00000000-F08F-4ABB-BFDE-9119276AAB4C}"/>
            </c:ext>
          </c:extLst>
        </c:ser>
        <c:ser>
          <c:idx val="1"/>
          <c:order val="1"/>
          <c:tx>
            <c:strRef>
              <c:f>Breast_Ovarian!$DJ$6:$DJ$7</c:f>
              <c:strCache>
                <c:ptCount val="2"/>
                <c:pt idx="0">
                  <c:v>BC</c:v>
                </c:pt>
                <c:pt idx="1">
                  <c:v>BRCA2</c:v>
                </c:pt>
              </c:strCache>
            </c:strRef>
          </c:tx>
          <c:spPr>
            <a:ln w="19050" cap="rnd">
              <a:solidFill>
                <a:schemeClr val="accent6"/>
              </a:solidFill>
              <a:round/>
            </a:ln>
            <a:effectLst/>
          </c:spPr>
          <c:marker>
            <c:symbol val="none"/>
          </c:marker>
          <c:dLbls>
            <c:dLbl>
              <c:idx val="4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08F-4ABB-BFDE-9119276AAB4C}"/>
                </c:ext>
              </c:extLst>
            </c:dLbl>
            <c:dLbl>
              <c:idx val="5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08F-4ABB-BFDE-9119276AAB4C}"/>
                </c:ext>
              </c:extLst>
            </c:dLbl>
            <c:dLbl>
              <c:idx val="6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08F-4ABB-BFDE-9119276AAB4C}"/>
                </c:ext>
              </c:extLst>
            </c:dLbl>
            <c:dLbl>
              <c:idx val="7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08F-4ABB-BFDE-9119276AAB4C}"/>
                </c:ext>
              </c:extLst>
            </c:dLbl>
            <c:dLbl>
              <c:idx val="8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08F-4ABB-BFDE-9119276AAB4C}"/>
                </c:ext>
              </c:extLst>
            </c:dLbl>
            <c:numFmt formatCode="0%" sourceLinked="0"/>
            <c:spPr>
              <a:solidFill>
                <a:sysClr val="window" lastClr="FFFFFF"/>
              </a:solidFill>
              <a:ln>
                <a:noFill/>
              </a:ln>
              <a:effectLst/>
            </c:spPr>
            <c:txPr>
              <a:bodyPr rot="0" spcFirstLastPara="1" vertOverflow="ellipsis" vert="horz" wrap="square" lIns="0" tIns="0" rIns="0" bIns="0"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Breast_Ovarian!$DJ$8:$DJ$108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4.0000000000000001E-3</c:v>
                </c:pt>
                <c:pt idx="22">
                  <c:v>8.0000000000000002E-3</c:v>
                </c:pt>
                <c:pt idx="23">
                  <c:v>1.2E-2</c:v>
                </c:pt>
                <c:pt idx="24">
                  <c:v>1.6E-2</c:v>
                </c:pt>
                <c:pt idx="25">
                  <c:v>0.02</c:v>
                </c:pt>
                <c:pt idx="26">
                  <c:v>2.4E-2</c:v>
                </c:pt>
                <c:pt idx="27">
                  <c:v>2.8000000000000001E-2</c:v>
                </c:pt>
                <c:pt idx="28">
                  <c:v>3.2000000000000001E-2</c:v>
                </c:pt>
                <c:pt idx="29">
                  <c:v>3.6000000000000004E-2</c:v>
                </c:pt>
                <c:pt idx="30">
                  <c:v>0.04</c:v>
                </c:pt>
                <c:pt idx="31">
                  <c:v>4.9000000000000002E-2</c:v>
                </c:pt>
                <c:pt idx="32">
                  <c:v>5.8000000000000003E-2</c:v>
                </c:pt>
                <c:pt idx="33">
                  <c:v>6.7000000000000004E-2</c:v>
                </c:pt>
                <c:pt idx="34">
                  <c:v>7.5999999999999998E-2</c:v>
                </c:pt>
                <c:pt idx="35">
                  <c:v>8.4999999999999992E-2</c:v>
                </c:pt>
                <c:pt idx="36">
                  <c:v>9.3999999999999986E-2</c:v>
                </c:pt>
                <c:pt idx="37">
                  <c:v>0.10299999999999998</c:v>
                </c:pt>
                <c:pt idx="38">
                  <c:v>0.11199999999999997</c:v>
                </c:pt>
                <c:pt idx="39">
                  <c:v>0.12099999999999997</c:v>
                </c:pt>
                <c:pt idx="40">
                  <c:v>0.13</c:v>
                </c:pt>
                <c:pt idx="41">
                  <c:v>0.152</c:v>
                </c:pt>
                <c:pt idx="42">
                  <c:v>0.17399999999999999</c:v>
                </c:pt>
                <c:pt idx="43">
                  <c:v>0.19599999999999998</c:v>
                </c:pt>
                <c:pt idx="44">
                  <c:v>0.21799999999999997</c:v>
                </c:pt>
                <c:pt idx="45">
                  <c:v>0.23999999999999996</c:v>
                </c:pt>
                <c:pt idx="46">
                  <c:v>0.26199999999999996</c:v>
                </c:pt>
                <c:pt idx="47">
                  <c:v>0.28399999999999997</c:v>
                </c:pt>
                <c:pt idx="48">
                  <c:v>0.30599999999999999</c:v>
                </c:pt>
                <c:pt idx="49">
                  <c:v>0.32800000000000001</c:v>
                </c:pt>
                <c:pt idx="50">
                  <c:v>0.35</c:v>
                </c:pt>
                <c:pt idx="51">
                  <c:v>0.36799999999999999</c:v>
                </c:pt>
                <c:pt idx="52">
                  <c:v>0.38600000000000001</c:v>
                </c:pt>
                <c:pt idx="53">
                  <c:v>0.40400000000000003</c:v>
                </c:pt>
                <c:pt idx="54">
                  <c:v>0.42200000000000004</c:v>
                </c:pt>
                <c:pt idx="55">
                  <c:v>0.44000000000000006</c:v>
                </c:pt>
                <c:pt idx="56">
                  <c:v>0.45800000000000007</c:v>
                </c:pt>
                <c:pt idx="57">
                  <c:v>0.47600000000000009</c:v>
                </c:pt>
                <c:pt idx="58">
                  <c:v>0.49400000000000011</c:v>
                </c:pt>
                <c:pt idx="59">
                  <c:v>0.51200000000000012</c:v>
                </c:pt>
                <c:pt idx="60">
                  <c:v>0.53</c:v>
                </c:pt>
                <c:pt idx="61">
                  <c:v>0.53800000000000003</c:v>
                </c:pt>
                <c:pt idx="62">
                  <c:v>0.54600000000000004</c:v>
                </c:pt>
                <c:pt idx="63">
                  <c:v>0.55400000000000005</c:v>
                </c:pt>
                <c:pt idx="64">
                  <c:v>0.56200000000000006</c:v>
                </c:pt>
                <c:pt idx="65">
                  <c:v>0.57000000000000006</c:v>
                </c:pt>
                <c:pt idx="66">
                  <c:v>0.57800000000000007</c:v>
                </c:pt>
                <c:pt idx="67">
                  <c:v>0.58600000000000008</c:v>
                </c:pt>
                <c:pt idx="68">
                  <c:v>0.59400000000000008</c:v>
                </c:pt>
                <c:pt idx="69">
                  <c:v>0.60200000000000009</c:v>
                </c:pt>
                <c:pt idx="70">
                  <c:v>0.61</c:v>
                </c:pt>
                <c:pt idx="71">
                  <c:v>0.61799999999999999</c:v>
                </c:pt>
                <c:pt idx="72">
                  <c:v>0.626</c:v>
                </c:pt>
                <c:pt idx="73">
                  <c:v>0.63400000000000001</c:v>
                </c:pt>
                <c:pt idx="74">
                  <c:v>0.64200000000000002</c:v>
                </c:pt>
                <c:pt idx="75">
                  <c:v>0.65</c:v>
                </c:pt>
                <c:pt idx="76">
                  <c:v>0.65800000000000003</c:v>
                </c:pt>
                <c:pt idx="77">
                  <c:v>0.66600000000000004</c:v>
                </c:pt>
                <c:pt idx="78">
                  <c:v>0.67400000000000004</c:v>
                </c:pt>
                <c:pt idx="79">
                  <c:v>0.68200000000000005</c:v>
                </c:pt>
                <c:pt idx="80">
                  <c:v>0.69</c:v>
                </c:pt>
                <c:pt idx="81">
                  <c:v>0.69</c:v>
                </c:pt>
                <c:pt idx="82">
                  <c:v>0.69</c:v>
                </c:pt>
                <c:pt idx="83">
                  <c:v>0.69</c:v>
                </c:pt>
                <c:pt idx="84">
                  <c:v>0.69</c:v>
                </c:pt>
                <c:pt idx="85">
                  <c:v>0.69</c:v>
                </c:pt>
                <c:pt idx="86">
                  <c:v>0.69</c:v>
                </c:pt>
                <c:pt idx="87">
                  <c:v>0.69</c:v>
                </c:pt>
                <c:pt idx="88">
                  <c:v>0.69</c:v>
                </c:pt>
                <c:pt idx="89">
                  <c:v>0.69</c:v>
                </c:pt>
                <c:pt idx="90">
                  <c:v>0.69</c:v>
                </c:pt>
                <c:pt idx="91">
                  <c:v>0.69</c:v>
                </c:pt>
                <c:pt idx="92">
                  <c:v>0.69</c:v>
                </c:pt>
                <c:pt idx="93">
                  <c:v>0.69</c:v>
                </c:pt>
                <c:pt idx="94">
                  <c:v>0.69</c:v>
                </c:pt>
                <c:pt idx="95">
                  <c:v>0.69</c:v>
                </c:pt>
                <c:pt idx="96">
                  <c:v>0.69</c:v>
                </c:pt>
                <c:pt idx="97">
                  <c:v>0.69</c:v>
                </c:pt>
                <c:pt idx="98">
                  <c:v>0.69</c:v>
                </c:pt>
                <c:pt idx="99">
                  <c:v>0.69</c:v>
                </c:pt>
                <c:pt idx="100">
                  <c:v>0.69</c:v>
                </c:pt>
              </c:numCache>
            </c:numRef>
          </c:yVal>
          <c:smooth val="0"/>
          <c:extLst>
            <c:ext xmlns:c16="http://schemas.microsoft.com/office/drawing/2014/chart" uri="{C3380CC4-5D6E-409C-BE32-E72D297353CC}">
              <c16:uniqueId val="{0000000E-F08F-4ABB-BFDE-9119276AAB4C}"/>
            </c:ext>
          </c:extLst>
        </c:ser>
        <c:ser>
          <c:idx val="2"/>
          <c:order val="2"/>
          <c:tx>
            <c:strRef>
              <c:f>Breast_Ovarian!$DL$6:$DL$7</c:f>
              <c:strCache>
                <c:ptCount val="2"/>
                <c:pt idx="0">
                  <c:v>OC</c:v>
                </c:pt>
                <c:pt idx="1">
                  <c:v>BRCA1</c:v>
                </c:pt>
              </c:strCache>
            </c:strRef>
          </c:tx>
          <c:spPr>
            <a:ln w="19050" cap="rnd">
              <a:solidFill>
                <a:schemeClr val="accent3"/>
              </a:solidFill>
              <a:round/>
            </a:ln>
            <a:effectLst/>
          </c:spPr>
          <c:marker>
            <c:symbol val="none"/>
          </c:marker>
          <c:dLbls>
            <c:dLbl>
              <c:idx val="4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F08F-4ABB-BFDE-9119276AAB4C}"/>
                </c:ext>
              </c:extLst>
            </c:dLbl>
            <c:dLbl>
              <c:idx val="5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F08F-4ABB-BFDE-9119276AAB4C}"/>
                </c:ext>
              </c:extLst>
            </c:dLbl>
            <c:dLbl>
              <c:idx val="6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F08F-4ABB-BFDE-9119276AAB4C}"/>
                </c:ext>
              </c:extLst>
            </c:dLbl>
            <c:dLbl>
              <c:idx val="7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F08F-4ABB-BFDE-9119276AAB4C}"/>
                </c:ext>
              </c:extLst>
            </c:dLbl>
            <c:dLbl>
              <c:idx val="8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F08F-4ABB-BFDE-9119276AAB4C}"/>
                </c:ext>
              </c:extLst>
            </c:dLbl>
            <c:numFmt formatCode="0%" sourceLinked="0"/>
            <c:spPr>
              <a:solidFill>
                <a:sysClr val="window" lastClr="FFFFFF"/>
              </a:solidFill>
              <a:ln>
                <a:noFill/>
              </a:ln>
              <a:effectLst/>
            </c:spPr>
            <c:txPr>
              <a:bodyPr rot="0" spcFirstLastPara="1" vertOverflow="ellipsis" vert="horz" wrap="square" lIns="0" tIns="0" rIns="0" bIns="0"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Breast_Ovarian!$DL$8:$DL$108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2E-3</c:v>
                </c:pt>
                <c:pt idx="32">
                  <c:v>4.0000000000000001E-3</c:v>
                </c:pt>
                <c:pt idx="33">
                  <c:v>6.0000000000000001E-3</c:v>
                </c:pt>
                <c:pt idx="34">
                  <c:v>8.0000000000000002E-3</c:v>
                </c:pt>
                <c:pt idx="35">
                  <c:v>0.01</c:v>
                </c:pt>
                <c:pt idx="36">
                  <c:v>1.2E-2</c:v>
                </c:pt>
                <c:pt idx="37">
                  <c:v>1.4E-2</c:v>
                </c:pt>
                <c:pt idx="38">
                  <c:v>1.6E-2</c:v>
                </c:pt>
                <c:pt idx="39">
                  <c:v>1.8000000000000002E-2</c:v>
                </c:pt>
                <c:pt idx="40">
                  <c:v>0.02</c:v>
                </c:pt>
                <c:pt idx="41">
                  <c:v>2.6000000000000002E-2</c:v>
                </c:pt>
                <c:pt idx="42">
                  <c:v>3.2000000000000001E-2</c:v>
                </c:pt>
                <c:pt idx="43">
                  <c:v>3.7999999999999999E-2</c:v>
                </c:pt>
                <c:pt idx="44">
                  <c:v>4.3999999999999997E-2</c:v>
                </c:pt>
                <c:pt idx="45">
                  <c:v>4.9999999999999996E-2</c:v>
                </c:pt>
                <c:pt idx="46">
                  <c:v>5.5999999999999994E-2</c:v>
                </c:pt>
                <c:pt idx="47">
                  <c:v>6.1999999999999993E-2</c:v>
                </c:pt>
                <c:pt idx="48">
                  <c:v>6.7999999999999991E-2</c:v>
                </c:pt>
                <c:pt idx="49">
                  <c:v>7.3999999999999996E-2</c:v>
                </c:pt>
                <c:pt idx="50">
                  <c:v>0.08</c:v>
                </c:pt>
                <c:pt idx="51">
                  <c:v>9.1999999999999998E-2</c:v>
                </c:pt>
                <c:pt idx="52">
                  <c:v>0.104</c:v>
                </c:pt>
                <c:pt idx="53">
                  <c:v>0.11599999999999999</c:v>
                </c:pt>
                <c:pt idx="54">
                  <c:v>0.128</c:v>
                </c:pt>
                <c:pt idx="55">
                  <c:v>0.14000000000000001</c:v>
                </c:pt>
                <c:pt idx="56">
                  <c:v>0.15200000000000002</c:v>
                </c:pt>
                <c:pt idx="57">
                  <c:v>0.16400000000000003</c:v>
                </c:pt>
                <c:pt idx="58">
                  <c:v>0.17600000000000005</c:v>
                </c:pt>
                <c:pt idx="59">
                  <c:v>0.18800000000000006</c:v>
                </c:pt>
                <c:pt idx="60">
                  <c:v>0.2</c:v>
                </c:pt>
                <c:pt idx="61">
                  <c:v>0.221</c:v>
                </c:pt>
                <c:pt idx="62">
                  <c:v>0.24199999999999999</c:v>
                </c:pt>
                <c:pt idx="63">
                  <c:v>0.26300000000000001</c:v>
                </c:pt>
                <c:pt idx="64">
                  <c:v>0.28400000000000003</c:v>
                </c:pt>
                <c:pt idx="65">
                  <c:v>0.30500000000000005</c:v>
                </c:pt>
                <c:pt idx="66">
                  <c:v>0.32600000000000007</c:v>
                </c:pt>
                <c:pt idx="67">
                  <c:v>0.34700000000000009</c:v>
                </c:pt>
                <c:pt idx="68">
                  <c:v>0.3680000000000001</c:v>
                </c:pt>
                <c:pt idx="69">
                  <c:v>0.38900000000000012</c:v>
                </c:pt>
                <c:pt idx="70">
                  <c:v>0.41</c:v>
                </c:pt>
                <c:pt idx="71">
                  <c:v>0.41299999999999998</c:v>
                </c:pt>
                <c:pt idx="72">
                  <c:v>0.41599999999999998</c:v>
                </c:pt>
                <c:pt idx="73">
                  <c:v>0.41899999999999998</c:v>
                </c:pt>
                <c:pt idx="74">
                  <c:v>0.42199999999999999</c:v>
                </c:pt>
                <c:pt idx="75">
                  <c:v>0.42499999999999999</c:v>
                </c:pt>
                <c:pt idx="76">
                  <c:v>0.42799999999999999</c:v>
                </c:pt>
                <c:pt idx="77">
                  <c:v>0.43099999999999999</c:v>
                </c:pt>
                <c:pt idx="78">
                  <c:v>0.434</c:v>
                </c:pt>
                <c:pt idx="79">
                  <c:v>0.437</c:v>
                </c:pt>
                <c:pt idx="80">
                  <c:v>0.44</c:v>
                </c:pt>
                <c:pt idx="81">
                  <c:v>0.44</c:v>
                </c:pt>
                <c:pt idx="82">
                  <c:v>0.44</c:v>
                </c:pt>
                <c:pt idx="83">
                  <c:v>0.44</c:v>
                </c:pt>
                <c:pt idx="84">
                  <c:v>0.44</c:v>
                </c:pt>
                <c:pt idx="85">
                  <c:v>0.44</c:v>
                </c:pt>
                <c:pt idx="86">
                  <c:v>0.44</c:v>
                </c:pt>
                <c:pt idx="87">
                  <c:v>0.44</c:v>
                </c:pt>
                <c:pt idx="88">
                  <c:v>0.44</c:v>
                </c:pt>
                <c:pt idx="89">
                  <c:v>0.44</c:v>
                </c:pt>
                <c:pt idx="90">
                  <c:v>0.44</c:v>
                </c:pt>
                <c:pt idx="91">
                  <c:v>0.44</c:v>
                </c:pt>
                <c:pt idx="92">
                  <c:v>0.44</c:v>
                </c:pt>
                <c:pt idx="93">
                  <c:v>0.44</c:v>
                </c:pt>
                <c:pt idx="94">
                  <c:v>0.44</c:v>
                </c:pt>
                <c:pt idx="95">
                  <c:v>0.44</c:v>
                </c:pt>
                <c:pt idx="96">
                  <c:v>0.44</c:v>
                </c:pt>
                <c:pt idx="97">
                  <c:v>0.44</c:v>
                </c:pt>
                <c:pt idx="98">
                  <c:v>0.44</c:v>
                </c:pt>
                <c:pt idx="99">
                  <c:v>0.44</c:v>
                </c:pt>
                <c:pt idx="100">
                  <c:v>0.44</c:v>
                </c:pt>
              </c:numCache>
            </c:numRef>
          </c:yVal>
          <c:smooth val="0"/>
          <c:extLst>
            <c:ext xmlns:c16="http://schemas.microsoft.com/office/drawing/2014/chart" uri="{C3380CC4-5D6E-409C-BE32-E72D297353CC}">
              <c16:uniqueId val="{0000000F-F08F-4ABB-BFDE-9119276AAB4C}"/>
            </c:ext>
          </c:extLst>
        </c:ser>
        <c:ser>
          <c:idx val="3"/>
          <c:order val="3"/>
          <c:tx>
            <c:strRef>
              <c:f>Breast_Ovarian!$DM$6:$DM$7</c:f>
              <c:strCache>
                <c:ptCount val="2"/>
                <c:pt idx="0">
                  <c:v>OC</c:v>
                </c:pt>
                <c:pt idx="1">
                  <c:v>BRCA2</c:v>
                </c:pt>
              </c:strCache>
            </c:strRef>
          </c:tx>
          <c:spPr>
            <a:ln w="19050" cap="rnd">
              <a:solidFill>
                <a:schemeClr val="accent4"/>
              </a:solidFill>
              <a:round/>
            </a:ln>
            <a:effectLst/>
          </c:spPr>
          <c:marker>
            <c:symbol val="none"/>
          </c:marker>
          <c:dLbls>
            <c:dLbl>
              <c:idx val="6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F08F-4ABB-BFDE-9119276AAB4C}"/>
                </c:ext>
              </c:extLst>
            </c:dLbl>
            <c:dLbl>
              <c:idx val="7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F08F-4ABB-BFDE-9119276AAB4C}"/>
                </c:ext>
              </c:extLst>
            </c:dLbl>
            <c:dLbl>
              <c:idx val="8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F08F-4ABB-BFDE-9119276AAB4C}"/>
                </c:ext>
              </c:extLst>
            </c:dLbl>
            <c:numFmt formatCode="0%" sourceLinked="0"/>
            <c:spPr>
              <a:solidFill>
                <a:sysClr val="window" lastClr="FFFFFF"/>
              </a:solidFill>
              <a:ln>
                <a:noFill/>
              </a:ln>
              <a:effectLst/>
            </c:spPr>
            <c:txPr>
              <a:bodyPr rot="0" spcFirstLastPara="1" vertOverflow="ellipsis" vert="horz" wrap="square" lIns="0" tIns="0" rIns="0" bIns="0"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Breast_Ovarian!$DM$8:$DM$108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9.9999999999999995E-8</c:v>
                </c:pt>
                <c:pt idx="32">
                  <c:v>1.9999999999999999E-7</c:v>
                </c:pt>
                <c:pt idx="33">
                  <c:v>2.9999999999999999E-7</c:v>
                </c:pt>
                <c:pt idx="34">
                  <c:v>3.9999999999999998E-7</c:v>
                </c:pt>
                <c:pt idx="35">
                  <c:v>4.9999999999999998E-7</c:v>
                </c:pt>
                <c:pt idx="36">
                  <c:v>5.9999999999999997E-7</c:v>
                </c:pt>
                <c:pt idx="37">
                  <c:v>6.9999999999999997E-7</c:v>
                </c:pt>
                <c:pt idx="38">
                  <c:v>7.9999999999999996E-7</c:v>
                </c:pt>
                <c:pt idx="39">
                  <c:v>8.9999999999999996E-7</c:v>
                </c:pt>
                <c:pt idx="40">
                  <c:v>9.9999999999999995E-7</c:v>
                </c:pt>
                <c:pt idx="41">
                  <c:v>9.9999999999999995E-7</c:v>
                </c:pt>
                <c:pt idx="42">
                  <c:v>9.9999999999999995E-7</c:v>
                </c:pt>
                <c:pt idx="43">
                  <c:v>9.9999999999999995E-7</c:v>
                </c:pt>
                <c:pt idx="44">
                  <c:v>9.9999999999999995E-7</c:v>
                </c:pt>
                <c:pt idx="45">
                  <c:v>9.9999999999999995E-7</c:v>
                </c:pt>
                <c:pt idx="46">
                  <c:v>9.9999999999999995E-7</c:v>
                </c:pt>
                <c:pt idx="47">
                  <c:v>9.9999999999999995E-7</c:v>
                </c:pt>
                <c:pt idx="48">
                  <c:v>9.9999999999999995E-7</c:v>
                </c:pt>
                <c:pt idx="49">
                  <c:v>9.9999999999999995E-7</c:v>
                </c:pt>
                <c:pt idx="50">
                  <c:v>9.9999999999999995E-7</c:v>
                </c:pt>
                <c:pt idx="51">
                  <c:v>7.0009000000000009E-3</c:v>
                </c:pt>
                <c:pt idx="52">
                  <c:v>1.4000800000000001E-2</c:v>
                </c:pt>
                <c:pt idx="53">
                  <c:v>2.1000700000000001E-2</c:v>
                </c:pt>
                <c:pt idx="54">
                  <c:v>2.80006E-2</c:v>
                </c:pt>
                <c:pt idx="55">
                  <c:v>3.5000500000000004E-2</c:v>
                </c:pt>
                <c:pt idx="56">
                  <c:v>4.2000400000000007E-2</c:v>
                </c:pt>
                <c:pt idx="57">
                  <c:v>4.9000300000000011E-2</c:v>
                </c:pt>
                <c:pt idx="58">
                  <c:v>5.6000200000000014E-2</c:v>
                </c:pt>
                <c:pt idx="59">
                  <c:v>6.3000100000000017E-2</c:v>
                </c:pt>
                <c:pt idx="60">
                  <c:v>7.0000000000000007E-2</c:v>
                </c:pt>
                <c:pt idx="61">
                  <c:v>7.8E-2</c:v>
                </c:pt>
                <c:pt idx="62">
                  <c:v>8.5999999999999993E-2</c:v>
                </c:pt>
                <c:pt idx="63">
                  <c:v>9.3999999999999986E-2</c:v>
                </c:pt>
                <c:pt idx="64">
                  <c:v>0.10199999999999998</c:v>
                </c:pt>
                <c:pt idx="65">
                  <c:v>0.10999999999999997</c:v>
                </c:pt>
                <c:pt idx="66">
                  <c:v>0.11799999999999997</c:v>
                </c:pt>
                <c:pt idx="67">
                  <c:v>0.12599999999999997</c:v>
                </c:pt>
                <c:pt idx="68">
                  <c:v>0.13399999999999998</c:v>
                </c:pt>
                <c:pt idx="69">
                  <c:v>0.14199999999999999</c:v>
                </c:pt>
                <c:pt idx="70">
                  <c:v>0.15</c:v>
                </c:pt>
                <c:pt idx="71">
                  <c:v>0.152</c:v>
                </c:pt>
                <c:pt idx="72">
                  <c:v>0.154</c:v>
                </c:pt>
                <c:pt idx="73">
                  <c:v>0.156</c:v>
                </c:pt>
                <c:pt idx="74">
                  <c:v>0.158</c:v>
                </c:pt>
                <c:pt idx="75">
                  <c:v>0.16</c:v>
                </c:pt>
                <c:pt idx="76">
                  <c:v>0.16200000000000001</c:v>
                </c:pt>
                <c:pt idx="77">
                  <c:v>0.16400000000000001</c:v>
                </c:pt>
                <c:pt idx="78">
                  <c:v>0.16600000000000001</c:v>
                </c:pt>
                <c:pt idx="79">
                  <c:v>0.16800000000000001</c:v>
                </c:pt>
                <c:pt idx="80">
                  <c:v>0.17</c:v>
                </c:pt>
                <c:pt idx="81">
                  <c:v>0.17</c:v>
                </c:pt>
                <c:pt idx="82">
                  <c:v>0.17</c:v>
                </c:pt>
                <c:pt idx="83">
                  <c:v>0.17</c:v>
                </c:pt>
                <c:pt idx="84">
                  <c:v>0.17</c:v>
                </c:pt>
                <c:pt idx="85">
                  <c:v>0.17</c:v>
                </c:pt>
                <c:pt idx="86">
                  <c:v>0.17</c:v>
                </c:pt>
                <c:pt idx="87">
                  <c:v>0.17</c:v>
                </c:pt>
                <c:pt idx="88">
                  <c:v>0.17</c:v>
                </c:pt>
                <c:pt idx="89">
                  <c:v>0.17</c:v>
                </c:pt>
                <c:pt idx="90">
                  <c:v>0.17</c:v>
                </c:pt>
                <c:pt idx="91">
                  <c:v>0.17</c:v>
                </c:pt>
                <c:pt idx="92">
                  <c:v>0.17</c:v>
                </c:pt>
                <c:pt idx="93">
                  <c:v>0.17</c:v>
                </c:pt>
                <c:pt idx="94">
                  <c:v>0.17</c:v>
                </c:pt>
                <c:pt idx="95">
                  <c:v>0.17</c:v>
                </c:pt>
                <c:pt idx="96">
                  <c:v>0.17</c:v>
                </c:pt>
                <c:pt idx="97">
                  <c:v>0.17</c:v>
                </c:pt>
                <c:pt idx="98">
                  <c:v>0.17</c:v>
                </c:pt>
                <c:pt idx="99">
                  <c:v>0.17</c:v>
                </c:pt>
                <c:pt idx="100">
                  <c:v>0.17</c:v>
                </c:pt>
              </c:numCache>
            </c:numRef>
          </c:yVal>
          <c:smooth val="0"/>
          <c:extLst>
            <c:ext xmlns:c16="http://schemas.microsoft.com/office/drawing/2014/chart" uri="{C3380CC4-5D6E-409C-BE32-E72D297353CC}">
              <c16:uniqueId val="{00000010-F08F-4ABB-BFDE-9119276AAB4C}"/>
            </c:ext>
          </c:extLst>
        </c:ser>
        <c:dLbls>
          <c:showLegendKey val="0"/>
          <c:showVal val="0"/>
          <c:showCatName val="0"/>
          <c:showSerName val="0"/>
          <c:showPercent val="0"/>
          <c:showBubbleSize val="0"/>
        </c:dLbls>
        <c:axId val="544141536"/>
        <c:axId val="544141208"/>
      </c:scatterChart>
      <c:valAx>
        <c:axId val="5441415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Age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4141208"/>
        <c:crosses val="autoZero"/>
        <c:crossBetween val="midCat"/>
      </c:valAx>
      <c:valAx>
        <c:axId val="5441412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4141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Cumulative Risk-Reducing Intervention Uptake</a:t>
            </a:r>
          </a:p>
        </c:rich>
      </c:tx>
      <c:overlay val="0"/>
      <c:spPr>
        <a:noFill/>
        <a:ln>
          <a:noFill/>
        </a:ln>
        <a:effectLst/>
      </c:spPr>
    </c:title>
    <c:autoTitleDeleted val="0"/>
    <c:plotArea>
      <c:layout/>
      <c:scatterChart>
        <c:scatterStyle val="lineMarker"/>
        <c:varyColors val="0"/>
        <c:ser>
          <c:idx val="0"/>
          <c:order val="0"/>
          <c:tx>
            <c:strRef>
              <c:f>Breast_Ovarian!$DU$6:$DU$7</c:f>
              <c:strCache>
                <c:ptCount val="2"/>
                <c:pt idx="0">
                  <c:v>Mast</c:v>
                </c:pt>
                <c:pt idx="1">
                  <c:v>BRCA1</c:v>
                </c:pt>
              </c:strCache>
            </c:strRef>
          </c:tx>
          <c:spPr>
            <a:ln w="19050" cap="rnd">
              <a:solidFill>
                <a:schemeClr val="accent1"/>
              </a:solidFill>
              <a:round/>
            </a:ln>
            <a:effectLst/>
          </c:spPr>
          <c:marker>
            <c:symbol val="none"/>
          </c:marker>
          <c:dLbls>
            <c:dLbl>
              <c:idx val="3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00E0-4C1C-B38B-8393343D0ADC}"/>
                </c:ext>
              </c:extLst>
            </c:dLbl>
            <c:dLbl>
              <c:idx val="4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00E0-4C1C-B38B-8393343D0ADC}"/>
                </c:ext>
              </c:extLst>
            </c:dLbl>
            <c:dLbl>
              <c:idx val="5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00E0-4C1C-B38B-8393343D0ADC}"/>
                </c:ext>
              </c:extLst>
            </c:dLbl>
            <c:dLbl>
              <c:idx val="6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00E0-4C1C-B38B-8393343D0ADC}"/>
                </c:ext>
              </c:extLst>
            </c:dLbl>
            <c:dLbl>
              <c:idx val="7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00E0-4C1C-B38B-8393343D0ADC}"/>
                </c:ext>
              </c:extLst>
            </c:dLbl>
            <c:dLbl>
              <c:idx val="8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00E0-4C1C-B38B-8393343D0ADC}"/>
                </c:ext>
              </c:extLst>
            </c:dLbl>
            <c:numFmt formatCode="0%" sourceLinked="0"/>
            <c:spPr>
              <a:solidFill>
                <a:sysClr val="window" lastClr="FFFFFF"/>
              </a:solidFill>
              <a:ln>
                <a:noFill/>
              </a:ln>
              <a:effectLst/>
            </c:spPr>
            <c:txPr>
              <a:bodyPr rot="0" spcFirstLastPara="1" vertOverflow="ellipsis" horzOverflow="clip" vert="horz" wrap="square" lIns="0" tIns="0" rIns="0" bIns="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Breast_Ovarian!$DU$8:$DU$108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1.0800000000000001E-2</c:v>
                </c:pt>
                <c:pt idx="17">
                  <c:v>2.1600000000000001E-2</c:v>
                </c:pt>
                <c:pt idx="18">
                  <c:v>3.2399999999999998E-2</c:v>
                </c:pt>
                <c:pt idx="19">
                  <c:v>4.3200000000000002E-2</c:v>
                </c:pt>
                <c:pt idx="20">
                  <c:v>5.3999999999999999E-2</c:v>
                </c:pt>
                <c:pt idx="21">
                  <c:v>7.0800000000000002E-2</c:v>
                </c:pt>
                <c:pt idx="22">
                  <c:v>8.7600000000000011E-2</c:v>
                </c:pt>
                <c:pt idx="23">
                  <c:v>0.10440000000000002</c:v>
                </c:pt>
                <c:pt idx="24">
                  <c:v>0.12120000000000003</c:v>
                </c:pt>
                <c:pt idx="25">
                  <c:v>0.13800000000000001</c:v>
                </c:pt>
                <c:pt idx="26">
                  <c:v>0.1588</c:v>
                </c:pt>
                <c:pt idx="27">
                  <c:v>0.17959999999999998</c:v>
                </c:pt>
                <c:pt idx="28">
                  <c:v>0.20039999999999997</c:v>
                </c:pt>
                <c:pt idx="29">
                  <c:v>0.22119999999999995</c:v>
                </c:pt>
                <c:pt idx="30">
                  <c:v>0.24199999999999999</c:v>
                </c:pt>
                <c:pt idx="31">
                  <c:v>0.26219999999999999</c:v>
                </c:pt>
                <c:pt idx="32">
                  <c:v>0.28239999999999998</c:v>
                </c:pt>
                <c:pt idx="33">
                  <c:v>0.30259999999999998</c:v>
                </c:pt>
                <c:pt idx="34">
                  <c:v>0.32279999999999998</c:v>
                </c:pt>
                <c:pt idx="35">
                  <c:v>0.34299999999999997</c:v>
                </c:pt>
                <c:pt idx="36">
                  <c:v>0.35559999999999997</c:v>
                </c:pt>
                <c:pt idx="37">
                  <c:v>0.36819999999999997</c:v>
                </c:pt>
                <c:pt idx="38">
                  <c:v>0.38079999999999997</c:v>
                </c:pt>
                <c:pt idx="39">
                  <c:v>0.39339999999999997</c:v>
                </c:pt>
                <c:pt idx="40">
                  <c:v>0.40599999999999997</c:v>
                </c:pt>
                <c:pt idx="41">
                  <c:v>0.41039999999999999</c:v>
                </c:pt>
                <c:pt idx="42">
                  <c:v>0.4148</c:v>
                </c:pt>
                <c:pt idx="43">
                  <c:v>0.41920000000000002</c:v>
                </c:pt>
                <c:pt idx="44">
                  <c:v>0.42360000000000003</c:v>
                </c:pt>
                <c:pt idx="45">
                  <c:v>0.42799999999999999</c:v>
                </c:pt>
                <c:pt idx="46">
                  <c:v>0.43519999999999998</c:v>
                </c:pt>
                <c:pt idx="47">
                  <c:v>0.44239999999999996</c:v>
                </c:pt>
                <c:pt idx="48">
                  <c:v>0.44959999999999994</c:v>
                </c:pt>
                <c:pt idx="49">
                  <c:v>0.45679999999999993</c:v>
                </c:pt>
                <c:pt idx="50">
                  <c:v>0.46399999999999997</c:v>
                </c:pt>
                <c:pt idx="51">
                  <c:v>0.46399999999999997</c:v>
                </c:pt>
                <c:pt idx="52">
                  <c:v>0.46399999999999997</c:v>
                </c:pt>
                <c:pt idx="53">
                  <c:v>0.46399999999999997</c:v>
                </c:pt>
                <c:pt idx="54">
                  <c:v>0.46399999999999997</c:v>
                </c:pt>
                <c:pt idx="55">
                  <c:v>0.46399999999999997</c:v>
                </c:pt>
                <c:pt idx="56">
                  <c:v>0.46399999999999997</c:v>
                </c:pt>
                <c:pt idx="57">
                  <c:v>0.46399999999999997</c:v>
                </c:pt>
                <c:pt idx="58">
                  <c:v>0.46399999999999997</c:v>
                </c:pt>
                <c:pt idx="59">
                  <c:v>0.46399999999999997</c:v>
                </c:pt>
                <c:pt idx="60">
                  <c:v>0.46399999999999997</c:v>
                </c:pt>
                <c:pt idx="61">
                  <c:v>0.46399999999999997</c:v>
                </c:pt>
                <c:pt idx="62">
                  <c:v>0.46399999999999997</c:v>
                </c:pt>
                <c:pt idx="63">
                  <c:v>0.46399999999999997</c:v>
                </c:pt>
                <c:pt idx="64">
                  <c:v>0.46399999999999997</c:v>
                </c:pt>
                <c:pt idx="65">
                  <c:v>0.46399999999999997</c:v>
                </c:pt>
                <c:pt idx="66">
                  <c:v>0.46399999999999997</c:v>
                </c:pt>
                <c:pt idx="67">
                  <c:v>0.46399999999999997</c:v>
                </c:pt>
                <c:pt idx="68">
                  <c:v>0.46399999999999997</c:v>
                </c:pt>
                <c:pt idx="69">
                  <c:v>0.46399999999999997</c:v>
                </c:pt>
                <c:pt idx="70">
                  <c:v>0.46399999999999997</c:v>
                </c:pt>
                <c:pt idx="71">
                  <c:v>0.46399999999999997</c:v>
                </c:pt>
                <c:pt idx="72">
                  <c:v>0.46399999999999997</c:v>
                </c:pt>
                <c:pt idx="73">
                  <c:v>0.46399999999999997</c:v>
                </c:pt>
                <c:pt idx="74">
                  <c:v>0.46399999999999997</c:v>
                </c:pt>
                <c:pt idx="75">
                  <c:v>0.46399999999999997</c:v>
                </c:pt>
                <c:pt idx="76">
                  <c:v>0.46399999999999997</c:v>
                </c:pt>
                <c:pt idx="77">
                  <c:v>0.46399999999999997</c:v>
                </c:pt>
                <c:pt idx="78">
                  <c:v>0.46399999999999997</c:v>
                </c:pt>
                <c:pt idx="79">
                  <c:v>0.46399999999999997</c:v>
                </c:pt>
                <c:pt idx="80">
                  <c:v>0.46399999999999997</c:v>
                </c:pt>
                <c:pt idx="81">
                  <c:v>0.46399999999999997</c:v>
                </c:pt>
                <c:pt idx="82">
                  <c:v>0.46399999999999997</c:v>
                </c:pt>
                <c:pt idx="83">
                  <c:v>0.46399999999999997</c:v>
                </c:pt>
                <c:pt idx="84">
                  <c:v>0.46399999999999997</c:v>
                </c:pt>
                <c:pt idx="85">
                  <c:v>0.46399999999999997</c:v>
                </c:pt>
                <c:pt idx="86">
                  <c:v>0.46399999999999997</c:v>
                </c:pt>
                <c:pt idx="87">
                  <c:v>0.46399999999999997</c:v>
                </c:pt>
                <c:pt idx="88">
                  <c:v>0.46399999999999997</c:v>
                </c:pt>
                <c:pt idx="89">
                  <c:v>0.46399999999999997</c:v>
                </c:pt>
                <c:pt idx="90">
                  <c:v>0.46399999999999997</c:v>
                </c:pt>
                <c:pt idx="91">
                  <c:v>0.46399999999999997</c:v>
                </c:pt>
                <c:pt idx="92">
                  <c:v>0.46399999999999997</c:v>
                </c:pt>
                <c:pt idx="93">
                  <c:v>0.46399999999999997</c:v>
                </c:pt>
                <c:pt idx="94">
                  <c:v>0.46399999999999997</c:v>
                </c:pt>
                <c:pt idx="95">
                  <c:v>0.46399999999999997</c:v>
                </c:pt>
                <c:pt idx="96">
                  <c:v>0.46399999999999997</c:v>
                </c:pt>
                <c:pt idx="97">
                  <c:v>0.46399999999999997</c:v>
                </c:pt>
                <c:pt idx="98">
                  <c:v>0.46399999999999997</c:v>
                </c:pt>
                <c:pt idx="99">
                  <c:v>0.46399999999999997</c:v>
                </c:pt>
                <c:pt idx="100">
                  <c:v>0.46399999999999997</c:v>
                </c:pt>
              </c:numCache>
            </c:numRef>
          </c:yVal>
          <c:smooth val="0"/>
          <c:extLst>
            <c:ext xmlns:c16="http://schemas.microsoft.com/office/drawing/2014/chart" uri="{C3380CC4-5D6E-409C-BE32-E72D297353CC}">
              <c16:uniqueId val="{00000041-00E0-4C1C-B38B-8393343D0ADC}"/>
            </c:ext>
          </c:extLst>
        </c:ser>
        <c:ser>
          <c:idx val="1"/>
          <c:order val="1"/>
          <c:tx>
            <c:strRef>
              <c:f>Breast_Ovarian!$DV$6:$DV$7</c:f>
              <c:strCache>
                <c:ptCount val="2"/>
                <c:pt idx="0">
                  <c:v>Mast</c:v>
                </c:pt>
                <c:pt idx="1">
                  <c:v>BRCA2</c:v>
                </c:pt>
              </c:strCache>
            </c:strRef>
          </c:tx>
          <c:spPr>
            <a:ln w="19050" cap="rnd">
              <a:solidFill>
                <a:schemeClr val="accent6"/>
              </a:solidFill>
              <a:round/>
            </a:ln>
            <a:effectLst/>
          </c:spPr>
          <c:marker>
            <c:symbol val="none"/>
          </c:marker>
          <c:dLbls>
            <c:dLbl>
              <c:idx val="4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00E0-4C1C-B38B-8393343D0ADC}"/>
                </c:ext>
              </c:extLst>
            </c:dLbl>
            <c:dLbl>
              <c:idx val="5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00E0-4C1C-B38B-8393343D0ADC}"/>
                </c:ext>
              </c:extLst>
            </c:dLbl>
            <c:dLbl>
              <c:idx val="6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00E0-4C1C-B38B-8393343D0ADC}"/>
                </c:ext>
              </c:extLst>
            </c:dLbl>
            <c:dLbl>
              <c:idx val="7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00E0-4C1C-B38B-8393343D0ADC}"/>
                </c:ext>
              </c:extLst>
            </c:dLbl>
            <c:dLbl>
              <c:idx val="8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00E0-4C1C-B38B-8393343D0ADC}"/>
                </c:ext>
              </c:extLst>
            </c:dLbl>
            <c:numFmt formatCode="0%" sourceLinked="0"/>
            <c:spPr>
              <a:solidFill>
                <a:sysClr val="window" lastClr="FFFFFF"/>
              </a:solidFill>
              <a:ln>
                <a:noFill/>
              </a:ln>
              <a:effectLst/>
            </c:spPr>
            <c:txPr>
              <a:bodyPr rot="0" spcFirstLastPara="1" vertOverflow="ellipsis" horzOverflow="clip" vert="horz" wrap="square" lIns="0" tIns="0" rIns="0" bIns="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Breast_Ovarian!$DV$8:$DV$108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8.4000000000000012E-3</c:v>
                </c:pt>
                <c:pt idx="22">
                  <c:v>1.6800000000000002E-2</c:v>
                </c:pt>
                <c:pt idx="23">
                  <c:v>2.5200000000000004E-2</c:v>
                </c:pt>
                <c:pt idx="24">
                  <c:v>3.3600000000000005E-2</c:v>
                </c:pt>
                <c:pt idx="25">
                  <c:v>4.2000000000000003E-2</c:v>
                </c:pt>
                <c:pt idx="26">
                  <c:v>6.3E-2</c:v>
                </c:pt>
                <c:pt idx="27">
                  <c:v>8.3999999999999991E-2</c:v>
                </c:pt>
                <c:pt idx="28">
                  <c:v>0.10499999999999998</c:v>
                </c:pt>
                <c:pt idx="29">
                  <c:v>0.12599999999999997</c:v>
                </c:pt>
                <c:pt idx="30">
                  <c:v>0.14699999999999999</c:v>
                </c:pt>
                <c:pt idx="31">
                  <c:v>0.1736</c:v>
                </c:pt>
                <c:pt idx="32">
                  <c:v>0.20020000000000002</c:v>
                </c:pt>
                <c:pt idx="33">
                  <c:v>0.22680000000000003</c:v>
                </c:pt>
                <c:pt idx="34">
                  <c:v>0.25340000000000001</c:v>
                </c:pt>
                <c:pt idx="35">
                  <c:v>0.28000000000000003</c:v>
                </c:pt>
                <c:pt idx="36">
                  <c:v>0.29700000000000004</c:v>
                </c:pt>
                <c:pt idx="37">
                  <c:v>0.31400000000000006</c:v>
                </c:pt>
                <c:pt idx="38">
                  <c:v>0.33100000000000007</c:v>
                </c:pt>
                <c:pt idx="39">
                  <c:v>0.34800000000000009</c:v>
                </c:pt>
                <c:pt idx="40">
                  <c:v>0.36500000000000005</c:v>
                </c:pt>
                <c:pt idx="41">
                  <c:v>0.37680000000000002</c:v>
                </c:pt>
                <c:pt idx="42">
                  <c:v>0.3886</c:v>
                </c:pt>
                <c:pt idx="43">
                  <c:v>0.40039999999999998</c:v>
                </c:pt>
                <c:pt idx="44">
                  <c:v>0.41219999999999996</c:v>
                </c:pt>
                <c:pt idx="45">
                  <c:v>0.42400000000000004</c:v>
                </c:pt>
                <c:pt idx="46">
                  <c:v>0.43020000000000003</c:v>
                </c:pt>
                <c:pt idx="47">
                  <c:v>0.43640000000000001</c:v>
                </c:pt>
                <c:pt idx="48">
                  <c:v>0.44259999999999999</c:v>
                </c:pt>
                <c:pt idx="49">
                  <c:v>0.44879999999999998</c:v>
                </c:pt>
                <c:pt idx="50">
                  <c:v>0.45500000000000007</c:v>
                </c:pt>
                <c:pt idx="51">
                  <c:v>0.45700000000000007</c:v>
                </c:pt>
                <c:pt idx="52">
                  <c:v>0.45900000000000007</c:v>
                </c:pt>
                <c:pt idx="53">
                  <c:v>0.46100000000000008</c:v>
                </c:pt>
                <c:pt idx="54">
                  <c:v>0.46300000000000008</c:v>
                </c:pt>
                <c:pt idx="55">
                  <c:v>0.46500000000000008</c:v>
                </c:pt>
                <c:pt idx="56">
                  <c:v>0.46500000000000008</c:v>
                </c:pt>
                <c:pt idx="57">
                  <c:v>0.46500000000000008</c:v>
                </c:pt>
                <c:pt idx="58">
                  <c:v>0.46500000000000008</c:v>
                </c:pt>
                <c:pt idx="59">
                  <c:v>0.46500000000000008</c:v>
                </c:pt>
                <c:pt idx="60">
                  <c:v>0.46500000000000008</c:v>
                </c:pt>
                <c:pt idx="61">
                  <c:v>0.46500000000000008</c:v>
                </c:pt>
                <c:pt idx="62">
                  <c:v>0.46500000000000008</c:v>
                </c:pt>
                <c:pt idx="63">
                  <c:v>0.46500000000000008</c:v>
                </c:pt>
                <c:pt idx="64">
                  <c:v>0.46500000000000008</c:v>
                </c:pt>
                <c:pt idx="65">
                  <c:v>0.46500000000000008</c:v>
                </c:pt>
                <c:pt idx="66">
                  <c:v>0.46500000000000008</c:v>
                </c:pt>
                <c:pt idx="67">
                  <c:v>0.46500000000000008</c:v>
                </c:pt>
                <c:pt idx="68">
                  <c:v>0.46500000000000008</c:v>
                </c:pt>
                <c:pt idx="69">
                  <c:v>0.46500000000000008</c:v>
                </c:pt>
                <c:pt idx="70">
                  <c:v>0.46500000000000008</c:v>
                </c:pt>
                <c:pt idx="71">
                  <c:v>0.46500000000000008</c:v>
                </c:pt>
                <c:pt idx="72">
                  <c:v>0.46500000000000008</c:v>
                </c:pt>
                <c:pt idx="73">
                  <c:v>0.46500000000000008</c:v>
                </c:pt>
                <c:pt idx="74">
                  <c:v>0.46500000000000008</c:v>
                </c:pt>
                <c:pt idx="75">
                  <c:v>0.46500000000000008</c:v>
                </c:pt>
                <c:pt idx="76">
                  <c:v>0.46500000000000008</c:v>
                </c:pt>
                <c:pt idx="77">
                  <c:v>0.46500000000000008</c:v>
                </c:pt>
                <c:pt idx="78">
                  <c:v>0.46500000000000008</c:v>
                </c:pt>
                <c:pt idx="79">
                  <c:v>0.46500000000000008</c:v>
                </c:pt>
                <c:pt idx="80">
                  <c:v>0.46500000000000008</c:v>
                </c:pt>
                <c:pt idx="81">
                  <c:v>0.46500000000000008</c:v>
                </c:pt>
                <c:pt idx="82">
                  <c:v>0.46500000000000008</c:v>
                </c:pt>
                <c:pt idx="83">
                  <c:v>0.46500000000000008</c:v>
                </c:pt>
                <c:pt idx="84">
                  <c:v>0.46500000000000008</c:v>
                </c:pt>
                <c:pt idx="85">
                  <c:v>0.46500000000000008</c:v>
                </c:pt>
                <c:pt idx="86">
                  <c:v>0.46500000000000008</c:v>
                </c:pt>
                <c:pt idx="87">
                  <c:v>0.46500000000000008</c:v>
                </c:pt>
                <c:pt idx="88">
                  <c:v>0.46500000000000008</c:v>
                </c:pt>
                <c:pt idx="89">
                  <c:v>0.46500000000000008</c:v>
                </c:pt>
                <c:pt idx="90">
                  <c:v>0.46500000000000008</c:v>
                </c:pt>
                <c:pt idx="91">
                  <c:v>0.46500000000000008</c:v>
                </c:pt>
                <c:pt idx="92">
                  <c:v>0.46500000000000008</c:v>
                </c:pt>
                <c:pt idx="93">
                  <c:v>0.46500000000000008</c:v>
                </c:pt>
                <c:pt idx="94">
                  <c:v>0.46500000000000008</c:v>
                </c:pt>
                <c:pt idx="95">
                  <c:v>0.46500000000000008</c:v>
                </c:pt>
                <c:pt idx="96">
                  <c:v>0.46500000000000008</c:v>
                </c:pt>
                <c:pt idx="97">
                  <c:v>0.46500000000000008</c:v>
                </c:pt>
                <c:pt idx="98">
                  <c:v>0.46500000000000008</c:v>
                </c:pt>
                <c:pt idx="99">
                  <c:v>0.46500000000000008</c:v>
                </c:pt>
                <c:pt idx="100">
                  <c:v>0.46500000000000008</c:v>
                </c:pt>
              </c:numCache>
            </c:numRef>
          </c:yVal>
          <c:smooth val="0"/>
          <c:extLst>
            <c:ext xmlns:c16="http://schemas.microsoft.com/office/drawing/2014/chart" uri="{C3380CC4-5D6E-409C-BE32-E72D297353CC}">
              <c16:uniqueId val="{00000048-00E0-4C1C-B38B-8393343D0ADC}"/>
            </c:ext>
          </c:extLst>
        </c:ser>
        <c:ser>
          <c:idx val="2"/>
          <c:order val="2"/>
          <c:tx>
            <c:strRef>
              <c:f>Breast_Ovarian!$DX$6:$DX$7</c:f>
              <c:strCache>
                <c:ptCount val="2"/>
                <c:pt idx="0">
                  <c:v>Ooph</c:v>
                </c:pt>
                <c:pt idx="1">
                  <c:v>BRCA1</c:v>
                </c:pt>
              </c:strCache>
            </c:strRef>
          </c:tx>
          <c:spPr>
            <a:ln w="19050" cap="rnd">
              <a:solidFill>
                <a:schemeClr val="accent3"/>
              </a:solidFill>
              <a:round/>
            </a:ln>
            <a:effectLst/>
          </c:spPr>
          <c:marker>
            <c:symbol val="none"/>
          </c:marker>
          <c:dLbls>
            <c:dLbl>
              <c:idx val="4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00E0-4C1C-B38B-8393343D0ADC}"/>
                </c:ext>
              </c:extLst>
            </c:dLbl>
            <c:dLbl>
              <c:idx val="5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00E0-4C1C-B38B-8393343D0ADC}"/>
                </c:ext>
              </c:extLst>
            </c:dLbl>
            <c:dLbl>
              <c:idx val="6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00E0-4C1C-B38B-8393343D0ADC}"/>
                </c:ext>
              </c:extLst>
            </c:dLbl>
            <c:dLbl>
              <c:idx val="7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00E0-4C1C-B38B-8393343D0ADC}"/>
                </c:ext>
              </c:extLst>
            </c:dLbl>
            <c:dLbl>
              <c:idx val="8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00E0-4C1C-B38B-8393343D0ADC}"/>
                </c:ext>
              </c:extLst>
            </c:dLbl>
            <c:numFmt formatCode="0%" sourceLinked="0"/>
            <c:spPr>
              <a:solidFill>
                <a:sysClr val="window" lastClr="FFFFFF"/>
              </a:solidFill>
              <a:ln>
                <a:noFill/>
              </a:ln>
              <a:effectLst/>
            </c:spPr>
            <c:txPr>
              <a:bodyPr rot="0" spcFirstLastPara="1" vertOverflow="ellipsis" horzOverflow="clip" vert="horz" wrap="square" lIns="0" tIns="0" rIns="0" bIns="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Breast_Ovarian!$DX$8:$DX$108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7.000000000000001E-3</c:v>
                </c:pt>
                <c:pt idx="22">
                  <c:v>1.4000000000000002E-2</c:v>
                </c:pt>
                <c:pt idx="23">
                  <c:v>2.1000000000000005E-2</c:v>
                </c:pt>
                <c:pt idx="24">
                  <c:v>2.8000000000000004E-2</c:v>
                </c:pt>
                <c:pt idx="25">
                  <c:v>3.5000000000000003E-2</c:v>
                </c:pt>
                <c:pt idx="26">
                  <c:v>6.5600000000000006E-2</c:v>
                </c:pt>
                <c:pt idx="27">
                  <c:v>9.6200000000000008E-2</c:v>
                </c:pt>
                <c:pt idx="28">
                  <c:v>0.1268</c:v>
                </c:pt>
                <c:pt idx="29">
                  <c:v>0.15739999999999998</c:v>
                </c:pt>
                <c:pt idx="30">
                  <c:v>0.188</c:v>
                </c:pt>
                <c:pt idx="31">
                  <c:v>0.24099999999999999</c:v>
                </c:pt>
                <c:pt idx="32">
                  <c:v>0.29399999999999998</c:v>
                </c:pt>
                <c:pt idx="33">
                  <c:v>0.34699999999999998</c:v>
                </c:pt>
                <c:pt idx="34">
                  <c:v>0.39999999999999997</c:v>
                </c:pt>
                <c:pt idx="35">
                  <c:v>0.45300000000000001</c:v>
                </c:pt>
                <c:pt idx="36">
                  <c:v>0.503</c:v>
                </c:pt>
                <c:pt idx="37">
                  <c:v>0.55300000000000005</c:v>
                </c:pt>
                <c:pt idx="38">
                  <c:v>0.60300000000000009</c:v>
                </c:pt>
                <c:pt idx="39">
                  <c:v>0.65300000000000014</c:v>
                </c:pt>
                <c:pt idx="40">
                  <c:v>0.70300000000000007</c:v>
                </c:pt>
                <c:pt idx="41">
                  <c:v>0.7350000000000001</c:v>
                </c:pt>
                <c:pt idx="42">
                  <c:v>0.76700000000000013</c:v>
                </c:pt>
                <c:pt idx="43">
                  <c:v>0.79900000000000015</c:v>
                </c:pt>
                <c:pt idx="44">
                  <c:v>0.83100000000000018</c:v>
                </c:pt>
                <c:pt idx="45">
                  <c:v>0.8630000000000001</c:v>
                </c:pt>
                <c:pt idx="46">
                  <c:v>0.87620000000000009</c:v>
                </c:pt>
                <c:pt idx="47">
                  <c:v>0.88940000000000008</c:v>
                </c:pt>
                <c:pt idx="48">
                  <c:v>0.90260000000000007</c:v>
                </c:pt>
                <c:pt idx="49">
                  <c:v>0.91580000000000006</c:v>
                </c:pt>
                <c:pt idx="50">
                  <c:v>0.92900000000000005</c:v>
                </c:pt>
                <c:pt idx="51">
                  <c:v>0.93340000000000001</c:v>
                </c:pt>
                <c:pt idx="52">
                  <c:v>0.93779999999999997</c:v>
                </c:pt>
                <c:pt idx="53">
                  <c:v>0.94219999999999993</c:v>
                </c:pt>
                <c:pt idx="54">
                  <c:v>0.94659999999999989</c:v>
                </c:pt>
                <c:pt idx="55">
                  <c:v>0.95100000000000007</c:v>
                </c:pt>
                <c:pt idx="56">
                  <c:v>0.95520000000000005</c:v>
                </c:pt>
                <c:pt idx="57">
                  <c:v>0.95940000000000003</c:v>
                </c:pt>
                <c:pt idx="58">
                  <c:v>0.96360000000000001</c:v>
                </c:pt>
                <c:pt idx="59">
                  <c:v>0.96779999999999999</c:v>
                </c:pt>
                <c:pt idx="60">
                  <c:v>0.97200000000000009</c:v>
                </c:pt>
                <c:pt idx="61">
                  <c:v>0.97460000000000013</c:v>
                </c:pt>
                <c:pt idx="62">
                  <c:v>0.97720000000000018</c:v>
                </c:pt>
                <c:pt idx="63">
                  <c:v>0.97980000000000023</c:v>
                </c:pt>
                <c:pt idx="64">
                  <c:v>0.98240000000000027</c:v>
                </c:pt>
                <c:pt idx="65">
                  <c:v>0.9850000000000001</c:v>
                </c:pt>
                <c:pt idx="66">
                  <c:v>0.98722857142857157</c:v>
                </c:pt>
                <c:pt idx="67">
                  <c:v>0.98945714285714303</c:v>
                </c:pt>
                <c:pt idx="68">
                  <c:v>0.9916857142857145</c:v>
                </c:pt>
                <c:pt idx="69">
                  <c:v>0.99391428571428597</c:v>
                </c:pt>
                <c:pt idx="70">
                  <c:v>0.99614285714285722</c:v>
                </c:pt>
                <c:pt idx="71">
                  <c:v>0.99691428571428575</c:v>
                </c:pt>
                <c:pt idx="72">
                  <c:v>0.99768571428571429</c:v>
                </c:pt>
                <c:pt idx="73">
                  <c:v>0.99845714285714282</c:v>
                </c:pt>
                <c:pt idx="74">
                  <c:v>0.99922857142857135</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numCache>
            </c:numRef>
          </c:yVal>
          <c:smooth val="0"/>
          <c:extLst>
            <c:ext xmlns:c16="http://schemas.microsoft.com/office/drawing/2014/chart" uri="{C3380CC4-5D6E-409C-BE32-E72D297353CC}">
              <c16:uniqueId val="{0000004F-00E0-4C1C-B38B-8393343D0ADC}"/>
            </c:ext>
          </c:extLst>
        </c:ser>
        <c:ser>
          <c:idx val="3"/>
          <c:order val="3"/>
          <c:tx>
            <c:strRef>
              <c:f>Breast_Ovarian!$DY$6:$DY$7</c:f>
              <c:strCache>
                <c:ptCount val="2"/>
                <c:pt idx="0">
                  <c:v>Ooph</c:v>
                </c:pt>
                <c:pt idx="1">
                  <c:v>BRCA2</c:v>
                </c:pt>
              </c:strCache>
            </c:strRef>
          </c:tx>
          <c:spPr>
            <a:ln w="19050" cap="rnd">
              <a:solidFill>
                <a:schemeClr val="accent4"/>
              </a:solidFill>
              <a:round/>
            </a:ln>
            <a:effectLst/>
          </c:spPr>
          <c:marker>
            <c:symbol val="none"/>
          </c:marker>
          <c:dLbls>
            <c:dLbl>
              <c:idx val="6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00E0-4C1C-B38B-8393343D0ADC}"/>
                </c:ext>
              </c:extLst>
            </c:dLbl>
            <c:dLbl>
              <c:idx val="7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00E0-4C1C-B38B-8393343D0ADC}"/>
                </c:ext>
              </c:extLst>
            </c:dLbl>
            <c:dLbl>
              <c:idx val="80"/>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00E0-4C1C-B38B-8393343D0ADC}"/>
                </c:ext>
              </c:extLst>
            </c:dLbl>
            <c:numFmt formatCode="0%" sourceLinked="0"/>
            <c:spPr>
              <a:solidFill>
                <a:sysClr val="window" lastClr="FFFFFF"/>
              </a:solidFill>
              <a:ln>
                <a:noFill/>
              </a:ln>
              <a:effectLst/>
            </c:spPr>
            <c:txPr>
              <a:bodyPr rot="0" spcFirstLastPara="1" vertOverflow="ellipsis" horzOverflow="clip" vert="horz" wrap="square" lIns="0" tIns="0" rIns="0" bIns="0" anchor="ctr" anchorCtr="1">
                <a:spAutoFit/>
              </a:bodyPr>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Breast_Ovarian!$DY$8:$DY$108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5.0000000000000001E-3</c:v>
                </c:pt>
                <c:pt idx="27">
                  <c:v>0.01</c:v>
                </c:pt>
                <c:pt idx="28">
                  <c:v>1.4999999999999999E-2</c:v>
                </c:pt>
                <c:pt idx="29">
                  <c:v>0.02</c:v>
                </c:pt>
                <c:pt idx="30">
                  <c:v>2.5000000000000001E-2</c:v>
                </c:pt>
                <c:pt idx="31">
                  <c:v>8.3600000000000008E-2</c:v>
                </c:pt>
                <c:pt idx="32">
                  <c:v>0.14219999999999999</c:v>
                </c:pt>
                <c:pt idx="33">
                  <c:v>0.20079999999999998</c:v>
                </c:pt>
                <c:pt idx="34">
                  <c:v>0.25939999999999996</c:v>
                </c:pt>
                <c:pt idx="35">
                  <c:v>0.318</c:v>
                </c:pt>
                <c:pt idx="36">
                  <c:v>0.3584</c:v>
                </c:pt>
                <c:pt idx="37">
                  <c:v>0.39879999999999999</c:v>
                </c:pt>
                <c:pt idx="38">
                  <c:v>0.43919999999999998</c:v>
                </c:pt>
                <c:pt idx="39">
                  <c:v>0.47959999999999997</c:v>
                </c:pt>
                <c:pt idx="40">
                  <c:v>0.52</c:v>
                </c:pt>
                <c:pt idx="41">
                  <c:v>0.55700000000000005</c:v>
                </c:pt>
                <c:pt idx="42">
                  <c:v>0.59400000000000008</c:v>
                </c:pt>
                <c:pt idx="43">
                  <c:v>0.63100000000000012</c:v>
                </c:pt>
                <c:pt idx="44">
                  <c:v>0.66800000000000015</c:v>
                </c:pt>
                <c:pt idx="45">
                  <c:v>0.70500000000000007</c:v>
                </c:pt>
                <c:pt idx="46">
                  <c:v>0.72820000000000007</c:v>
                </c:pt>
                <c:pt idx="47">
                  <c:v>0.75140000000000007</c:v>
                </c:pt>
                <c:pt idx="48">
                  <c:v>0.77460000000000007</c:v>
                </c:pt>
                <c:pt idx="49">
                  <c:v>0.79780000000000006</c:v>
                </c:pt>
                <c:pt idx="50">
                  <c:v>0.82100000000000006</c:v>
                </c:pt>
                <c:pt idx="51">
                  <c:v>0.83460000000000001</c:v>
                </c:pt>
                <c:pt idx="52">
                  <c:v>0.84819999999999995</c:v>
                </c:pt>
                <c:pt idx="53">
                  <c:v>0.8617999999999999</c:v>
                </c:pt>
                <c:pt idx="54">
                  <c:v>0.87539999999999984</c:v>
                </c:pt>
                <c:pt idx="55">
                  <c:v>0.88900000000000001</c:v>
                </c:pt>
                <c:pt idx="56">
                  <c:v>0.8962</c:v>
                </c:pt>
                <c:pt idx="57">
                  <c:v>0.90339999999999998</c:v>
                </c:pt>
                <c:pt idx="58">
                  <c:v>0.91059999999999997</c:v>
                </c:pt>
                <c:pt idx="59">
                  <c:v>0.91779999999999995</c:v>
                </c:pt>
                <c:pt idx="60">
                  <c:v>0.92500000000000004</c:v>
                </c:pt>
                <c:pt idx="61">
                  <c:v>0.92680000000000007</c:v>
                </c:pt>
                <c:pt idx="62">
                  <c:v>0.92860000000000009</c:v>
                </c:pt>
                <c:pt idx="63">
                  <c:v>0.93040000000000012</c:v>
                </c:pt>
                <c:pt idx="64">
                  <c:v>0.93220000000000014</c:v>
                </c:pt>
                <c:pt idx="65">
                  <c:v>0.93400000000000005</c:v>
                </c:pt>
                <c:pt idx="66">
                  <c:v>0.93554285714285723</c:v>
                </c:pt>
                <c:pt idx="67">
                  <c:v>0.93708571428571441</c:v>
                </c:pt>
                <c:pt idx="68">
                  <c:v>0.93862857142857159</c:v>
                </c:pt>
                <c:pt idx="69">
                  <c:v>0.94017142857142877</c:v>
                </c:pt>
                <c:pt idx="70">
                  <c:v>0.94171428571428573</c:v>
                </c:pt>
                <c:pt idx="71">
                  <c:v>0.94300000000000006</c:v>
                </c:pt>
                <c:pt idx="72">
                  <c:v>0.94428571428571439</c:v>
                </c:pt>
                <c:pt idx="73">
                  <c:v>0.94557142857142873</c:v>
                </c:pt>
                <c:pt idx="74">
                  <c:v>0.94685714285714306</c:v>
                </c:pt>
                <c:pt idx="75">
                  <c:v>0.94814285714285718</c:v>
                </c:pt>
                <c:pt idx="76">
                  <c:v>0.94917142857142855</c:v>
                </c:pt>
                <c:pt idx="77">
                  <c:v>0.95019999999999993</c:v>
                </c:pt>
                <c:pt idx="78">
                  <c:v>0.95122857142857131</c:v>
                </c:pt>
                <c:pt idx="79">
                  <c:v>0.95225714285714269</c:v>
                </c:pt>
                <c:pt idx="80">
                  <c:v>0.95328571428571429</c:v>
                </c:pt>
                <c:pt idx="81">
                  <c:v>0.95405714285714283</c:v>
                </c:pt>
                <c:pt idx="82">
                  <c:v>0.95482857142857136</c:v>
                </c:pt>
                <c:pt idx="83">
                  <c:v>0.95559999999999989</c:v>
                </c:pt>
                <c:pt idx="84">
                  <c:v>0.95637142857142843</c:v>
                </c:pt>
                <c:pt idx="85">
                  <c:v>0.95714285714285718</c:v>
                </c:pt>
                <c:pt idx="86">
                  <c:v>0.95765714285714287</c:v>
                </c:pt>
                <c:pt idx="87">
                  <c:v>0.95817142857142856</c:v>
                </c:pt>
                <c:pt idx="88">
                  <c:v>0.95868571428571425</c:v>
                </c:pt>
                <c:pt idx="89">
                  <c:v>0.95919999999999994</c:v>
                </c:pt>
                <c:pt idx="90">
                  <c:v>0.95971428571428574</c:v>
                </c:pt>
                <c:pt idx="91">
                  <c:v>0.95997142857142859</c:v>
                </c:pt>
                <c:pt idx="92">
                  <c:v>0.96022857142857143</c:v>
                </c:pt>
                <c:pt idx="93">
                  <c:v>0.96048571428571428</c:v>
                </c:pt>
                <c:pt idx="94">
                  <c:v>0.96074285714285712</c:v>
                </c:pt>
                <c:pt idx="95">
                  <c:v>0.96100000000000008</c:v>
                </c:pt>
                <c:pt idx="96">
                  <c:v>0.96100000000000008</c:v>
                </c:pt>
                <c:pt idx="97">
                  <c:v>0.96100000000000008</c:v>
                </c:pt>
                <c:pt idx="98">
                  <c:v>0.96100000000000008</c:v>
                </c:pt>
                <c:pt idx="99">
                  <c:v>0.96100000000000008</c:v>
                </c:pt>
                <c:pt idx="100">
                  <c:v>0.96100000000000008</c:v>
                </c:pt>
              </c:numCache>
            </c:numRef>
          </c:yVal>
          <c:smooth val="0"/>
          <c:extLst>
            <c:ext xmlns:c16="http://schemas.microsoft.com/office/drawing/2014/chart" uri="{C3380CC4-5D6E-409C-BE32-E72D297353CC}">
              <c16:uniqueId val="{00000054-00E0-4C1C-B38B-8393343D0ADC}"/>
            </c:ext>
          </c:extLst>
        </c:ser>
        <c:dLbls>
          <c:showLegendKey val="0"/>
          <c:showVal val="0"/>
          <c:showCatName val="0"/>
          <c:showSerName val="0"/>
          <c:showPercent val="0"/>
          <c:showBubbleSize val="0"/>
        </c:dLbls>
        <c:axId val="544141536"/>
        <c:axId val="544141208"/>
      </c:scatterChart>
      <c:valAx>
        <c:axId val="5441415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Age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4141208"/>
        <c:crosses val="autoZero"/>
        <c:crossBetween val="midCat"/>
      </c:valAx>
      <c:valAx>
        <c:axId val="54414120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4141536"/>
        <c:crosses val="autoZero"/>
        <c:crossBetween val="midCat"/>
      </c:valAx>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Intervention Uptake Probability by Age</a:t>
            </a:r>
          </a:p>
        </c:rich>
      </c:tx>
      <c:overlay val="0"/>
      <c:spPr>
        <a:noFill/>
        <a:ln>
          <a:noFill/>
        </a:ln>
        <a:effectLst/>
      </c:spPr>
    </c:title>
    <c:autoTitleDeleted val="0"/>
    <c:plotArea>
      <c:layout/>
      <c:scatterChart>
        <c:scatterStyle val="lineMarker"/>
        <c:varyColors val="0"/>
        <c:ser>
          <c:idx val="0"/>
          <c:order val="0"/>
          <c:tx>
            <c:strRef>
              <c:f>Breast_Ovarian!$DO$6:$DO$7</c:f>
              <c:strCache>
                <c:ptCount val="2"/>
                <c:pt idx="0">
                  <c:v>Mast</c:v>
                </c:pt>
                <c:pt idx="1">
                  <c:v>BRCA1</c:v>
                </c:pt>
              </c:strCache>
            </c:strRef>
          </c:tx>
          <c:spPr>
            <a:ln w="19050" cap="rnd">
              <a:solidFill>
                <a:schemeClr val="accent1"/>
              </a:solidFill>
              <a:round/>
            </a:ln>
            <a:effectLst/>
          </c:spPr>
          <c:marker>
            <c:symbol val="none"/>
          </c:marker>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Breast_Ovarian!$DO$6:$DO$108</c:f>
              <c:numCache>
                <c:formatCode>General</c:formatCode>
                <c:ptCount val="103"/>
                <c:pt idx="0">
                  <c:v>0</c:v>
                </c:pt>
                <c:pt idx="1">
                  <c:v>0</c:v>
                </c:pt>
                <c:pt idx="2" formatCode="0.0000">
                  <c:v>0</c:v>
                </c:pt>
                <c:pt idx="3" formatCode="0.0000">
                  <c:v>0</c:v>
                </c:pt>
                <c:pt idx="4" formatCode="0.0000">
                  <c:v>0</c:v>
                </c:pt>
                <c:pt idx="5" formatCode="0.0000">
                  <c:v>0</c:v>
                </c:pt>
                <c:pt idx="6" formatCode="0.0000">
                  <c:v>0</c:v>
                </c:pt>
                <c:pt idx="7" formatCode="0.0000">
                  <c:v>0</c:v>
                </c:pt>
                <c:pt idx="8" formatCode="0.0000">
                  <c:v>0</c:v>
                </c:pt>
                <c:pt idx="9" formatCode="0.0000">
                  <c:v>0</c:v>
                </c:pt>
                <c:pt idx="10" formatCode="0.0000">
                  <c:v>0</c:v>
                </c:pt>
                <c:pt idx="11" formatCode="0.0000">
                  <c:v>0</c:v>
                </c:pt>
                <c:pt idx="12" formatCode="0.0000">
                  <c:v>0</c:v>
                </c:pt>
                <c:pt idx="13" formatCode="0.0000">
                  <c:v>0</c:v>
                </c:pt>
                <c:pt idx="14" formatCode="0.0000">
                  <c:v>0</c:v>
                </c:pt>
                <c:pt idx="15" formatCode="0.0000">
                  <c:v>0</c:v>
                </c:pt>
                <c:pt idx="16" formatCode="0.0000">
                  <c:v>0</c:v>
                </c:pt>
                <c:pt idx="17" formatCode="0.0000">
                  <c:v>0</c:v>
                </c:pt>
                <c:pt idx="18" formatCode="0.0000">
                  <c:v>1.0800000000000001E-2</c:v>
                </c:pt>
                <c:pt idx="19" formatCode="0.0000">
                  <c:v>1.0800000000000001E-2</c:v>
                </c:pt>
                <c:pt idx="20" formatCode="0.0000">
                  <c:v>1.0799999999999997E-2</c:v>
                </c:pt>
                <c:pt idx="21" formatCode="0.0000">
                  <c:v>1.0800000000000004E-2</c:v>
                </c:pt>
                <c:pt idx="22" formatCode="0.0000">
                  <c:v>1.0799999999999997E-2</c:v>
                </c:pt>
                <c:pt idx="23" formatCode="0.0000">
                  <c:v>1.6800000000000002E-2</c:v>
                </c:pt>
                <c:pt idx="24" formatCode="0.0000">
                  <c:v>1.6800000000000009E-2</c:v>
                </c:pt>
                <c:pt idx="25" formatCode="0.0000">
                  <c:v>1.6800000000000009E-2</c:v>
                </c:pt>
                <c:pt idx="26" formatCode="0.0000">
                  <c:v>1.6800000000000009E-2</c:v>
                </c:pt>
                <c:pt idx="27" formatCode="0.0000">
                  <c:v>1.6799999999999982E-2</c:v>
                </c:pt>
                <c:pt idx="28" formatCode="0.0000">
                  <c:v>2.0799999999999985E-2</c:v>
                </c:pt>
                <c:pt idx="29" formatCode="0.0000">
                  <c:v>2.0799999999999985E-2</c:v>
                </c:pt>
                <c:pt idx="30" formatCode="0.0000">
                  <c:v>2.0799999999999985E-2</c:v>
                </c:pt>
                <c:pt idx="31" formatCode="0.0000">
                  <c:v>2.0799999999999985E-2</c:v>
                </c:pt>
                <c:pt idx="32" formatCode="0.0000">
                  <c:v>2.0800000000000041E-2</c:v>
                </c:pt>
                <c:pt idx="33" formatCode="0.0000">
                  <c:v>2.0199999999999996E-2</c:v>
                </c:pt>
                <c:pt idx="34" formatCode="0.0000">
                  <c:v>2.0199999999999996E-2</c:v>
                </c:pt>
                <c:pt idx="35" formatCode="0.0000">
                  <c:v>2.0199999999999996E-2</c:v>
                </c:pt>
                <c:pt idx="36" formatCode="0.0000">
                  <c:v>2.0199999999999996E-2</c:v>
                </c:pt>
                <c:pt idx="37" formatCode="0.0000">
                  <c:v>2.0199999999999996E-2</c:v>
                </c:pt>
                <c:pt idx="38" formatCode="0.0000">
                  <c:v>1.26E-2</c:v>
                </c:pt>
                <c:pt idx="39" formatCode="0.0000">
                  <c:v>1.26E-2</c:v>
                </c:pt>
                <c:pt idx="40" formatCode="0.0000">
                  <c:v>1.26E-2</c:v>
                </c:pt>
                <c:pt idx="41" formatCode="0.0000">
                  <c:v>1.26E-2</c:v>
                </c:pt>
                <c:pt idx="42" formatCode="0.0000">
                  <c:v>1.26E-2</c:v>
                </c:pt>
                <c:pt idx="43" formatCode="0.0000">
                  <c:v>4.400000000000015E-3</c:v>
                </c:pt>
                <c:pt idx="44" formatCode="0.0000">
                  <c:v>4.400000000000015E-3</c:v>
                </c:pt>
                <c:pt idx="45" formatCode="0.0000">
                  <c:v>4.400000000000015E-3</c:v>
                </c:pt>
                <c:pt idx="46" formatCode="0.0000">
                  <c:v>4.400000000000015E-3</c:v>
                </c:pt>
                <c:pt idx="47" formatCode="0.0000">
                  <c:v>4.3999999999999595E-3</c:v>
                </c:pt>
                <c:pt idx="48" formatCode="0.0000">
                  <c:v>7.1999999999999842E-3</c:v>
                </c:pt>
                <c:pt idx="49" formatCode="0.0000">
                  <c:v>7.1999999999999842E-3</c:v>
                </c:pt>
                <c:pt idx="50" formatCode="0.0000">
                  <c:v>7.1999999999999842E-3</c:v>
                </c:pt>
                <c:pt idx="51" formatCode="0.0000">
                  <c:v>7.1999999999999842E-3</c:v>
                </c:pt>
                <c:pt idx="52" formatCode="0.0000">
                  <c:v>7.2000000000000397E-3</c:v>
                </c:pt>
                <c:pt idx="53" formatCode="0.0000">
                  <c:v>0</c:v>
                </c:pt>
                <c:pt idx="54" formatCode="0.0000">
                  <c:v>0</c:v>
                </c:pt>
                <c:pt idx="55" formatCode="0.0000">
                  <c:v>0</c:v>
                </c:pt>
                <c:pt idx="56" formatCode="0.0000">
                  <c:v>0</c:v>
                </c:pt>
                <c:pt idx="57" formatCode="0.0000">
                  <c:v>0</c:v>
                </c:pt>
                <c:pt idx="58" formatCode="0.0000">
                  <c:v>0</c:v>
                </c:pt>
                <c:pt idx="59" formatCode="0.0000">
                  <c:v>0</c:v>
                </c:pt>
                <c:pt idx="60" formatCode="0.0000">
                  <c:v>0</c:v>
                </c:pt>
                <c:pt idx="61" formatCode="0.0000">
                  <c:v>0</c:v>
                </c:pt>
                <c:pt idx="62" formatCode="0.0000">
                  <c:v>0</c:v>
                </c:pt>
                <c:pt idx="63" formatCode="0.0000">
                  <c:v>0</c:v>
                </c:pt>
                <c:pt idx="64" formatCode="0.0000">
                  <c:v>0</c:v>
                </c:pt>
                <c:pt idx="65" formatCode="0.0000">
                  <c:v>0</c:v>
                </c:pt>
                <c:pt idx="66" formatCode="0.0000">
                  <c:v>0</c:v>
                </c:pt>
                <c:pt idx="67" formatCode="0.0000">
                  <c:v>0</c:v>
                </c:pt>
                <c:pt idx="68" formatCode="0.0000">
                  <c:v>0</c:v>
                </c:pt>
                <c:pt idx="69" formatCode="0.0000">
                  <c:v>0</c:v>
                </c:pt>
                <c:pt idx="70" formatCode="0.0000">
                  <c:v>0</c:v>
                </c:pt>
                <c:pt idx="71" formatCode="0.0000">
                  <c:v>0</c:v>
                </c:pt>
                <c:pt idx="72" formatCode="0.0000">
                  <c:v>0</c:v>
                </c:pt>
                <c:pt idx="73" formatCode="0.0000">
                  <c:v>0</c:v>
                </c:pt>
                <c:pt idx="74" formatCode="0.0000">
                  <c:v>0</c:v>
                </c:pt>
                <c:pt idx="75" formatCode="0.0000">
                  <c:v>0</c:v>
                </c:pt>
                <c:pt idx="76" formatCode="0.0000">
                  <c:v>0</c:v>
                </c:pt>
                <c:pt idx="77" formatCode="0.0000">
                  <c:v>0</c:v>
                </c:pt>
                <c:pt idx="78" formatCode="0.0000">
                  <c:v>0</c:v>
                </c:pt>
                <c:pt idx="79" formatCode="0.0000">
                  <c:v>0</c:v>
                </c:pt>
                <c:pt idx="80" formatCode="0.0000">
                  <c:v>0</c:v>
                </c:pt>
                <c:pt idx="81" formatCode="0.0000">
                  <c:v>0</c:v>
                </c:pt>
                <c:pt idx="82" formatCode="0.0000">
                  <c:v>0</c:v>
                </c:pt>
                <c:pt idx="83" formatCode="0.0000">
                  <c:v>0</c:v>
                </c:pt>
                <c:pt idx="84" formatCode="0.0000">
                  <c:v>0</c:v>
                </c:pt>
                <c:pt idx="85" formatCode="0.0000">
                  <c:v>0</c:v>
                </c:pt>
                <c:pt idx="86" formatCode="0.0000">
                  <c:v>0</c:v>
                </c:pt>
                <c:pt idx="87" formatCode="0.0000">
                  <c:v>0</c:v>
                </c:pt>
                <c:pt idx="88" formatCode="0.0000">
                  <c:v>0</c:v>
                </c:pt>
                <c:pt idx="89" formatCode="0.0000">
                  <c:v>0</c:v>
                </c:pt>
                <c:pt idx="90" formatCode="0.0000">
                  <c:v>0</c:v>
                </c:pt>
                <c:pt idx="91" formatCode="0.0000">
                  <c:v>0</c:v>
                </c:pt>
                <c:pt idx="92" formatCode="0.0000">
                  <c:v>0</c:v>
                </c:pt>
                <c:pt idx="93" formatCode="0.0000">
                  <c:v>0</c:v>
                </c:pt>
                <c:pt idx="94" formatCode="0.0000">
                  <c:v>0</c:v>
                </c:pt>
                <c:pt idx="95" formatCode="0.0000">
                  <c:v>0</c:v>
                </c:pt>
                <c:pt idx="96" formatCode="0.0000">
                  <c:v>0</c:v>
                </c:pt>
                <c:pt idx="97" formatCode="0.0000">
                  <c:v>0</c:v>
                </c:pt>
                <c:pt idx="98" formatCode="0.0000">
                  <c:v>0</c:v>
                </c:pt>
                <c:pt idx="99" formatCode="0.0000">
                  <c:v>0</c:v>
                </c:pt>
                <c:pt idx="100" formatCode="0.0000">
                  <c:v>0</c:v>
                </c:pt>
                <c:pt idx="101" formatCode="0.0000">
                  <c:v>0</c:v>
                </c:pt>
                <c:pt idx="102" formatCode="0.0000">
                  <c:v>0</c:v>
                </c:pt>
              </c:numCache>
            </c:numRef>
          </c:yVal>
          <c:smooth val="0"/>
          <c:extLst>
            <c:ext xmlns:c16="http://schemas.microsoft.com/office/drawing/2014/chart" uri="{C3380CC4-5D6E-409C-BE32-E72D297353CC}">
              <c16:uniqueId val="{0000000B-B200-4649-BF6A-BA47F523B144}"/>
            </c:ext>
          </c:extLst>
        </c:ser>
        <c:ser>
          <c:idx val="1"/>
          <c:order val="1"/>
          <c:tx>
            <c:strRef>
              <c:f>Breast_Ovarian!$DP$6:$DP$7</c:f>
              <c:strCache>
                <c:ptCount val="2"/>
                <c:pt idx="0">
                  <c:v>Mast</c:v>
                </c:pt>
                <c:pt idx="1">
                  <c:v>BRCA2</c:v>
                </c:pt>
              </c:strCache>
            </c:strRef>
          </c:tx>
          <c:spPr>
            <a:ln w="19050" cap="rnd">
              <a:solidFill>
                <a:schemeClr val="accent6"/>
              </a:solidFill>
              <a:round/>
            </a:ln>
            <a:effectLst/>
          </c:spPr>
          <c:marker>
            <c:symbol val="none"/>
          </c:marker>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Breast_Ovarian!$DP$6:$DP$108</c:f>
              <c:numCache>
                <c:formatCode>General</c:formatCode>
                <c:ptCount val="103"/>
                <c:pt idx="0">
                  <c:v>0</c:v>
                </c:pt>
                <c:pt idx="1">
                  <c:v>0</c:v>
                </c:pt>
                <c:pt idx="2" formatCode="0.0000">
                  <c:v>0</c:v>
                </c:pt>
                <c:pt idx="3" formatCode="0.0000">
                  <c:v>0</c:v>
                </c:pt>
                <c:pt idx="4" formatCode="0.0000">
                  <c:v>0</c:v>
                </c:pt>
                <c:pt idx="5" formatCode="0.0000">
                  <c:v>0</c:v>
                </c:pt>
                <c:pt idx="6" formatCode="0.0000">
                  <c:v>0</c:v>
                </c:pt>
                <c:pt idx="7" formatCode="0.0000">
                  <c:v>0</c:v>
                </c:pt>
                <c:pt idx="8" formatCode="0.0000">
                  <c:v>0</c:v>
                </c:pt>
                <c:pt idx="9" formatCode="0.0000">
                  <c:v>0</c:v>
                </c:pt>
                <c:pt idx="10" formatCode="0.0000">
                  <c:v>0</c:v>
                </c:pt>
                <c:pt idx="11" formatCode="0.0000">
                  <c:v>0</c:v>
                </c:pt>
                <c:pt idx="12" formatCode="0.0000">
                  <c:v>0</c:v>
                </c:pt>
                <c:pt idx="13" formatCode="0.0000">
                  <c:v>0</c:v>
                </c:pt>
                <c:pt idx="14" formatCode="0.0000">
                  <c:v>0</c:v>
                </c:pt>
                <c:pt idx="15" formatCode="0.0000">
                  <c:v>0</c:v>
                </c:pt>
                <c:pt idx="16" formatCode="0.0000">
                  <c:v>0</c:v>
                </c:pt>
                <c:pt idx="17" formatCode="0.0000">
                  <c:v>0</c:v>
                </c:pt>
                <c:pt idx="18" formatCode="0.0000">
                  <c:v>0</c:v>
                </c:pt>
                <c:pt idx="19" formatCode="0.0000">
                  <c:v>0</c:v>
                </c:pt>
                <c:pt idx="20" formatCode="0.0000">
                  <c:v>0</c:v>
                </c:pt>
                <c:pt idx="21" formatCode="0.0000">
                  <c:v>0</c:v>
                </c:pt>
                <c:pt idx="22" formatCode="0.0000">
                  <c:v>0</c:v>
                </c:pt>
                <c:pt idx="23" formatCode="0.0000">
                  <c:v>8.4000000000000012E-3</c:v>
                </c:pt>
                <c:pt idx="24" formatCode="0.0000">
                  <c:v>8.4000000000000012E-3</c:v>
                </c:pt>
                <c:pt idx="25" formatCode="0.0000">
                  <c:v>8.4000000000000012E-3</c:v>
                </c:pt>
                <c:pt idx="26" formatCode="0.0000">
                  <c:v>8.4000000000000012E-3</c:v>
                </c:pt>
                <c:pt idx="27" formatCode="0.0000">
                  <c:v>8.3999999999999977E-3</c:v>
                </c:pt>
                <c:pt idx="28" formatCode="0.0000">
                  <c:v>2.0999999999999998E-2</c:v>
                </c:pt>
                <c:pt idx="29" formatCode="0.0000">
                  <c:v>2.0999999999999991E-2</c:v>
                </c:pt>
                <c:pt idx="30" formatCode="0.0000">
                  <c:v>2.0999999999999991E-2</c:v>
                </c:pt>
                <c:pt idx="31" formatCode="0.0000">
                  <c:v>2.0999999999999991E-2</c:v>
                </c:pt>
                <c:pt idx="32" formatCode="0.0000">
                  <c:v>2.1000000000000019E-2</c:v>
                </c:pt>
                <c:pt idx="33" formatCode="0.0000">
                  <c:v>2.6600000000000013E-2</c:v>
                </c:pt>
                <c:pt idx="34" formatCode="0.0000">
                  <c:v>2.6600000000000013E-2</c:v>
                </c:pt>
                <c:pt idx="35" formatCode="0.0000">
                  <c:v>2.6600000000000013E-2</c:v>
                </c:pt>
                <c:pt idx="36" formatCode="0.0000">
                  <c:v>2.6599999999999985E-2</c:v>
                </c:pt>
                <c:pt idx="37" formatCode="0.0000">
                  <c:v>2.6600000000000013E-2</c:v>
                </c:pt>
                <c:pt idx="38" formatCode="0.0000">
                  <c:v>1.7000000000000015E-2</c:v>
                </c:pt>
                <c:pt idx="39" formatCode="0.0000">
                  <c:v>1.7000000000000015E-2</c:v>
                </c:pt>
                <c:pt idx="40" formatCode="0.0000">
                  <c:v>1.7000000000000015E-2</c:v>
                </c:pt>
                <c:pt idx="41" formatCode="0.0000">
                  <c:v>1.7000000000000015E-2</c:v>
                </c:pt>
                <c:pt idx="42" formatCode="0.0000">
                  <c:v>1.699999999999996E-2</c:v>
                </c:pt>
                <c:pt idx="43" formatCode="0.0000">
                  <c:v>1.1799999999999977E-2</c:v>
                </c:pt>
                <c:pt idx="44" formatCode="0.0000">
                  <c:v>1.1799999999999977E-2</c:v>
                </c:pt>
                <c:pt idx="45" formatCode="0.0000">
                  <c:v>1.1799999999999977E-2</c:v>
                </c:pt>
                <c:pt idx="46" formatCode="0.0000">
                  <c:v>1.1799999999999977E-2</c:v>
                </c:pt>
                <c:pt idx="47" formatCode="0.0000">
                  <c:v>1.1800000000000088E-2</c:v>
                </c:pt>
                <c:pt idx="48" formatCode="0.0000">
                  <c:v>6.1999999999999833E-3</c:v>
                </c:pt>
                <c:pt idx="49" formatCode="0.0000">
                  <c:v>6.1999999999999833E-3</c:v>
                </c:pt>
                <c:pt idx="50" formatCode="0.0000">
                  <c:v>6.1999999999999833E-3</c:v>
                </c:pt>
                <c:pt idx="51" formatCode="0.0000">
                  <c:v>6.1999999999999833E-3</c:v>
                </c:pt>
                <c:pt idx="52" formatCode="0.0000">
                  <c:v>6.2000000000000943E-3</c:v>
                </c:pt>
                <c:pt idx="53" formatCode="0.0000">
                  <c:v>2.0000000000000018E-3</c:v>
                </c:pt>
                <c:pt idx="54" formatCode="0.0000">
                  <c:v>2.0000000000000018E-3</c:v>
                </c:pt>
                <c:pt idx="55" formatCode="0.0000">
                  <c:v>2.0000000000000018E-3</c:v>
                </c:pt>
                <c:pt idx="56" formatCode="0.0000">
                  <c:v>2.0000000000000018E-3</c:v>
                </c:pt>
                <c:pt idx="57" formatCode="0.0000">
                  <c:v>2.0000000000000018E-3</c:v>
                </c:pt>
                <c:pt idx="58" formatCode="0.0000">
                  <c:v>0</c:v>
                </c:pt>
                <c:pt idx="59" formatCode="0.0000">
                  <c:v>0</c:v>
                </c:pt>
                <c:pt idx="60" formatCode="0.0000">
                  <c:v>0</c:v>
                </c:pt>
                <c:pt idx="61" formatCode="0.0000">
                  <c:v>0</c:v>
                </c:pt>
                <c:pt idx="62" formatCode="0.0000">
                  <c:v>0</c:v>
                </c:pt>
                <c:pt idx="63" formatCode="0.0000">
                  <c:v>0</c:v>
                </c:pt>
                <c:pt idx="64" formatCode="0.0000">
                  <c:v>0</c:v>
                </c:pt>
                <c:pt idx="65" formatCode="0.0000">
                  <c:v>0</c:v>
                </c:pt>
                <c:pt idx="66" formatCode="0.0000">
                  <c:v>0</c:v>
                </c:pt>
                <c:pt idx="67" formatCode="0.0000">
                  <c:v>0</c:v>
                </c:pt>
                <c:pt idx="68" formatCode="0.0000">
                  <c:v>0</c:v>
                </c:pt>
                <c:pt idx="69" formatCode="0.0000">
                  <c:v>0</c:v>
                </c:pt>
                <c:pt idx="70" formatCode="0.0000">
                  <c:v>0</c:v>
                </c:pt>
                <c:pt idx="71" formatCode="0.0000">
                  <c:v>0</c:v>
                </c:pt>
                <c:pt idx="72" formatCode="0.0000">
                  <c:v>0</c:v>
                </c:pt>
                <c:pt idx="73" formatCode="0.0000">
                  <c:v>0</c:v>
                </c:pt>
                <c:pt idx="74" formatCode="0.0000">
                  <c:v>0</c:v>
                </c:pt>
                <c:pt idx="75" formatCode="0.0000">
                  <c:v>0</c:v>
                </c:pt>
                <c:pt idx="76" formatCode="0.0000">
                  <c:v>0</c:v>
                </c:pt>
                <c:pt idx="77" formatCode="0.0000">
                  <c:v>0</c:v>
                </c:pt>
                <c:pt idx="78" formatCode="0.0000">
                  <c:v>0</c:v>
                </c:pt>
                <c:pt idx="79" formatCode="0.0000">
                  <c:v>0</c:v>
                </c:pt>
                <c:pt idx="80" formatCode="0.0000">
                  <c:v>0</c:v>
                </c:pt>
                <c:pt idx="81" formatCode="0.0000">
                  <c:v>0</c:v>
                </c:pt>
                <c:pt idx="82" formatCode="0.0000">
                  <c:v>0</c:v>
                </c:pt>
                <c:pt idx="83" formatCode="0.0000">
                  <c:v>0</c:v>
                </c:pt>
                <c:pt idx="84" formatCode="0.0000">
                  <c:v>0</c:v>
                </c:pt>
                <c:pt idx="85" formatCode="0.0000">
                  <c:v>0</c:v>
                </c:pt>
                <c:pt idx="86" formatCode="0.0000">
                  <c:v>0</c:v>
                </c:pt>
                <c:pt idx="87" formatCode="0.0000">
                  <c:v>0</c:v>
                </c:pt>
                <c:pt idx="88" formatCode="0.0000">
                  <c:v>0</c:v>
                </c:pt>
                <c:pt idx="89" formatCode="0.0000">
                  <c:v>0</c:v>
                </c:pt>
                <c:pt idx="90" formatCode="0.0000">
                  <c:v>0</c:v>
                </c:pt>
                <c:pt idx="91" formatCode="0.0000">
                  <c:v>0</c:v>
                </c:pt>
                <c:pt idx="92" formatCode="0.0000">
                  <c:v>0</c:v>
                </c:pt>
                <c:pt idx="93" formatCode="0.0000">
                  <c:v>0</c:v>
                </c:pt>
                <c:pt idx="94" formatCode="0.0000">
                  <c:v>0</c:v>
                </c:pt>
                <c:pt idx="95" formatCode="0.0000">
                  <c:v>0</c:v>
                </c:pt>
                <c:pt idx="96" formatCode="0.0000">
                  <c:v>0</c:v>
                </c:pt>
                <c:pt idx="97" formatCode="0.0000">
                  <c:v>0</c:v>
                </c:pt>
                <c:pt idx="98" formatCode="0.0000">
                  <c:v>0</c:v>
                </c:pt>
                <c:pt idx="99" formatCode="0.0000">
                  <c:v>0</c:v>
                </c:pt>
                <c:pt idx="100" formatCode="0.0000">
                  <c:v>0</c:v>
                </c:pt>
                <c:pt idx="101" formatCode="0.0000">
                  <c:v>0</c:v>
                </c:pt>
                <c:pt idx="102" formatCode="0.0000">
                  <c:v>0</c:v>
                </c:pt>
              </c:numCache>
            </c:numRef>
          </c:yVal>
          <c:smooth val="0"/>
          <c:extLst>
            <c:ext xmlns:c16="http://schemas.microsoft.com/office/drawing/2014/chart" uri="{C3380CC4-5D6E-409C-BE32-E72D297353CC}">
              <c16:uniqueId val="{00000012-B200-4649-BF6A-BA47F523B144}"/>
            </c:ext>
          </c:extLst>
        </c:ser>
        <c:ser>
          <c:idx val="2"/>
          <c:order val="2"/>
          <c:tx>
            <c:strRef>
              <c:f>Breast_Ovarian!$DR$6:$DR$7</c:f>
              <c:strCache>
                <c:ptCount val="2"/>
                <c:pt idx="0">
                  <c:v>Ooph</c:v>
                </c:pt>
                <c:pt idx="1">
                  <c:v>BRCA1</c:v>
                </c:pt>
              </c:strCache>
            </c:strRef>
          </c:tx>
          <c:spPr>
            <a:ln w="19050" cap="rnd">
              <a:solidFill>
                <a:schemeClr val="accent3"/>
              </a:solidFill>
              <a:round/>
            </a:ln>
            <a:effectLst/>
          </c:spPr>
          <c:marker>
            <c:symbol val="none"/>
          </c:marker>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Breast_Ovarian!$DR$6:$DR$108</c:f>
              <c:numCache>
                <c:formatCode>General</c:formatCode>
                <c:ptCount val="103"/>
                <c:pt idx="0">
                  <c:v>0</c:v>
                </c:pt>
                <c:pt idx="1">
                  <c:v>0</c:v>
                </c:pt>
                <c:pt idx="2" formatCode="0.0000">
                  <c:v>0</c:v>
                </c:pt>
                <c:pt idx="3" formatCode="0.0000">
                  <c:v>0</c:v>
                </c:pt>
                <c:pt idx="4" formatCode="0.0000">
                  <c:v>0</c:v>
                </c:pt>
                <c:pt idx="5" formatCode="0.0000">
                  <c:v>0</c:v>
                </c:pt>
                <c:pt idx="6" formatCode="0.0000">
                  <c:v>0</c:v>
                </c:pt>
                <c:pt idx="7" formatCode="0.0000">
                  <c:v>0</c:v>
                </c:pt>
                <c:pt idx="8" formatCode="0.0000">
                  <c:v>0</c:v>
                </c:pt>
                <c:pt idx="9" formatCode="0.0000">
                  <c:v>0</c:v>
                </c:pt>
                <c:pt idx="10" formatCode="0.0000">
                  <c:v>0</c:v>
                </c:pt>
                <c:pt idx="11" formatCode="0.0000">
                  <c:v>0</c:v>
                </c:pt>
                <c:pt idx="12" formatCode="0.0000">
                  <c:v>0</c:v>
                </c:pt>
                <c:pt idx="13" formatCode="0.0000">
                  <c:v>0</c:v>
                </c:pt>
                <c:pt idx="14" formatCode="0.0000">
                  <c:v>0</c:v>
                </c:pt>
                <c:pt idx="15" formatCode="0.0000">
                  <c:v>0</c:v>
                </c:pt>
                <c:pt idx="16" formatCode="0.0000">
                  <c:v>0</c:v>
                </c:pt>
                <c:pt idx="17" formatCode="0.0000">
                  <c:v>0</c:v>
                </c:pt>
                <c:pt idx="18" formatCode="0.0000">
                  <c:v>0</c:v>
                </c:pt>
                <c:pt idx="19" formatCode="0.0000">
                  <c:v>0</c:v>
                </c:pt>
                <c:pt idx="20" formatCode="0.0000">
                  <c:v>0</c:v>
                </c:pt>
                <c:pt idx="21" formatCode="0.0000">
                  <c:v>0</c:v>
                </c:pt>
                <c:pt idx="22" formatCode="0.0000">
                  <c:v>0</c:v>
                </c:pt>
                <c:pt idx="23" formatCode="0.0000">
                  <c:v>7.000000000000001E-3</c:v>
                </c:pt>
                <c:pt idx="24" formatCode="0.0000">
                  <c:v>7.000000000000001E-3</c:v>
                </c:pt>
                <c:pt idx="25" formatCode="0.0000">
                  <c:v>7.0000000000000027E-3</c:v>
                </c:pt>
                <c:pt idx="26" formatCode="0.0000">
                  <c:v>6.9999999999999993E-3</c:v>
                </c:pt>
                <c:pt idx="27" formatCode="0.0000">
                  <c:v>6.9999999999999993E-3</c:v>
                </c:pt>
                <c:pt idx="28" formatCode="0.0000">
                  <c:v>3.0600000000000002E-2</c:v>
                </c:pt>
                <c:pt idx="29" formatCode="0.0000">
                  <c:v>3.0600000000000002E-2</c:v>
                </c:pt>
                <c:pt idx="30" formatCode="0.0000">
                  <c:v>3.0599999999999988E-2</c:v>
                </c:pt>
                <c:pt idx="31" formatCode="0.0000">
                  <c:v>3.0599999999999988E-2</c:v>
                </c:pt>
                <c:pt idx="32" formatCode="0.0000">
                  <c:v>3.0600000000000016E-2</c:v>
                </c:pt>
                <c:pt idx="33" formatCode="0.0000">
                  <c:v>5.2999999999999992E-2</c:v>
                </c:pt>
                <c:pt idx="34" formatCode="0.0000">
                  <c:v>5.2999999999999992E-2</c:v>
                </c:pt>
                <c:pt idx="35" formatCode="0.0000">
                  <c:v>5.2999999999999992E-2</c:v>
                </c:pt>
                <c:pt idx="36" formatCode="0.0000">
                  <c:v>5.2999999999999992E-2</c:v>
                </c:pt>
                <c:pt idx="37" formatCode="0.0000">
                  <c:v>5.3000000000000047E-2</c:v>
                </c:pt>
                <c:pt idx="38" formatCode="0.0000">
                  <c:v>4.9999999999999989E-2</c:v>
                </c:pt>
                <c:pt idx="39" formatCode="0.0000">
                  <c:v>5.0000000000000044E-2</c:v>
                </c:pt>
                <c:pt idx="40" formatCode="0.0000">
                  <c:v>5.0000000000000044E-2</c:v>
                </c:pt>
                <c:pt idx="41" formatCode="0.0000">
                  <c:v>5.0000000000000044E-2</c:v>
                </c:pt>
                <c:pt idx="42" formatCode="0.0000">
                  <c:v>4.9999999999999933E-2</c:v>
                </c:pt>
                <c:pt idx="43" formatCode="0.0000">
                  <c:v>3.2000000000000028E-2</c:v>
                </c:pt>
                <c:pt idx="44" formatCode="0.0000">
                  <c:v>3.2000000000000028E-2</c:v>
                </c:pt>
                <c:pt idx="45" formatCode="0.0000">
                  <c:v>3.2000000000000028E-2</c:v>
                </c:pt>
                <c:pt idx="46" formatCode="0.0000">
                  <c:v>3.2000000000000028E-2</c:v>
                </c:pt>
                <c:pt idx="47" formatCode="0.0000">
                  <c:v>3.1999999999999917E-2</c:v>
                </c:pt>
                <c:pt idx="48" formatCode="0.0000">
                  <c:v>1.319999999999999E-2</c:v>
                </c:pt>
                <c:pt idx="49" formatCode="0.0000">
                  <c:v>1.319999999999999E-2</c:v>
                </c:pt>
                <c:pt idx="50" formatCode="0.0000">
                  <c:v>1.319999999999999E-2</c:v>
                </c:pt>
                <c:pt idx="51" formatCode="0.0000">
                  <c:v>1.319999999999999E-2</c:v>
                </c:pt>
                <c:pt idx="52" formatCode="0.0000">
                  <c:v>1.319999999999999E-2</c:v>
                </c:pt>
                <c:pt idx="53" formatCode="0.0000">
                  <c:v>4.3999999999999595E-3</c:v>
                </c:pt>
                <c:pt idx="54" formatCode="0.0000">
                  <c:v>4.3999999999999595E-3</c:v>
                </c:pt>
                <c:pt idx="55" formatCode="0.0000">
                  <c:v>4.3999999999999595E-3</c:v>
                </c:pt>
                <c:pt idx="56" formatCode="0.0000">
                  <c:v>4.3999999999999595E-3</c:v>
                </c:pt>
                <c:pt idx="57" formatCode="0.0000">
                  <c:v>4.4000000000001815E-3</c:v>
                </c:pt>
                <c:pt idx="58" formatCode="0.0000">
                  <c:v>4.1999999999999815E-3</c:v>
                </c:pt>
                <c:pt idx="59" formatCode="0.0000">
                  <c:v>4.1999999999999815E-3</c:v>
                </c:pt>
                <c:pt idx="60" formatCode="0.0000">
                  <c:v>4.1999999999999815E-3</c:v>
                </c:pt>
                <c:pt idx="61" formatCode="0.0000">
                  <c:v>4.1999999999999815E-3</c:v>
                </c:pt>
                <c:pt idx="62" formatCode="0.0000">
                  <c:v>4.2000000000000925E-3</c:v>
                </c:pt>
                <c:pt idx="63" formatCode="0.0000">
                  <c:v>2.6000000000000467E-3</c:v>
                </c:pt>
                <c:pt idx="64" formatCode="0.0000">
                  <c:v>2.6000000000000467E-3</c:v>
                </c:pt>
                <c:pt idx="65" formatCode="0.0000">
                  <c:v>2.6000000000000467E-3</c:v>
                </c:pt>
                <c:pt idx="66" formatCode="0.0000">
                  <c:v>2.6000000000000467E-3</c:v>
                </c:pt>
                <c:pt idx="67" formatCode="0.0000">
                  <c:v>2.5999999999998247E-3</c:v>
                </c:pt>
                <c:pt idx="68" formatCode="0.0000">
                  <c:v>2.2285714285714686E-3</c:v>
                </c:pt>
                <c:pt idx="69" formatCode="0.0000">
                  <c:v>2.2285714285714686E-3</c:v>
                </c:pt>
                <c:pt idx="70" formatCode="0.0000">
                  <c:v>2.2285714285714686E-3</c:v>
                </c:pt>
                <c:pt idx="71" formatCode="0.0000">
                  <c:v>2.2285714285714686E-3</c:v>
                </c:pt>
                <c:pt idx="72" formatCode="0.0000">
                  <c:v>2.2285714285712466E-3</c:v>
                </c:pt>
                <c:pt idx="73" formatCode="0.0000">
                  <c:v>7.7142857142853405E-4</c:v>
                </c:pt>
                <c:pt idx="74" formatCode="0.0000">
                  <c:v>7.7142857142853405E-4</c:v>
                </c:pt>
                <c:pt idx="75" formatCode="0.0000">
                  <c:v>7.7142857142853405E-4</c:v>
                </c:pt>
                <c:pt idx="76" formatCode="0.0000">
                  <c:v>7.7142857142853405E-4</c:v>
                </c:pt>
                <c:pt idx="77" formatCode="0.0000">
                  <c:v>7.7142857142864507E-4</c:v>
                </c:pt>
                <c:pt idx="78" formatCode="0.0000">
                  <c:v>0</c:v>
                </c:pt>
                <c:pt idx="79" formatCode="0.0000">
                  <c:v>0</c:v>
                </c:pt>
                <c:pt idx="80" formatCode="0.0000">
                  <c:v>0</c:v>
                </c:pt>
                <c:pt idx="81" formatCode="0.0000">
                  <c:v>0</c:v>
                </c:pt>
                <c:pt idx="82" formatCode="0.0000">
                  <c:v>0</c:v>
                </c:pt>
                <c:pt idx="83" formatCode="0.0000">
                  <c:v>0</c:v>
                </c:pt>
                <c:pt idx="84" formatCode="0.0000">
                  <c:v>0</c:v>
                </c:pt>
                <c:pt idx="85" formatCode="0.0000">
                  <c:v>0</c:v>
                </c:pt>
                <c:pt idx="86" formatCode="0.0000">
                  <c:v>0</c:v>
                </c:pt>
                <c:pt idx="87" formatCode="0.0000">
                  <c:v>0</c:v>
                </c:pt>
                <c:pt idx="88" formatCode="0.0000">
                  <c:v>0</c:v>
                </c:pt>
                <c:pt idx="89" formatCode="0.0000">
                  <c:v>0</c:v>
                </c:pt>
                <c:pt idx="90" formatCode="0.0000">
                  <c:v>0</c:v>
                </c:pt>
                <c:pt idx="91" formatCode="0.0000">
                  <c:v>0</c:v>
                </c:pt>
                <c:pt idx="92" formatCode="0.0000">
                  <c:v>0</c:v>
                </c:pt>
                <c:pt idx="93" formatCode="0.0000">
                  <c:v>0</c:v>
                </c:pt>
                <c:pt idx="94" formatCode="0.0000">
                  <c:v>0</c:v>
                </c:pt>
                <c:pt idx="95" formatCode="0.0000">
                  <c:v>0</c:v>
                </c:pt>
                <c:pt idx="96" formatCode="0.0000">
                  <c:v>0</c:v>
                </c:pt>
                <c:pt idx="97" formatCode="0.0000">
                  <c:v>0</c:v>
                </c:pt>
                <c:pt idx="98" formatCode="0.0000">
                  <c:v>0</c:v>
                </c:pt>
                <c:pt idx="99" formatCode="0.0000">
                  <c:v>0</c:v>
                </c:pt>
                <c:pt idx="100" formatCode="0.0000">
                  <c:v>0</c:v>
                </c:pt>
                <c:pt idx="101" formatCode="0.0000">
                  <c:v>0</c:v>
                </c:pt>
                <c:pt idx="102" formatCode="0.0000">
                  <c:v>0</c:v>
                </c:pt>
              </c:numCache>
            </c:numRef>
          </c:yVal>
          <c:smooth val="0"/>
          <c:extLst>
            <c:ext xmlns:c16="http://schemas.microsoft.com/office/drawing/2014/chart" uri="{C3380CC4-5D6E-409C-BE32-E72D297353CC}">
              <c16:uniqueId val="{00000019-B200-4649-BF6A-BA47F523B144}"/>
            </c:ext>
          </c:extLst>
        </c:ser>
        <c:ser>
          <c:idx val="3"/>
          <c:order val="3"/>
          <c:tx>
            <c:strRef>
              <c:f>Breast_Ovarian!$DS$6:$DS$7</c:f>
              <c:strCache>
                <c:ptCount val="2"/>
                <c:pt idx="0">
                  <c:v>Ooph</c:v>
                </c:pt>
                <c:pt idx="1">
                  <c:v>BRCA2</c:v>
                </c:pt>
              </c:strCache>
            </c:strRef>
          </c:tx>
          <c:spPr>
            <a:ln w="19050" cap="rnd">
              <a:solidFill>
                <a:schemeClr val="accent4"/>
              </a:solidFill>
              <a:round/>
            </a:ln>
            <a:effectLst/>
          </c:spPr>
          <c:marker>
            <c:symbol val="none"/>
          </c:marker>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Breast_Ovarian!$DS$6:$DS$108</c:f>
              <c:numCache>
                <c:formatCode>General</c:formatCode>
                <c:ptCount val="103"/>
                <c:pt idx="0">
                  <c:v>0</c:v>
                </c:pt>
                <c:pt idx="1">
                  <c:v>0</c:v>
                </c:pt>
                <c:pt idx="2" formatCode="0.0000">
                  <c:v>0</c:v>
                </c:pt>
                <c:pt idx="3" formatCode="0.0000">
                  <c:v>0</c:v>
                </c:pt>
                <c:pt idx="4" formatCode="0.0000">
                  <c:v>0</c:v>
                </c:pt>
                <c:pt idx="5" formatCode="0.0000">
                  <c:v>0</c:v>
                </c:pt>
                <c:pt idx="6" formatCode="0.0000">
                  <c:v>0</c:v>
                </c:pt>
                <c:pt idx="7" formatCode="0.0000">
                  <c:v>0</c:v>
                </c:pt>
                <c:pt idx="8" formatCode="0.0000">
                  <c:v>0</c:v>
                </c:pt>
                <c:pt idx="9" formatCode="0.0000">
                  <c:v>0</c:v>
                </c:pt>
                <c:pt idx="10" formatCode="0.0000">
                  <c:v>0</c:v>
                </c:pt>
                <c:pt idx="11" formatCode="0.0000">
                  <c:v>0</c:v>
                </c:pt>
                <c:pt idx="12" formatCode="0.0000">
                  <c:v>0</c:v>
                </c:pt>
                <c:pt idx="13" formatCode="0.0000">
                  <c:v>0</c:v>
                </c:pt>
                <c:pt idx="14" formatCode="0.0000">
                  <c:v>0</c:v>
                </c:pt>
                <c:pt idx="15" formatCode="0.0000">
                  <c:v>0</c:v>
                </c:pt>
                <c:pt idx="16" formatCode="0.0000">
                  <c:v>0</c:v>
                </c:pt>
                <c:pt idx="17" formatCode="0.0000">
                  <c:v>0</c:v>
                </c:pt>
                <c:pt idx="18" formatCode="0.0000">
                  <c:v>0</c:v>
                </c:pt>
                <c:pt idx="19" formatCode="0.0000">
                  <c:v>0</c:v>
                </c:pt>
                <c:pt idx="20" formatCode="0.0000">
                  <c:v>0</c:v>
                </c:pt>
                <c:pt idx="21" formatCode="0.0000">
                  <c:v>0</c:v>
                </c:pt>
                <c:pt idx="22" formatCode="0.0000">
                  <c:v>0</c:v>
                </c:pt>
                <c:pt idx="23" formatCode="0.0000">
                  <c:v>0</c:v>
                </c:pt>
                <c:pt idx="24" formatCode="0.0000">
                  <c:v>0</c:v>
                </c:pt>
                <c:pt idx="25" formatCode="0.0000">
                  <c:v>0</c:v>
                </c:pt>
                <c:pt idx="26" formatCode="0.0000">
                  <c:v>0</c:v>
                </c:pt>
                <c:pt idx="27" formatCode="0.0000">
                  <c:v>0</c:v>
                </c:pt>
                <c:pt idx="28" formatCode="0.0000">
                  <c:v>5.0000000000000001E-3</c:v>
                </c:pt>
                <c:pt idx="29" formatCode="0.0000">
                  <c:v>5.0000000000000001E-3</c:v>
                </c:pt>
                <c:pt idx="30" formatCode="0.0000">
                  <c:v>4.9999999999999992E-3</c:v>
                </c:pt>
                <c:pt idx="31" formatCode="0.0000">
                  <c:v>5.000000000000001E-3</c:v>
                </c:pt>
                <c:pt idx="32" formatCode="0.0000">
                  <c:v>5.000000000000001E-3</c:v>
                </c:pt>
                <c:pt idx="33" formatCode="0.0000">
                  <c:v>5.8600000000000006E-2</c:v>
                </c:pt>
                <c:pt idx="34" formatCode="0.0000">
                  <c:v>5.8599999999999985E-2</c:v>
                </c:pt>
                <c:pt idx="35" formatCode="0.0000">
                  <c:v>5.8599999999999985E-2</c:v>
                </c:pt>
                <c:pt idx="36" formatCode="0.0000">
                  <c:v>5.8599999999999985E-2</c:v>
                </c:pt>
                <c:pt idx="37" formatCode="0.0000">
                  <c:v>5.8600000000000041E-2</c:v>
                </c:pt>
                <c:pt idx="38" formatCode="0.0000">
                  <c:v>4.0399999999999991E-2</c:v>
                </c:pt>
                <c:pt idx="39" formatCode="0.0000">
                  <c:v>4.0399999999999991E-2</c:v>
                </c:pt>
                <c:pt idx="40" formatCode="0.0000">
                  <c:v>4.0399999999999991E-2</c:v>
                </c:pt>
                <c:pt idx="41" formatCode="0.0000">
                  <c:v>4.0399999999999991E-2</c:v>
                </c:pt>
                <c:pt idx="42" formatCode="0.0000">
                  <c:v>4.0400000000000047E-2</c:v>
                </c:pt>
                <c:pt idx="43" formatCode="0.0000">
                  <c:v>3.7000000000000033E-2</c:v>
                </c:pt>
                <c:pt idx="44" formatCode="0.0000">
                  <c:v>3.7000000000000033E-2</c:v>
                </c:pt>
                <c:pt idx="45" formatCode="0.0000">
                  <c:v>3.7000000000000033E-2</c:v>
                </c:pt>
                <c:pt idx="46" formatCode="0.0000">
                  <c:v>3.7000000000000033E-2</c:v>
                </c:pt>
                <c:pt idx="47" formatCode="0.0000">
                  <c:v>3.6999999999999922E-2</c:v>
                </c:pt>
                <c:pt idx="48" formatCode="0.0000">
                  <c:v>2.3199999999999998E-2</c:v>
                </c:pt>
                <c:pt idx="49" formatCode="0.0000">
                  <c:v>2.3199999999999998E-2</c:v>
                </c:pt>
                <c:pt idx="50" formatCode="0.0000">
                  <c:v>2.3199999999999998E-2</c:v>
                </c:pt>
                <c:pt idx="51" formatCode="0.0000">
                  <c:v>2.3199999999999998E-2</c:v>
                </c:pt>
                <c:pt idx="52" formatCode="0.0000">
                  <c:v>2.3199999999999998E-2</c:v>
                </c:pt>
                <c:pt idx="53" formatCode="0.0000">
                  <c:v>1.3599999999999945E-2</c:v>
                </c:pt>
                <c:pt idx="54" formatCode="0.0000">
                  <c:v>1.3599999999999945E-2</c:v>
                </c:pt>
                <c:pt idx="55" formatCode="0.0000">
                  <c:v>1.3599999999999945E-2</c:v>
                </c:pt>
                <c:pt idx="56" formatCode="0.0000">
                  <c:v>1.3599999999999945E-2</c:v>
                </c:pt>
                <c:pt idx="57" formatCode="0.0000">
                  <c:v>1.3600000000000168E-2</c:v>
                </c:pt>
                <c:pt idx="58" formatCode="0.0000">
                  <c:v>7.1999999999999842E-3</c:v>
                </c:pt>
                <c:pt idx="59" formatCode="0.0000">
                  <c:v>7.1999999999999842E-3</c:v>
                </c:pt>
                <c:pt idx="60" formatCode="0.0000">
                  <c:v>7.1999999999999842E-3</c:v>
                </c:pt>
                <c:pt idx="61" formatCode="0.0000">
                  <c:v>7.1999999999999842E-3</c:v>
                </c:pt>
                <c:pt idx="62" formatCode="0.0000">
                  <c:v>7.2000000000000952E-3</c:v>
                </c:pt>
                <c:pt idx="63" formatCode="0.0000">
                  <c:v>1.8000000000000238E-3</c:v>
                </c:pt>
                <c:pt idx="64" formatCode="0.0000">
                  <c:v>1.8000000000000238E-3</c:v>
                </c:pt>
                <c:pt idx="65" formatCode="0.0000">
                  <c:v>1.8000000000000238E-3</c:v>
                </c:pt>
                <c:pt idx="66" formatCode="0.0000">
                  <c:v>1.8000000000000238E-3</c:v>
                </c:pt>
                <c:pt idx="67" formatCode="0.0000">
                  <c:v>1.7999999999999128E-3</c:v>
                </c:pt>
                <c:pt idx="68" formatCode="0.0000">
                  <c:v>1.5428571428571791E-3</c:v>
                </c:pt>
                <c:pt idx="69" formatCode="0.0000">
                  <c:v>1.5428571428571791E-3</c:v>
                </c:pt>
                <c:pt idx="70" formatCode="0.0000">
                  <c:v>1.5428571428571791E-3</c:v>
                </c:pt>
                <c:pt idx="71" formatCode="0.0000">
                  <c:v>1.5428571428571791E-3</c:v>
                </c:pt>
                <c:pt idx="72" formatCode="0.0000">
                  <c:v>1.5428571428569571E-3</c:v>
                </c:pt>
                <c:pt idx="73" formatCode="0.0000">
                  <c:v>1.2857142857143344E-3</c:v>
                </c:pt>
                <c:pt idx="74" formatCode="0.0000">
                  <c:v>1.2857142857143344E-3</c:v>
                </c:pt>
                <c:pt idx="75" formatCode="0.0000">
                  <c:v>1.2857142857143344E-3</c:v>
                </c:pt>
                <c:pt idx="76" formatCode="0.0000">
                  <c:v>1.2857142857143344E-3</c:v>
                </c:pt>
                <c:pt idx="77" formatCode="0.0000">
                  <c:v>1.2857142857141124E-3</c:v>
                </c:pt>
                <c:pt idx="78" formatCode="0.0000">
                  <c:v>1.0285714285713787E-3</c:v>
                </c:pt>
                <c:pt idx="79" formatCode="0.0000">
                  <c:v>1.0285714285713787E-3</c:v>
                </c:pt>
                <c:pt idx="80" formatCode="0.0000">
                  <c:v>1.0285714285713787E-3</c:v>
                </c:pt>
                <c:pt idx="81" formatCode="0.0000">
                  <c:v>1.0285714285713787E-3</c:v>
                </c:pt>
                <c:pt idx="82" formatCode="0.0000">
                  <c:v>1.0285714285716008E-3</c:v>
                </c:pt>
                <c:pt idx="83" formatCode="0.0000">
                  <c:v>7.7142857142853405E-4</c:v>
                </c:pt>
                <c:pt idx="84" formatCode="0.0000">
                  <c:v>7.7142857142853405E-4</c:v>
                </c:pt>
                <c:pt idx="85" formatCode="0.0000">
                  <c:v>7.7142857142853405E-4</c:v>
                </c:pt>
                <c:pt idx="86" formatCode="0.0000">
                  <c:v>7.7142857142853405E-4</c:v>
                </c:pt>
                <c:pt idx="87" formatCode="0.0000">
                  <c:v>7.7142857142875609E-4</c:v>
                </c:pt>
                <c:pt idx="88" formatCode="0.0000">
                  <c:v>5.1428571428568937E-4</c:v>
                </c:pt>
                <c:pt idx="89" formatCode="0.0000">
                  <c:v>5.1428571428568937E-4</c:v>
                </c:pt>
                <c:pt idx="90" formatCode="0.0000">
                  <c:v>5.1428571428568937E-4</c:v>
                </c:pt>
                <c:pt idx="91" formatCode="0.0000">
                  <c:v>5.1428571428568937E-4</c:v>
                </c:pt>
                <c:pt idx="92" formatCode="0.0000">
                  <c:v>5.1428571428580039E-4</c:v>
                </c:pt>
                <c:pt idx="93" formatCode="0.0000">
                  <c:v>2.5714285714284468E-4</c:v>
                </c:pt>
                <c:pt idx="94" formatCode="0.0000">
                  <c:v>2.5714285714284468E-4</c:v>
                </c:pt>
                <c:pt idx="95" formatCode="0.0000">
                  <c:v>2.5714285714284468E-4</c:v>
                </c:pt>
                <c:pt idx="96" formatCode="0.0000">
                  <c:v>2.5714285714284468E-4</c:v>
                </c:pt>
                <c:pt idx="97" formatCode="0.0000">
                  <c:v>2.5714285714295571E-4</c:v>
                </c:pt>
                <c:pt idx="98" formatCode="0.0000">
                  <c:v>0</c:v>
                </c:pt>
                <c:pt idx="99" formatCode="0.0000">
                  <c:v>0</c:v>
                </c:pt>
                <c:pt idx="100" formatCode="0.0000">
                  <c:v>0</c:v>
                </c:pt>
                <c:pt idx="101" formatCode="0.0000">
                  <c:v>0</c:v>
                </c:pt>
                <c:pt idx="102" formatCode="0.0000">
                  <c:v>0</c:v>
                </c:pt>
              </c:numCache>
            </c:numRef>
          </c:yVal>
          <c:smooth val="0"/>
          <c:extLst>
            <c:ext xmlns:c16="http://schemas.microsoft.com/office/drawing/2014/chart" uri="{C3380CC4-5D6E-409C-BE32-E72D297353CC}">
              <c16:uniqueId val="{0000001E-B200-4649-BF6A-BA47F523B144}"/>
            </c:ext>
          </c:extLst>
        </c:ser>
        <c:dLbls>
          <c:showLegendKey val="0"/>
          <c:showVal val="0"/>
          <c:showCatName val="0"/>
          <c:showSerName val="0"/>
          <c:showPercent val="0"/>
          <c:showBubbleSize val="0"/>
        </c:dLbls>
        <c:axId val="544141536"/>
        <c:axId val="544141208"/>
      </c:scatterChart>
      <c:valAx>
        <c:axId val="5441415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Age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4141208"/>
        <c:crosses val="autoZero"/>
        <c:crossBetween val="midCat"/>
      </c:valAx>
      <c:valAx>
        <c:axId val="544141208"/>
        <c:scaling>
          <c:orientation val="minMax"/>
          <c:max val="6.0000000000000012E-2"/>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4141536"/>
        <c:crosses val="autoZero"/>
        <c:crossBetween val="midCat"/>
      </c:valAx>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Cancer Incidence by Age</a:t>
            </a:r>
          </a:p>
        </c:rich>
      </c:tx>
      <c:overlay val="0"/>
      <c:spPr>
        <a:noFill/>
        <a:ln>
          <a:noFill/>
        </a:ln>
        <a:effectLst/>
      </c:spPr>
    </c:title>
    <c:autoTitleDeleted val="0"/>
    <c:plotArea>
      <c:layout/>
      <c:scatterChart>
        <c:scatterStyle val="lineMarker"/>
        <c:varyColors val="0"/>
        <c:ser>
          <c:idx val="0"/>
          <c:order val="0"/>
          <c:tx>
            <c:strRef>
              <c:f>Breast_Ovarian!$DC$6:$DC$7</c:f>
              <c:strCache>
                <c:ptCount val="2"/>
                <c:pt idx="0">
                  <c:v>BC</c:v>
                </c:pt>
                <c:pt idx="1">
                  <c:v>BRCA1</c:v>
                </c:pt>
              </c:strCache>
            </c:strRef>
          </c:tx>
          <c:spPr>
            <a:ln w="19050" cap="rnd">
              <a:solidFill>
                <a:schemeClr val="accent1"/>
              </a:solidFill>
              <a:round/>
            </a:ln>
            <a:effectLst/>
          </c:spPr>
          <c:marker>
            <c:symbol val="none"/>
          </c:marker>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Breast_Ovarian!$DC$8:$DC$108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5.8826291794038532E-3</c:v>
                </c:pt>
                <c:pt idx="22">
                  <c:v>5.8826291794038532E-3</c:v>
                </c:pt>
                <c:pt idx="23">
                  <c:v>5.8826291794038532E-3</c:v>
                </c:pt>
                <c:pt idx="24">
                  <c:v>5.8826291794038532E-3</c:v>
                </c:pt>
                <c:pt idx="25">
                  <c:v>5.8826291794038532E-3</c:v>
                </c:pt>
                <c:pt idx="26">
                  <c:v>5.8826291794038532E-3</c:v>
                </c:pt>
                <c:pt idx="27">
                  <c:v>5.8826291794038532E-3</c:v>
                </c:pt>
                <c:pt idx="28">
                  <c:v>5.8826291794038532E-3</c:v>
                </c:pt>
                <c:pt idx="29">
                  <c:v>5.8826291794038532E-3</c:v>
                </c:pt>
                <c:pt idx="30">
                  <c:v>5.8826291794038532E-3</c:v>
                </c:pt>
                <c:pt idx="31">
                  <c:v>2.3226025331156142E-2</c:v>
                </c:pt>
                <c:pt idx="32">
                  <c:v>2.3226025331156142E-2</c:v>
                </c:pt>
                <c:pt idx="33">
                  <c:v>2.3226025331156142E-2</c:v>
                </c:pt>
                <c:pt idx="34">
                  <c:v>2.3226025331156142E-2</c:v>
                </c:pt>
                <c:pt idx="35">
                  <c:v>2.3226025331156142E-2</c:v>
                </c:pt>
                <c:pt idx="36">
                  <c:v>2.3226025331156142E-2</c:v>
                </c:pt>
                <c:pt idx="37">
                  <c:v>2.3226025331156142E-2</c:v>
                </c:pt>
                <c:pt idx="38">
                  <c:v>2.3226025331156142E-2</c:v>
                </c:pt>
                <c:pt idx="39">
                  <c:v>2.3226025331156142E-2</c:v>
                </c:pt>
                <c:pt idx="40">
                  <c:v>2.3226025331156142E-2</c:v>
                </c:pt>
                <c:pt idx="41">
                  <c:v>2.7903305955692348E-2</c:v>
                </c:pt>
                <c:pt idx="42">
                  <c:v>2.7903305955692348E-2</c:v>
                </c:pt>
                <c:pt idx="43">
                  <c:v>2.7903305955692348E-2</c:v>
                </c:pt>
                <c:pt idx="44">
                  <c:v>2.7903305955692348E-2</c:v>
                </c:pt>
                <c:pt idx="45">
                  <c:v>2.7903305955692348E-2</c:v>
                </c:pt>
                <c:pt idx="46">
                  <c:v>2.7903305955692348E-2</c:v>
                </c:pt>
                <c:pt idx="47">
                  <c:v>2.7903305955692348E-2</c:v>
                </c:pt>
                <c:pt idx="48">
                  <c:v>2.7903305955692348E-2</c:v>
                </c:pt>
                <c:pt idx="49">
                  <c:v>2.7903305955692348E-2</c:v>
                </c:pt>
                <c:pt idx="50">
                  <c:v>2.7903305955692348E-2</c:v>
                </c:pt>
                <c:pt idx="51">
                  <c:v>2.537256601490423E-2</c:v>
                </c:pt>
                <c:pt idx="52">
                  <c:v>2.537256601490423E-2</c:v>
                </c:pt>
                <c:pt idx="53">
                  <c:v>2.537256601490423E-2</c:v>
                </c:pt>
                <c:pt idx="54">
                  <c:v>2.537256601490423E-2</c:v>
                </c:pt>
                <c:pt idx="55">
                  <c:v>2.537256601490423E-2</c:v>
                </c:pt>
                <c:pt idx="56">
                  <c:v>2.537256601490423E-2</c:v>
                </c:pt>
                <c:pt idx="57">
                  <c:v>2.537256601490423E-2</c:v>
                </c:pt>
                <c:pt idx="58">
                  <c:v>2.537256601490423E-2</c:v>
                </c:pt>
                <c:pt idx="59">
                  <c:v>2.537256601490423E-2</c:v>
                </c:pt>
                <c:pt idx="60">
                  <c:v>2.537256601490423E-2</c:v>
                </c:pt>
                <c:pt idx="61">
                  <c:v>2.4690087971667385E-2</c:v>
                </c:pt>
                <c:pt idx="62">
                  <c:v>2.4690087971667385E-2</c:v>
                </c:pt>
                <c:pt idx="63">
                  <c:v>2.4690087971667385E-2</c:v>
                </c:pt>
                <c:pt idx="64">
                  <c:v>2.4690087971667385E-2</c:v>
                </c:pt>
                <c:pt idx="65">
                  <c:v>2.4690087971667385E-2</c:v>
                </c:pt>
                <c:pt idx="66">
                  <c:v>2.4690087971667385E-2</c:v>
                </c:pt>
                <c:pt idx="67">
                  <c:v>2.4690087971667385E-2</c:v>
                </c:pt>
                <c:pt idx="68">
                  <c:v>2.4690087971667385E-2</c:v>
                </c:pt>
                <c:pt idx="69">
                  <c:v>2.4690087971667385E-2</c:v>
                </c:pt>
                <c:pt idx="70">
                  <c:v>2.4690087971667385E-2</c:v>
                </c:pt>
                <c:pt idx="71">
                  <c:v>1.636462060932764E-2</c:v>
                </c:pt>
                <c:pt idx="72">
                  <c:v>1.636462060932764E-2</c:v>
                </c:pt>
                <c:pt idx="73">
                  <c:v>1.636462060932764E-2</c:v>
                </c:pt>
                <c:pt idx="74">
                  <c:v>1.636462060932764E-2</c:v>
                </c:pt>
                <c:pt idx="75">
                  <c:v>1.636462060932764E-2</c:v>
                </c:pt>
                <c:pt idx="76">
                  <c:v>1.636462060932764E-2</c:v>
                </c:pt>
                <c:pt idx="77">
                  <c:v>1.636462060932764E-2</c:v>
                </c:pt>
                <c:pt idx="78">
                  <c:v>1.636462060932764E-2</c:v>
                </c:pt>
                <c:pt idx="79">
                  <c:v>1.636462060932764E-2</c:v>
                </c:pt>
                <c:pt idx="80">
                  <c:v>1.636462060932764E-2</c:v>
                </c:pt>
                <c:pt idx="81">
                  <c:v>8.2160621432345593E-3</c:v>
                </c:pt>
                <c:pt idx="82">
                  <c:v>8.2160621432345593E-3</c:v>
                </c:pt>
                <c:pt idx="83">
                  <c:v>8.2160621432345593E-3</c:v>
                </c:pt>
                <c:pt idx="84">
                  <c:v>8.2160621432345593E-3</c:v>
                </c:pt>
                <c:pt idx="85">
                  <c:v>8.2160621432345593E-3</c:v>
                </c:pt>
                <c:pt idx="86">
                  <c:v>8.2160621432345593E-3</c:v>
                </c:pt>
                <c:pt idx="87">
                  <c:v>8.2160621432345593E-3</c:v>
                </c:pt>
                <c:pt idx="88">
                  <c:v>8.2160621432345593E-3</c:v>
                </c:pt>
                <c:pt idx="89">
                  <c:v>8.2160621432345593E-3</c:v>
                </c:pt>
                <c:pt idx="90">
                  <c:v>8.2160621432345593E-3</c:v>
                </c:pt>
                <c:pt idx="91">
                  <c:v>8.2160621432345593E-3</c:v>
                </c:pt>
                <c:pt idx="92">
                  <c:v>8.2160621432345593E-3</c:v>
                </c:pt>
                <c:pt idx="93">
                  <c:v>8.2160621432345593E-3</c:v>
                </c:pt>
                <c:pt idx="94">
                  <c:v>8.2160621432345593E-3</c:v>
                </c:pt>
                <c:pt idx="95">
                  <c:v>8.2160621432345593E-3</c:v>
                </c:pt>
                <c:pt idx="96">
                  <c:v>8.2160621432345593E-3</c:v>
                </c:pt>
                <c:pt idx="97">
                  <c:v>8.2160621432345593E-3</c:v>
                </c:pt>
                <c:pt idx="98">
                  <c:v>8.2160621432345593E-3</c:v>
                </c:pt>
                <c:pt idx="99">
                  <c:v>8.2160621432345593E-3</c:v>
                </c:pt>
                <c:pt idx="100">
                  <c:v>0</c:v>
                </c:pt>
              </c:numCache>
            </c:numRef>
          </c:yVal>
          <c:smooth val="0"/>
          <c:extLst>
            <c:ext xmlns:c16="http://schemas.microsoft.com/office/drawing/2014/chart" uri="{C3380CC4-5D6E-409C-BE32-E72D297353CC}">
              <c16:uniqueId val="{00000005-5387-415A-A3CE-A14C7E469B23}"/>
            </c:ext>
          </c:extLst>
        </c:ser>
        <c:ser>
          <c:idx val="1"/>
          <c:order val="1"/>
          <c:tx>
            <c:strRef>
              <c:f>Breast_Ovarian!$DD$6:$DD$7</c:f>
              <c:strCache>
                <c:ptCount val="2"/>
                <c:pt idx="0">
                  <c:v>BC</c:v>
                </c:pt>
                <c:pt idx="1">
                  <c:v>BRCA2</c:v>
                </c:pt>
              </c:strCache>
            </c:strRef>
          </c:tx>
          <c:spPr>
            <a:ln w="19050" cap="rnd">
              <a:solidFill>
                <a:schemeClr val="accent6"/>
              </a:solidFill>
              <a:round/>
            </a:ln>
            <a:effectLst/>
          </c:spPr>
          <c:marker>
            <c:symbol val="none"/>
          </c:marker>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Breast_Ovarian!$DD$8:$DD$108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4.7884984099028083E-3</c:v>
                </c:pt>
                <c:pt idx="31">
                  <c:v>4.7884984099028083E-3</c:v>
                </c:pt>
                <c:pt idx="32">
                  <c:v>4.7884984099028083E-3</c:v>
                </c:pt>
                <c:pt idx="33">
                  <c:v>4.7884984099028083E-3</c:v>
                </c:pt>
                <c:pt idx="34">
                  <c:v>4.7884984099028083E-3</c:v>
                </c:pt>
                <c:pt idx="35">
                  <c:v>4.7884984099028083E-3</c:v>
                </c:pt>
                <c:pt idx="36">
                  <c:v>4.7884984099028083E-3</c:v>
                </c:pt>
                <c:pt idx="37">
                  <c:v>4.7884984099028083E-3</c:v>
                </c:pt>
                <c:pt idx="38">
                  <c:v>4.7884984099028083E-3</c:v>
                </c:pt>
                <c:pt idx="39">
                  <c:v>4.7884984099028083E-3</c:v>
                </c:pt>
                <c:pt idx="40">
                  <c:v>1.0741889386351788E-2</c:v>
                </c:pt>
                <c:pt idx="41">
                  <c:v>1.0741889386351788E-2</c:v>
                </c:pt>
                <c:pt idx="42">
                  <c:v>1.0741889386351788E-2</c:v>
                </c:pt>
                <c:pt idx="43">
                  <c:v>1.0741889386351788E-2</c:v>
                </c:pt>
                <c:pt idx="44">
                  <c:v>1.0741889386351788E-2</c:v>
                </c:pt>
                <c:pt idx="45">
                  <c:v>1.0741889386351788E-2</c:v>
                </c:pt>
                <c:pt idx="46">
                  <c:v>1.0741889386351788E-2</c:v>
                </c:pt>
                <c:pt idx="47">
                  <c:v>1.0741889386351788E-2</c:v>
                </c:pt>
                <c:pt idx="48">
                  <c:v>1.0741889386351788E-2</c:v>
                </c:pt>
                <c:pt idx="49">
                  <c:v>1.0741889386351788E-2</c:v>
                </c:pt>
                <c:pt idx="50">
                  <c:v>2.7125317446546005E-2</c:v>
                </c:pt>
                <c:pt idx="51">
                  <c:v>2.7125317446546005E-2</c:v>
                </c:pt>
                <c:pt idx="52">
                  <c:v>2.7125317446546005E-2</c:v>
                </c:pt>
                <c:pt idx="53">
                  <c:v>2.7125317446546005E-2</c:v>
                </c:pt>
                <c:pt idx="54">
                  <c:v>2.7125317446546005E-2</c:v>
                </c:pt>
                <c:pt idx="55">
                  <c:v>2.7125317446546005E-2</c:v>
                </c:pt>
                <c:pt idx="56">
                  <c:v>2.7125317446546005E-2</c:v>
                </c:pt>
                <c:pt idx="57">
                  <c:v>2.7125317446546005E-2</c:v>
                </c:pt>
                <c:pt idx="58">
                  <c:v>2.7125317446546005E-2</c:v>
                </c:pt>
                <c:pt idx="59">
                  <c:v>2.7125317446546005E-2</c:v>
                </c:pt>
                <c:pt idx="60">
                  <c:v>3.0136559126355711E-2</c:v>
                </c:pt>
                <c:pt idx="61">
                  <c:v>3.0136559126355711E-2</c:v>
                </c:pt>
                <c:pt idx="62">
                  <c:v>3.0136559126355711E-2</c:v>
                </c:pt>
                <c:pt idx="63">
                  <c:v>3.0136559126355711E-2</c:v>
                </c:pt>
                <c:pt idx="64">
                  <c:v>3.0136559126355711E-2</c:v>
                </c:pt>
                <c:pt idx="65">
                  <c:v>3.0136559126355711E-2</c:v>
                </c:pt>
                <c:pt idx="66">
                  <c:v>3.0136559126355711E-2</c:v>
                </c:pt>
                <c:pt idx="67">
                  <c:v>3.0136559126355711E-2</c:v>
                </c:pt>
                <c:pt idx="68">
                  <c:v>3.0136559126355711E-2</c:v>
                </c:pt>
                <c:pt idx="69">
                  <c:v>3.0136559126355711E-2</c:v>
                </c:pt>
                <c:pt idx="70">
                  <c:v>2.2639785091870257E-2</c:v>
                </c:pt>
                <c:pt idx="71">
                  <c:v>2.2639785091870257E-2</c:v>
                </c:pt>
                <c:pt idx="72">
                  <c:v>2.2639785091870257E-2</c:v>
                </c:pt>
                <c:pt idx="73">
                  <c:v>2.2639785091870257E-2</c:v>
                </c:pt>
                <c:pt idx="74">
                  <c:v>2.2639785091870257E-2</c:v>
                </c:pt>
                <c:pt idx="75">
                  <c:v>2.2639785091870257E-2</c:v>
                </c:pt>
                <c:pt idx="76">
                  <c:v>2.2639785091870257E-2</c:v>
                </c:pt>
                <c:pt idx="77">
                  <c:v>2.2639785091870257E-2</c:v>
                </c:pt>
                <c:pt idx="78">
                  <c:v>2.2639785091870257E-2</c:v>
                </c:pt>
                <c:pt idx="79">
                  <c:v>2.2639785091870257E-2</c:v>
                </c:pt>
                <c:pt idx="80">
                  <c:v>2.1661936033920637E-2</c:v>
                </c:pt>
                <c:pt idx="81">
                  <c:v>2.1661936033920637E-2</c:v>
                </c:pt>
                <c:pt idx="82">
                  <c:v>2.1661936033920637E-2</c:v>
                </c:pt>
                <c:pt idx="83">
                  <c:v>2.1661936033920637E-2</c:v>
                </c:pt>
                <c:pt idx="84">
                  <c:v>2.1661936033920637E-2</c:v>
                </c:pt>
                <c:pt idx="85">
                  <c:v>2.1661936033920637E-2</c:v>
                </c:pt>
                <c:pt idx="86">
                  <c:v>2.1661936033920637E-2</c:v>
                </c:pt>
                <c:pt idx="87">
                  <c:v>2.1661936033920637E-2</c:v>
                </c:pt>
                <c:pt idx="88">
                  <c:v>2.1661936033920637E-2</c:v>
                </c:pt>
                <c:pt idx="89">
                  <c:v>2.1661936033920637E-2</c:v>
                </c:pt>
                <c:pt idx="90">
                  <c:v>1.0890266974346585E-2</c:v>
                </c:pt>
                <c:pt idx="91">
                  <c:v>1.0890266974346585E-2</c:v>
                </c:pt>
                <c:pt idx="92">
                  <c:v>1.0890266974346585E-2</c:v>
                </c:pt>
                <c:pt idx="93">
                  <c:v>1.0890266974346585E-2</c:v>
                </c:pt>
                <c:pt idx="94">
                  <c:v>1.0890266974346585E-2</c:v>
                </c:pt>
                <c:pt idx="95">
                  <c:v>1.0890266974346585E-2</c:v>
                </c:pt>
                <c:pt idx="96">
                  <c:v>1.0890266974346585E-2</c:v>
                </c:pt>
                <c:pt idx="97">
                  <c:v>1.0890266974346585E-2</c:v>
                </c:pt>
                <c:pt idx="98">
                  <c:v>1.0890266974346585E-2</c:v>
                </c:pt>
                <c:pt idx="99">
                  <c:v>1.0890266974346585E-2</c:v>
                </c:pt>
                <c:pt idx="100">
                  <c:v>0</c:v>
                </c:pt>
              </c:numCache>
            </c:numRef>
          </c:yVal>
          <c:smooth val="0"/>
          <c:extLst>
            <c:ext xmlns:c16="http://schemas.microsoft.com/office/drawing/2014/chart" uri="{C3380CC4-5D6E-409C-BE32-E72D297353CC}">
              <c16:uniqueId val="{00000007-5387-415A-A3CE-A14C7E469B23}"/>
            </c:ext>
          </c:extLst>
        </c:ser>
        <c:ser>
          <c:idx val="2"/>
          <c:order val="2"/>
          <c:tx>
            <c:strRef>
              <c:f>Breast_Ovarian!$DF$6:$DF$7</c:f>
              <c:strCache>
                <c:ptCount val="2"/>
                <c:pt idx="0">
                  <c:v>OC</c:v>
                </c:pt>
                <c:pt idx="1">
                  <c:v>BRCA1</c:v>
                </c:pt>
              </c:strCache>
            </c:strRef>
          </c:tx>
          <c:spPr>
            <a:ln w="19050" cap="rnd">
              <a:solidFill>
                <a:schemeClr val="accent3"/>
              </a:solidFill>
              <a:round/>
            </a:ln>
            <a:effectLst/>
          </c:spPr>
          <c:marker>
            <c:symbol val="none"/>
          </c:marker>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Breast_Ovarian!$DF$8:$DF$108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1.7983809715627075E-3</c:v>
                </c:pt>
                <c:pt idx="41">
                  <c:v>1.7983809715627075E-3</c:v>
                </c:pt>
                <c:pt idx="42">
                  <c:v>1.7983809715627075E-3</c:v>
                </c:pt>
                <c:pt idx="43">
                  <c:v>1.7983809715627075E-3</c:v>
                </c:pt>
                <c:pt idx="44">
                  <c:v>1.7983809715627075E-3</c:v>
                </c:pt>
                <c:pt idx="45">
                  <c:v>1.7983809715627075E-3</c:v>
                </c:pt>
                <c:pt idx="46">
                  <c:v>1.7983809715627075E-3</c:v>
                </c:pt>
                <c:pt idx="47">
                  <c:v>1.7983809715627075E-3</c:v>
                </c:pt>
                <c:pt idx="48">
                  <c:v>1.7983809715627075E-3</c:v>
                </c:pt>
                <c:pt idx="49">
                  <c:v>1.7983809715627075E-3</c:v>
                </c:pt>
                <c:pt idx="50">
                  <c:v>6.9755570667648925E-3</c:v>
                </c:pt>
                <c:pt idx="51">
                  <c:v>6.9755570667648925E-3</c:v>
                </c:pt>
                <c:pt idx="52">
                  <c:v>6.9755570667648925E-3</c:v>
                </c:pt>
                <c:pt idx="53">
                  <c:v>6.9755570667648925E-3</c:v>
                </c:pt>
                <c:pt idx="54">
                  <c:v>6.9755570667648925E-3</c:v>
                </c:pt>
                <c:pt idx="55">
                  <c:v>6.9755570667648925E-3</c:v>
                </c:pt>
                <c:pt idx="56">
                  <c:v>6.9755570667648925E-3</c:v>
                </c:pt>
                <c:pt idx="57">
                  <c:v>6.9755570667648925E-3</c:v>
                </c:pt>
                <c:pt idx="58">
                  <c:v>6.9755570667648925E-3</c:v>
                </c:pt>
                <c:pt idx="59">
                  <c:v>6.9755570667648925E-3</c:v>
                </c:pt>
                <c:pt idx="60">
                  <c:v>1.3705216505019768E-2</c:v>
                </c:pt>
                <c:pt idx="61">
                  <c:v>1.3705216505019768E-2</c:v>
                </c:pt>
                <c:pt idx="62">
                  <c:v>1.3705216505019768E-2</c:v>
                </c:pt>
                <c:pt idx="63">
                  <c:v>1.3705216505019768E-2</c:v>
                </c:pt>
                <c:pt idx="64">
                  <c:v>1.3705216505019768E-2</c:v>
                </c:pt>
                <c:pt idx="65">
                  <c:v>1.3705216505019768E-2</c:v>
                </c:pt>
                <c:pt idx="66">
                  <c:v>1.3705216505019768E-2</c:v>
                </c:pt>
                <c:pt idx="67">
                  <c:v>1.3705216505019768E-2</c:v>
                </c:pt>
                <c:pt idx="68">
                  <c:v>1.3705216505019768E-2</c:v>
                </c:pt>
                <c:pt idx="69">
                  <c:v>1.3705216505019768E-2</c:v>
                </c:pt>
                <c:pt idx="70">
                  <c:v>2.8972024416225373E-2</c:v>
                </c:pt>
                <c:pt idx="71">
                  <c:v>2.8972024416225373E-2</c:v>
                </c:pt>
                <c:pt idx="72">
                  <c:v>2.8972024416225373E-2</c:v>
                </c:pt>
                <c:pt idx="73">
                  <c:v>2.8972024416225373E-2</c:v>
                </c:pt>
                <c:pt idx="74">
                  <c:v>2.8972024416225373E-2</c:v>
                </c:pt>
                <c:pt idx="75">
                  <c:v>2.8972024416225373E-2</c:v>
                </c:pt>
                <c:pt idx="76">
                  <c:v>2.8972024416225373E-2</c:v>
                </c:pt>
                <c:pt idx="77">
                  <c:v>2.8972024416225373E-2</c:v>
                </c:pt>
                <c:pt idx="78">
                  <c:v>2.8972024416225373E-2</c:v>
                </c:pt>
                <c:pt idx="79">
                  <c:v>2.8972024416225373E-2</c:v>
                </c:pt>
                <c:pt idx="80">
                  <c:v>5.6837858215668113E-3</c:v>
                </c:pt>
                <c:pt idx="81">
                  <c:v>5.6837858215668113E-3</c:v>
                </c:pt>
                <c:pt idx="82">
                  <c:v>5.6837858215668113E-3</c:v>
                </c:pt>
                <c:pt idx="83">
                  <c:v>5.6837858215668113E-3</c:v>
                </c:pt>
                <c:pt idx="84">
                  <c:v>5.6837858215668113E-3</c:v>
                </c:pt>
                <c:pt idx="85">
                  <c:v>5.6837858215668113E-3</c:v>
                </c:pt>
                <c:pt idx="86">
                  <c:v>5.6837858215668113E-3</c:v>
                </c:pt>
                <c:pt idx="87">
                  <c:v>5.6837858215668113E-3</c:v>
                </c:pt>
                <c:pt idx="88">
                  <c:v>5.6837858215668113E-3</c:v>
                </c:pt>
                <c:pt idx="89">
                  <c:v>5.6837858215668113E-3</c:v>
                </c:pt>
                <c:pt idx="90">
                  <c:v>2.8459426054401327E-3</c:v>
                </c:pt>
                <c:pt idx="91">
                  <c:v>2.8459426054401327E-3</c:v>
                </c:pt>
                <c:pt idx="92">
                  <c:v>2.8459426054401327E-3</c:v>
                </c:pt>
                <c:pt idx="93">
                  <c:v>2.8459426054401327E-3</c:v>
                </c:pt>
                <c:pt idx="94">
                  <c:v>2.8459426054401327E-3</c:v>
                </c:pt>
                <c:pt idx="95">
                  <c:v>2.8459426054401327E-3</c:v>
                </c:pt>
                <c:pt idx="96">
                  <c:v>2.8459426054401327E-3</c:v>
                </c:pt>
                <c:pt idx="97">
                  <c:v>2.8459426054401327E-3</c:v>
                </c:pt>
                <c:pt idx="98">
                  <c:v>2.8459426054401327E-3</c:v>
                </c:pt>
                <c:pt idx="99">
                  <c:v>2.8459426054401327E-3</c:v>
                </c:pt>
                <c:pt idx="100">
                  <c:v>0</c:v>
                </c:pt>
              </c:numCache>
            </c:numRef>
          </c:yVal>
          <c:smooth val="0"/>
          <c:extLst>
            <c:ext xmlns:c16="http://schemas.microsoft.com/office/drawing/2014/chart" uri="{C3380CC4-5D6E-409C-BE32-E72D297353CC}">
              <c16:uniqueId val="{00000009-5387-415A-A3CE-A14C7E469B23}"/>
            </c:ext>
          </c:extLst>
        </c:ser>
        <c:ser>
          <c:idx val="3"/>
          <c:order val="3"/>
          <c:tx>
            <c:strRef>
              <c:f>Breast_Ovarian!$DG$6:$DG$7</c:f>
              <c:strCache>
                <c:ptCount val="2"/>
                <c:pt idx="0">
                  <c:v>OC</c:v>
                </c:pt>
                <c:pt idx="1">
                  <c:v>BRCA2</c:v>
                </c:pt>
              </c:strCache>
            </c:strRef>
          </c:tx>
          <c:spPr>
            <a:ln w="19050" cap="rnd">
              <a:solidFill>
                <a:schemeClr val="accent4"/>
              </a:solidFill>
              <a:round/>
            </a:ln>
            <a:effectLst/>
          </c:spPr>
          <c:marker>
            <c:symbol val="none"/>
          </c:marker>
          <c:xVal>
            <c:numRef>
              <c:f>Breast_Ovarian!$CX$8:$CX$108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Breast_Ovarian!$DG$8:$DG$108</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9.9999997171806854E-10</c:v>
                </c:pt>
                <c:pt idx="41">
                  <c:v>9.9999997171806854E-10</c:v>
                </c:pt>
                <c:pt idx="42">
                  <c:v>9.9999997171806854E-10</c:v>
                </c:pt>
                <c:pt idx="43">
                  <c:v>9.9999997171806854E-10</c:v>
                </c:pt>
                <c:pt idx="44">
                  <c:v>9.9999997171806854E-10</c:v>
                </c:pt>
                <c:pt idx="45">
                  <c:v>9.9999997171806854E-10</c:v>
                </c:pt>
                <c:pt idx="46">
                  <c:v>9.9999997171806854E-10</c:v>
                </c:pt>
                <c:pt idx="47">
                  <c:v>9.9999997171806854E-10</c:v>
                </c:pt>
                <c:pt idx="48">
                  <c:v>9.9999997171806854E-10</c:v>
                </c:pt>
                <c:pt idx="49">
                  <c:v>9.9999997171806854E-10</c:v>
                </c:pt>
                <c:pt idx="50">
                  <c:v>9.9999997171806854E-10</c:v>
                </c:pt>
                <c:pt idx="51">
                  <c:v>9.9999997171806854E-10</c:v>
                </c:pt>
                <c:pt idx="52">
                  <c:v>9.9999997171806854E-10</c:v>
                </c:pt>
                <c:pt idx="53">
                  <c:v>9.9999997171806854E-10</c:v>
                </c:pt>
                <c:pt idx="54">
                  <c:v>9.9999997171806854E-10</c:v>
                </c:pt>
                <c:pt idx="55">
                  <c:v>9.9999997171806854E-10</c:v>
                </c:pt>
                <c:pt idx="56">
                  <c:v>9.9999997171806854E-10</c:v>
                </c:pt>
                <c:pt idx="57">
                  <c:v>9.9999997171806854E-10</c:v>
                </c:pt>
                <c:pt idx="58">
                  <c:v>9.9999997171806854E-10</c:v>
                </c:pt>
                <c:pt idx="59">
                  <c:v>9.9999997171806854E-10</c:v>
                </c:pt>
                <c:pt idx="60">
                  <c:v>6.9755570667648925E-3</c:v>
                </c:pt>
                <c:pt idx="61">
                  <c:v>6.9755570667648925E-3</c:v>
                </c:pt>
                <c:pt idx="62">
                  <c:v>6.9755570667648925E-3</c:v>
                </c:pt>
                <c:pt idx="63">
                  <c:v>6.9755570667648925E-3</c:v>
                </c:pt>
                <c:pt idx="64">
                  <c:v>6.9755570667648925E-3</c:v>
                </c:pt>
                <c:pt idx="65">
                  <c:v>6.9755570667648925E-3</c:v>
                </c:pt>
                <c:pt idx="66">
                  <c:v>6.9755570667648925E-3</c:v>
                </c:pt>
                <c:pt idx="67">
                  <c:v>6.9755570667648925E-3</c:v>
                </c:pt>
                <c:pt idx="68">
                  <c:v>6.9755570667648925E-3</c:v>
                </c:pt>
                <c:pt idx="69">
                  <c:v>6.9755570667648925E-3</c:v>
                </c:pt>
                <c:pt idx="70">
                  <c:v>1.4888060396937353E-2</c:v>
                </c:pt>
                <c:pt idx="71">
                  <c:v>1.4888060396937353E-2</c:v>
                </c:pt>
                <c:pt idx="72">
                  <c:v>1.4888060396937353E-2</c:v>
                </c:pt>
                <c:pt idx="73">
                  <c:v>1.4888060396937353E-2</c:v>
                </c:pt>
                <c:pt idx="74">
                  <c:v>1.4888060396937353E-2</c:v>
                </c:pt>
                <c:pt idx="75">
                  <c:v>1.4888060396937353E-2</c:v>
                </c:pt>
                <c:pt idx="76">
                  <c:v>1.4888060396937353E-2</c:v>
                </c:pt>
                <c:pt idx="77">
                  <c:v>1.4888060396937353E-2</c:v>
                </c:pt>
                <c:pt idx="78">
                  <c:v>1.4888060396937353E-2</c:v>
                </c:pt>
                <c:pt idx="79">
                  <c:v>1.4888060396937353E-2</c:v>
                </c:pt>
                <c:pt idx="80">
                  <c:v>1.6856315365090357E-2</c:v>
                </c:pt>
                <c:pt idx="81">
                  <c:v>1.6856315365090357E-2</c:v>
                </c:pt>
                <c:pt idx="82">
                  <c:v>1.6856315365090357E-2</c:v>
                </c:pt>
                <c:pt idx="83">
                  <c:v>1.6856315365090357E-2</c:v>
                </c:pt>
                <c:pt idx="84">
                  <c:v>1.6856315365090357E-2</c:v>
                </c:pt>
                <c:pt idx="85">
                  <c:v>1.6856315365090357E-2</c:v>
                </c:pt>
                <c:pt idx="86">
                  <c:v>1.6856315365090357E-2</c:v>
                </c:pt>
                <c:pt idx="87">
                  <c:v>1.6856315365090357E-2</c:v>
                </c:pt>
                <c:pt idx="88">
                  <c:v>1.6856315365090357E-2</c:v>
                </c:pt>
                <c:pt idx="89">
                  <c:v>1.6856315365090357E-2</c:v>
                </c:pt>
                <c:pt idx="90">
                  <c:v>8.463977137033285E-3</c:v>
                </c:pt>
                <c:pt idx="91">
                  <c:v>8.463977137033285E-3</c:v>
                </c:pt>
                <c:pt idx="92">
                  <c:v>8.463977137033285E-3</c:v>
                </c:pt>
                <c:pt idx="93">
                  <c:v>8.463977137033285E-3</c:v>
                </c:pt>
                <c:pt idx="94">
                  <c:v>8.463977137033285E-3</c:v>
                </c:pt>
                <c:pt idx="95">
                  <c:v>8.463977137033285E-3</c:v>
                </c:pt>
                <c:pt idx="96">
                  <c:v>8.463977137033285E-3</c:v>
                </c:pt>
                <c:pt idx="97">
                  <c:v>8.463977137033285E-3</c:v>
                </c:pt>
                <c:pt idx="98">
                  <c:v>8.463977137033285E-3</c:v>
                </c:pt>
                <c:pt idx="99">
                  <c:v>8.463977137033285E-3</c:v>
                </c:pt>
                <c:pt idx="100">
                  <c:v>0</c:v>
                </c:pt>
              </c:numCache>
            </c:numRef>
          </c:yVal>
          <c:smooth val="0"/>
          <c:extLst>
            <c:ext xmlns:c16="http://schemas.microsoft.com/office/drawing/2014/chart" uri="{C3380CC4-5D6E-409C-BE32-E72D297353CC}">
              <c16:uniqueId val="{0000000B-5387-415A-A3CE-A14C7E469B23}"/>
            </c:ext>
          </c:extLst>
        </c:ser>
        <c:dLbls>
          <c:showLegendKey val="0"/>
          <c:showVal val="0"/>
          <c:showCatName val="0"/>
          <c:showSerName val="0"/>
          <c:showPercent val="0"/>
          <c:showBubbleSize val="0"/>
        </c:dLbls>
        <c:axId val="544141536"/>
        <c:axId val="544141208"/>
      </c:scatterChart>
      <c:valAx>
        <c:axId val="5441415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Age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4141208"/>
        <c:crosses val="autoZero"/>
        <c:crossBetween val="midCat"/>
      </c:valAx>
      <c:valAx>
        <c:axId val="544141208"/>
        <c:scaling>
          <c:orientation val="minMax"/>
          <c:max val="6.0000000000000012E-2"/>
          <c:min val="0"/>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4141536"/>
        <c:crosses val="autoZero"/>
        <c:crossBetween val="midCat"/>
      </c:valAx>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6"/>
          <c:order val="3"/>
          <c:tx>
            <c:strRef>
              <c:f>Breast_Ovarian!$CS$7</c:f>
              <c:strCache>
                <c:ptCount val="1"/>
                <c:pt idx="0">
                  <c:v>Test QALYs*</c:v>
                </c:pt>
              </c:strCache>
            </c:strRef>
          </c:tx>
          <c:spPr>
            <a:ln w="28575" cap="rnd">
              <a:solidFill>
                <a:srgbClr val="FF0000"/>
              </a:solidFill>
              <a:round/>
            </a:ln>
            <a:effectLst/>
          </c:spPr>
          <c:marker>
            <c:symbol val="none"/>
          </c:marker>
          <c:dLbls>
            <c:dLbl>
              <c:idx val="6"/>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EB1F-4EC3-B581-2EA0DE6A59E4}"/>
                </c:ext>
              </c:extLst>
            </c:dLbl>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Breast_Ovarian!$CJ$8:$CJ$108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Breast_Ovarian!$CS$8:$CS$108</c:f>
              <c:numCache>
                <c:formatCode>0.00</c:formatCode>
                <c:ptCount val="101"/>
                <c:pt idx="0">
                  <c:v>26.729881621339516</c:v>
                </c:pt>
                <c:pt idx="1">
                  <c:v>26.615484611800117</c:v>
                </c:pt>
                <c:pt idx="2">
                  <c:v>26.494240320192311</c:v>
                </c:pt>
                <c:pt idx="3">
                  <c:v>26.367744913223799</c:v>
                </c:pt>
                <c:pt idx="4">
                  <c:v>26.236697396320864</c:v>
                </c:pt>
                <c:pt idx="5">
                  <c:v>26.101465392903297</c:v>
                </c:pt>
                <c:pt idx="6">
                  <c:v>25.961795119725434</c:v>
                </c:pt>
                <c:pt idx="7">
                  <c:v>25.817660473967095</c:v>
                </c:pt>
                <c:pt idx="8">
                  <c:v>25.668981487086697</c:v>
                </c:pt>
                <c:pt idx="9">
                  <c:v>25.515700598900061</c:v>
                </c:pt>
                <c:pt idx="10">
                  <c:v>25.357782649650268</c:v>
                </c:pt>
                <c:pt idx="11">
                  <c:v>25.195240098793334</c:v>
                </c:pt>
                <c:pt idx="12">
                  <c:v>25.028158126000807</c:v>
                </c:pt>
                <c:pt idx="13">
                  <c:v>24.856619798168886</c:v>
                </c:pt>
                <c:pt idx="14">
                  <c:v>24.6807057726637</c:v>
                </c:pt>
                <c:pt idx="15">
                  <c:v>24.500346483913493</c:v>
                </c:pt>
                <c:pt idx="16">
                  <c:v>24.309234319059293</c:v>
                </c:pt>
                <c:pt idx="17">
                  <c:v>24.113043173744359</c:v>
                </c:pt>
                <c:pt idx="18">
                  <c:v>23.91154701353766</c:v>
                </c:pt>
                <c:pt idx="19">
                  <c:v>23.704536831621027</c:v>
                </c:pt>
                <c:pt idx="20">
                  <c:v>23.491809048346418</c:v>
                </c:pt>
                <c:pt idx="21">
                  <c:v>23.266520949078455</c:v>
                </c:pt>
                <c:pt idx="22">
                  <c:v>23.036476493126159</c:v>
                </c:pt>
                <c:pt idx="23">
                  <c:v>22.801397682884886</c:v>
                </c:pt>
                <c:pt idx="24">
                  <c:v>22.561066214373525</c:v>
                </c:pt>
                <c:pt idx="25">
                  <c:v>22.315349642746906</c:v>
                </c:pt>
                <c:pt idx="26">
                  <c:v>22.04701617332401</c:v>
                </c:pt>
                <c:pt idx="27">
                  <c:v>21.771272533187197</c:v>
                </c:pt>
                <c:pt idx="28">
                  <c:v>21.487768547293243</c:v>
                </c:pt>
                <c:pt idx="29">
                  <c:v>21.196012532417594</c:v>
                </c:pt>
                <c:pt idx="30">
                  <c:v>20.904956661112831</c:v>
                </c:pt>
                <c:pt idx="31">
                  <c:v>20.586267031235543</c:v>
                </c:pt>
                <c:pt idx="32">
                  <c:v>20.261881514578686</c:v>
                </c:pt>
                <c:pt idx="33">
                  <c:v>19.931914227077559</c:v>
                </c:pt>
                <c:pt idx="34">
                  <c:v>19.596178987048884</c:v>
                </c:pt>
                <c:pt idx="35">
                  <c:v>19.255333173071762</c:v>
                </c:pt>
                <c:pt idx="36">
                  <c:v>18.924785560737472</c:v>
                </c:pt>
                <c:pt idx="37">
                  <c:v>18.589317756705395</c:v>
                </c:pt>
                <c:pt idx="38">
                  <c:v>18.248603491272</c:v>
                </c:pt>
                <c:pt idx="39">
                  <c:v>17.901706368312126</c:v>
                </c:pt>
                <c:pt idx="40">
                  <c:v>17.57120856443996</c:v>
                </c:pt>
                <c:pt idx="41">
                  <c:v>17.262844754913441</c:v>
                </c:pt>
                <c:pt idx="42">
                  <c:v>16.949873543954489</c:v>
                </c:pt>
                <c:pt idx="43">
                  <c:v>16.632350867442106</c:v>
                </c:pt>
                <c:pt idx="44">
                  <c:v>16.31029285496712</c:v>
                </c:pt>
                <c:pt idx="45">
                  <c:v>15.970986456071696</c:v>
                </c:pt>
                <c:pt idx="46">
                  <c:v>15.641855879208572</c:v>
                </c:pt>
                <c:pt idx="47">
                  <c:v>15.307641297976502</c:v>
                </c:pt>
                <c:pt idx="48">
                  <c:v>14.968320005794901</c:v>
                </c:pt>
                <c:pt idx="49">
                  <c:v>14.623165271039321</c:v>
                </c:pt>
                <c:pt idx="50">
                  <c:v>14.319307311517328</c:v>
                </c:pt>
                <c:pt idx="51">
                  <c:v>14.038663362865973</c:v>
                </c:pt>
                <c:pt idx="52">
                  <c:v>13.748238767760022</c:v>
                </c:pt>
                <c:pt idx="53">
                  <c:v>13.448098350459121</c:v>
                </c:pt>
                <c:pt idx="54">
                  <c:v>13.138200715120192</c:v>
                </c:pt>
                <c:pt idx="55">
                  <c:v>12.841736433489647</c:v>
                </c:pt>
                <c:pt idx="56">
                  <c:v>12.53887274988098</c:v>
                </c:pt>
                <c:pt idx="57">
                  <c:v>12.227205388968935</c:v>
                </c:pt>
                <c:pt idx="58">
                  <c:v>11.906251434927233</c:v>
                </c:pt>
                <c:pt idx="59">
                  <c:v>11.575441402473952</c:v>
                </c:pt>
                <c:pt idx="60">
                  <c:v>11.291802704609971</c:v>
                </c:pt>
                <c:pt idx="61">
                  <c:v>10.998846170540141</c:v>
                </c:pt>
                <c:pt idx="62">
                  <c:v>10.693320408596076</c:v>
                </c:pt>
                <c:pt idx="63">
                  <c:v>10.375080530378431</c:v>
                </c:pt>
                <c:pt idx="64">
                  <c:v>10.04364976796618</c:v>
                </c:pt>
                <c:pt idx="65">
                  <c:v>9.7297453468860073</c:v>
                </c:pt>
                <c:pt idx="66">
                  <c:v>9.4058186190374204</c:v>
                </c:pt>
                <c:pt idx="67">
                  <c:v>9.0714483799016978</c:v>
                </c:pt>
                <c:pt idx="68">
                  <c:v>8.7262576650409205</c:v>
                </c:pt>
                <c:pt idx="69">
                  <c:v>8.3697355387706462</c:v>
                </c:pt>
                <c:pt idx="70">
                  <c:v>8.0806519385177058</c:v>
                </c:pt>
                <c:pt idx="71">
                  <c:v>7.8164163249781158</c:v>
                </c:pt>
                <c:pt idx="72">
                  <c:v>7.5387665080262893</c:v>
                </c:pt>
                <c:pt idx="73">
                  <c:v>7.246141558239664</c:v>
                </c:pt>
                <c:pt idx="74">
                  <c:v>6.9366342391622657</c:v>
                </c:pt>
                <c:pt idx="75">
                  <c:v>6.720500706865467</c:v>
                </c:pt>
                <c:pt idx="76">
                  <c:v>6.4946185771098426</c:v>
                </c:pt>
                <c:pt idx="77">
                  <c:v>6.2578588653980551</c:v>
                </c:pt>
                <c:pt idx="78">
                  <c:v>6.0095793360579428</c:v>
                </c:pt>
                <c:pt idx="79">
                  <c:v>5.7490161830285533</c:v>
                </c:pt>
                <c:pt idx="80">
                  <c:v>5.5199488420702121</c:v>
                </c:pt>
                <c:pt idx="81">
                  <c:v>5.2873827837482503</c:v>
                </c:pt>
                <c:pt idx="82">
                  <c:v>5.0401457681059814</c:v>
                </c:pt>
                <c:pt idx="83">
                  <c:v>4.7766495087503875</c:v>
                </c:pt>
                <c:pt idx="84">
                  <c:v>4.4945066999218328</c:v>
                </c:pt>
                <c:pt idx="85">
                  <c:v>4.2995874469194018</c:v>
                </c:pt>
                <c:pt idx="86">
                  <c:v>4.0933743778860805</c:v>
                </c:pt>
                <c:pt idx="87">
                  <c:v>3.8724183649867623</c:v>
                </c:pt>
                <c:pt idx="88">
                  <c:v>3.6321602479914725</c:v>
                </c:pt>
                <c:pt idx="89">
                  <c:v>3.366517328559409</c:v>
                </c:pt>
                <c:pt idx="90">
                  <c:v>3.209251576301988</c:v>
                </c:pt>
                <c:pt idx="91">
                  <c:v>3.0387491235819657</c:v>
                </c:pt>
                <c:pt idx="92">
                  <c:v>2.8478485603703012</c:v>
                </c:pt>
                <c:pt idx="93">
                  <c:v>2.6262904812414827</c:v>
                </c:pt>
                <c:pt idx="94">
                  <c:v>2.3591908190167912</c:v>
                </c:pt>
                <c:pt idx="95">
                  <c:v>2.2069202358831692</c:v>
                </c:pt>
                <c:pt idx="96">
                  <c:v>2.0170830456209914</c:v>
                </c:pt>
                <c:pt idx="97">
                  <c:v>1.7629484611932056</c:v>
                </c:pt>
                <c:pt idx="98">
                  <c:v>1.3996445113794258</c:v>
                </c:pt>
                <c:pt idx="99">
                  <c:v>0.85044345810407718</c:v>
                </c:pt>
                <c:pt idx="100">
                  <c:v>0.85044345810407718</c:v>
                </c:pt>
              </c:numCache>
            </c:numRef>
          </c:yVal>
          <c:smooth val="0"/>
          <c:extLst>
            <c:ext xmlns:c16="http://schemas.microsoft.com/office/drawing/2014/chart" uri="{C3380CC4-5D6E-409C-BE32-E72D297353CC}">
              <c16:uniqueId val="{00000001-EB1F-4EC3-B581-2EA0DE6A59E4}"/>
            </c:ext>
          </c:extLst>
        </c:ser>
        <c:ser>
          <c:idx val="7"/>
          <c:order val="4"/>
          <c:tx>
            <c:strRef>
              <c:f>Breast_Ovarian!$CT$7</c:f>
              <c:strCache>
                <c:ptCount val="1"/>
                <c:pt idx="0">
                  <c:v>No Test QALYs*</c:v>
                </c:pt>
              </c:strCache>
            </c:strRef>
          </c:tx>
          <c:spPr>
            <a:ln w="28575" cap="rnd">
              <a:solidFill>
                <a:schemeClr val="tx2"/>
              </a:solidFill>
              <a:round/>
            </a:ln>
            <a:effectLst/>
          </c:spPr>
          <c:marker>
            <c:symbol val="none"/>
          </c:marker>
          <c:dLbls>
            <c:dLbl>
              <c:idx val="6"/>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EB1F-4EC3-B581-2EA0DE6A59E4}"/>
                </c:ext>
              </c:extLst>
            </c:dLbl>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Breast_Ovarian!$CJ$8:$CJ$108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Breast_Ovarian!$CT$8:$CT$108</c:f>
              <c:numCache>
                <c:formatCode>0.00</c:formatCode>
                <c:ptCount val="101"/>
                <c:pt idx="0">
                  <c:v>26.330486210281286</c:v>
                </c:pt>
                <c:pt idx="1">
                  <c:v>26.202279103664271</c:v>
                </c:pt>
                <c:pt idx="2">
                  <c:v>26.066863838651795</c:v>
                </c:pt>
                <c:pt idx="3">
                  <c:v>25.925794768444224</c:v>
                </c:pt>
                <c:pt idx="4">
                  <c:v>25.779743418929954</c:v>
                </c:pt>
                <c:pt idx="5">
                  <c:v>25.629054844501013</c:v>
                </c:pt>
                <c:pt idx="6">
                  <c:v>25.473464539073433</c:v>
                </c:pt>
                <c:pt idx="7">
                  <c:v>25.312930418634203</c:v>
                </c:pt>
                <c:pt idx="8">
                  <c:v>25.147357044787274</c:v>
                </c:pt>
                <c:pt idx="9">
                  <c:v>24.976670203349293</c:v>
                </c:pt>
                <c:pt idx="10">
                  <c:v>24.800816774725472</c:v>
                </c:pt>
                <c:pt idx="11">
                  <c:v>24.619789168519699</c:v>
                </c:pt>
                <c:pt idx="12">
                  <c:v>24.433649530398991</c:v>
                </c:pt>
                <c:pt idx="13">
                  <c:v>24.242456629650835</c:v>
                </c:pt>
                <c:pt idx="14">
                  <c:v>24.046265517622423</c:v>
                </c:pt>
                <c:pt idx="15">
                  <c:v>23.844984191413428</c:v>
                </c:pt>
                <c:pt idx="16">
                  <c:v>23.638693420749433</c:v>
                </c:pt>
                <c:pt idx="17">
                  <c:v>23.427077416236322</c:v>
                </c:pt>
                <c:pt idx="18">
                  <c:v>23.209911779375979</c:v>
                </c:pt>
                <c:pt idx="19">
                  <c:v>22.986988978678898</c:v>
                </c:pt>
                <c:pt idx="20">
                  <c:v>22.758115753700061</c:v>
                </c:pt>
                <c:pt idx="21">
                  <c:v>22.52507458726949</c:v>
                </c:pt>
                <c:pt idx="22">
                  <c:v>22.28721385340938</c:v>
                </c:pt>
                <c:pt idx="23">
                  <c:v>22.044275162744572</c:v>
                </c:pt>
                <c:pt idx="24">
                  <c:v>21.79605971572046</c:v>
                </c:pt>
                <c:pt idx="25">
                  <c:v>21.542506213242554</c:v>
                </c:pt>
                <c:pt idx="26">
                  <c:v>21.284059827099963</c:v>
                </c:pt>
                <c:pt idx="27">
                  <c:v>21.019901251968189</c:v>
                </c:pt>
                <c:pt idx="28">
                  <c:v>20.749849142834812</c:v>
                </c:pt>
                <c:pt idx="29">
                  <c:v>20.473693630617635</c:v>
                </c:pt>
                <c:pt idx="30">
                  <c:v>20.20047194898784</c:v>
                </c:pt>
                <c:pt idx="31">
                  <c:v>19.92501816493585</c:v>
                </c:pt>
                <c:pt idx="32">
                  <c:v>19.645740417187422</c:v>
                </c:pt>
                <c:pt idx="33">
                  <c:v>19.363012753810533</c:v>
                </c:pt>
                <c:pt idx="34">
                  <c:v>19.076956031651985</c:v>
                </c:pt>
                <c:pt idx="35">
                  <c:v>18.788719843991995</c:v>
                </c:pt>
                <c:pt idx="36">
                  <c:v>18.497116150042068</c:v>
                </c:pt>
                <c:pt idx="37">
                  <c:v>18.202521363225639</c:v>
                </c:pt>
                <c:pt idx="38">
                  <c:v>17.904827928669732</c:v>
                </c:pt>
                <c:pt idx="39">
                  <c:v>17.603908632617106</c:v>
                </c:pt>
                <c:pt idx="40">
                  <c:v>17.321084520618168</c:v>
                </c:pt>
                <c:pt idx="41">
                  <c:v>17.040170305943857</c:v>
                </c:pt>
                <c:pt idx="42">
                  <c:v>16.755493241817039</c:v>
                </c:pt>
                <c:pt idx="43">
                  <c:v>16.467197543594459</c:v>
                </c:pt>
                <c:pt idx="44">
                  <c:v>16.175402690492874</c:v>
                </c:pt>
                <c:pt idx="45">
                  <c:v>15.867505037090565</c:v>
                </c:pt>
                <c:pt idx="46">
                  <c:v>15.55445136943729</c:v>
                </c:pt>
                <c:pt idx="47">
                  <c:v>15.236664241289017</c:v>
                </c:pt>
                <c:pt idx="48">
                  <c:v>14.91415700779433</c:v>
                </c:pt>
                <c:pt idx="49">
                  <c:v>14.586667077196319</c:v>
                </c:pt>
                <c:pt idx="50">
                  <c:v>14.300016254516871</c:v>
                </c:pt>
                <c:pt idx="51">
                  <c:v>14.023307056675176</c:v>
                </c:pt>
                <c:pt idx="52">
                  <c:v>13.736940758979236</c:v>
                </c:pt>
                <c:pt idx="53">
                  <c:v>13.44098801401217</c:v>
                </c:pt>
                <c:pt idx="54">
                  <c:v>13.135409471069972</c:v>
                </c:pt>
                <c:pt idx="55">
                  <c:v>12.843408322318728</c:v>
                </c:pt>
                <c:pt idx="56">
                  <c:v>12.543005370972573</c:v>
                </c:pt>
                <c:pt idx="57">
                  <c:v>12.233893506958108</c:v>
                </c:pt>
                <c:pt idx="58">
                  <c:v>11.915599929963426</c:v>
                </c:pt>
                <c:pt idx="59">
                  <c:v>11.587605303223574</c:v>
                </c:pt>
                <c:pt idx="60">
                  <c:v>11.306686572053968</c:v>
                </c:pt>
                <c:pt idx="61">
                  <c:v>11.014460362109558</c:v>
                </c:pt>
                <c:pt idx="62">
                  <c:v>10.709658157478858</c:v>
                </c:pt>
                <c:pt idx="63">
                  <c:v>10.392137329983008</c:v>
                </c:pt>
                <c:pt idx="64">
                  <c:v>10.061421934684569</c:v>
                </c:pt>
                <c:pt idx="65">
                  <c:v>9.7482339985460946</c:v>
                </c:pt>
                <c:pt idx="66">
                  <c:v>9.424798189355851</c:v>
                </c:pt>
                <c:pt idx="67">
                  <c:v>9.0909227287056726</c:v>
                </c:pt>
                <c:pt idx="68">
                  <c:v>8.746236514825414</c:v>
                </c:pt>
                <c:pt idx="69">
                  <c:v>8.3902510210118351</c:v>
                </c:pt>
                <c:pt idx="70">
                  <c:v>8.1016408724913074</c:v>
                </c:pt>
                <c:pt idx="71">
                  <c:v>7.8374413007041133</c:v>
                </c:pt>
                <c:pt idx="72">
                  <c:v>7.5598199718498273</c:v>
                </c:pt>
                <c:pt idx="73">
                  <c:v>7.2672159813841954</c:v>
                </c:pt>
                <c:pt idx="74">
                  <c:v>6.957720563212531</c:v>
                </c:pt>
                <c:pt idx="75">
                  <c:v>6.7415917608052336</c:v>
                </c:pt>
                <c:pt idx="76">
                  <c:v>6.5154810878330833</c:v>
                </c:pt>
                <c:pt idx="77">
                  <c:v>6.2784894000679365</c:v>
                </c:pt>
                <c:pt idx="78">
                  <c:v>6.0299745456031228</c:v>
                </c:pt>
                <c:pt idx="79">
                  <c:v>5.7691735483003379</c:v>
                </c:pt>
                <c:pt idx="80">
                  <c:v>5.5398688745403781</c:v>
                </c:pt>
                <c:pt idx="81">
                  <c:v>5.307314707707949</c:v>
                </c:pt>
                <c:pt idx="82">
                  <c:v>5.060090406903158</c:v>
                </c:pt>
                <c:pt idx="83">
                  <c:v>4.7966080734977981</c:v>
                </c:pt>
                <c:pt idx="84">
                  <c:v>4.5144807913895306</c:v>
                </c:pt>
                <c:pt idx="85">
                  <c:v>4.3195792693106148</c:v>
                </c:pt>
                <c:pt idx="86">
                  <c:v>4.1133691821494374</c:v>
                </c:pt>
                <c:pt idx="87">
                  <c:v>3.892417136276209</c:v>
                </c:pt>
                <c:pt idx="88">
                  <c:v>3.6521643543348645</c:v>
                </c:pt>
                <c:pt idx="89">
                  <c:v>3.3865291703128273</c:v>
                </c:pt>
                <c:pt idx="90">
                  <c:v>3.2292730894605621</c:v>
                </c:pt>
                <c:pt idx="91">
                  <c:v>3.0587645653804443</c:v>
                </c:pt>
                <c:pt idx="92">
                  <c:v>2.8678580888391729</c:v>
                </c:pt>
                <c:pt idx="93">
                  <c:v>2.6462945505787823</c:v>
                </c:pt>
                <c:pt idx="94">
                  <c:v>2.3791905967681815</c:v>
                </c:pt>
                <c:pt idx="95">
                  <c:v>2.2269180488591029</c:v>
                </c:pt>
                <c:pt idx="96">
                  <c:v>2.0370648081673366</c:v>
                </c:pt>
                <c:pt idx="97">
                  <c:v>1.7829188041085726</c:v>
                </c:pt>
                <c:pt idx="98">
                  <c:v>1.4196165719720668</c:v>
                </c:pt>
                <c:pt idx="99">
                  <c:v>0.87034942407262661</c:v>
                </c:pt>
                <c:pt idx="100">
                  <c:v>0.87035174348451561</c:v>
                </c:pt>
              </c:numCache>
            </c:numRef>
          </c:yVal>
          <c:smooth val="0"/>
          <c:extLst>
            <c:ext xmlns:c16="http://schemas.microsoft.com/office/drawing/2014/chart" uri="{C3380CC4-5D6E-409C-BE32-E72D297353CC}">
              <c16:uniqueId val="{00000003-EB1F-4EC3-B581-2EA0DE6A59E4}"/>
            </c:ext>
          </c:extLst>
        </c:ser>
        <c:dLbls>
          <c:showLegendKey val="0"/>
          <c:showVal val="0"/>
          <c:showCatName val="0"/>
          <c:showSerName val="0"/>
          <c:showPercent val="0"/>
          <c:showBubbleSize val="0"/>
        </c:dLbls>
        <c:axId val="808421248"/>
        <c:axId val="808425512"/>
      </c:scatterChart>
      <c:scatterChart>
        <c:scatterStyle val="lineMarker"/>
        <c:varyColors val="0"/>
        <c:ser>
          <c:idx val="5"/>
          <c:order val="0"/>
          <c:tx>
            <c:strRef>
              <c:f>Breast_Ovarian!$CU$7</c:f>
              <c:strCache>
                <c:ptCount val="1"/>
                <c:pt idx="0">
                  <c:v>Incr. QALYs* (secondary y-axis)</c:v>
                </c:pt>
              </c:strCache>
            </c:strRef>
          </c:tx>
          <c:spPr>
            <a:ln w="28575" cap="rnd">
              <a:solidFill>
                <a:schemeClr val="accent6"/>
              </a:solidFill>
              <a:round/>
            </a:ln>
            <a:effectLst/>
          </c:spPr>
          <c:marker>
            <c:symbol val="none"/>
          </c:marker>
          <c:dLbls>
            <c:dLbl>
              <c:idx val="25"/>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EB1F-4EC3-B581-2EA0DE6A59E4}"/>
                </c:ext>
              </c:extLst>
            </c:dLbl>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Breast_Ovarian!$CJ$8:$CJ$108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Breast_Ovarian!$CU$8:$CU$108</c:f>
              <c:numCache>
                <c:formatCode>0.00</c:formatCode>
                <c:ptCount val="101"/>
                <c:pt idx="0">
                  <c:v>0.3993954110582294</c:v>
                </c:pt>
                <c:pt idx="1">
                  <c:v>0.41320550813584589</c:v>
                </c:pt>
                <c:pt idx="2">
                  <c:v>0.42737648154051655</c:v>
                </c:pt>
                <c:pt idx="3">
                  <c:v>0.44195014477957528</c:v>
                </c:pt>
                <c:pt idx="4">
                  <c:v>0.45695397739090993</c:v>
                </c:pt>
                <c:pt idx="5">
                  <c:v>0.47241054840228358</c:v>
                </c:pt>
                <c:pt idx="6">
                  <c:v>0.48833058065200063</c:v>
                </c:pt>
                <c:pt idx="7">
                  <c:v>0.50473005533289239</c:v>
                </c:pt>
                <c:pt idx="8">
                  <c:v>0.52162444229942295</c:v>
                </c:pt>
                <c:pt idx="9">
                  <c:v>0.53903039555076759</c:v>
                </c:pt>
                <c:pt idx="10">
                  <c:v>0.55696587492479566</c:v>
                </c:pt>
                <c:pt idx="11">
                  <c:v>0.57545093027363592</c:v>
                </c:pt>
                <c:pt idx="12">
                  <c:v>0.59450859560181613</c:v>
                </c:pt>
                <c:pt idx="13">
                  <c:v>0.61416316851805064</c:v>
                </c:pt>
                <c:pt idx="14">
                  <c:v>0.63444025504127666</c:v>
                </c:pt>
                <c:pt idx="15">
                  <c:v>0.65536229250006528</c:v>
                </c:pt>
                <c:pt idx="16">
                  <c:v>0.6705408983098593</c:v>
                </c:pt>
                <c:pt idx="17">
                  <c:v>0.68596575750803623</c:v>
                </c:pt>
                <c:pt idx="18">
                  <c:v>0.70163523416168161</c:v>
                </c:pt>
                <c:pt idx="19">
                  <c:v>0.71754785294212908</c:v>
                </c:pt>
                <c:pt idx="20">
                  <c:v>0.73369329464635769</c:v>
                </c:pt>
                <c:pt idx="21">
                  <c:v>0.74144636180896484</c:v>
                </c:pt>
                <c:pt idx="22">
                  <c:v>0.74926263971677898</c:v>
                </c:pt>
                <c:pt idx="23">
                  <c:v>0.75712252014031378</c:v>
                </c:pt>
                <c:pt idx="24">
                  <c:v>0.76500649865306514</c:v>
                </c:pt>
                <c:pt idx="25">
                  <c:v>0.77284342950435203</c:v>
                </c:pt>
                <c:pt idx="26">
                  <c:v>0.76295634622404762</c:v>
                </c:pt>
                <c:pt idx="27">
                  <c:v>0.75137128121900787</c:v>
                </c:pt>
                <c:pt idx="28">
                  <c:v>0.73791940445843096</c:v>
                </c:pt>
                <c:pt idx="29">
                  <c:v>0.72231890179995872</c:v>
                </c:pt>
                <c:pt idx="30">
                  <c:v>0.70448471212499086</c:v>
                </c:pt>
                <c:pt idx="31">
                  <c:v>0.66124886629969382</c:v>
                </c:pt>
                <c:pt idx="32">
                  <c:v>0.61614109739126377</c:v>
                </c:pt>
                <c:pt idx="33">
                  <c:v>0.56890147326702589</c:v>
                </c:pt>
                <c:pt idx="34">
                  <c:v>0.51922295539689856</c:v>
                </c:pt>
                <c:pt idx="35">
                  <c:v>0.46661332907976671</c:v>
                </c:pt>
                <c:pt idx="36">
                  <c:v>0.42766941069540465</c:v>
                </c:pt>
                <c:pt idx="37">
                  <c:v>0.38679639347975581</c:v>
                </c:pt>
                <c:pt idx="38">
                  <c:v>0.34377556260226783</c:v>
                </c:pt>
                <c:pt idx="39">
                  <c:v>0.29779773569502055</c:v>
                </c:pt>
                <c:pt idx="40">
                  <c:v>0.25012404382179199</c:v>
                </c:pt>
                <c:pt idx="41">
                  <c:v>0.22267444896958466</c:v>
                </c:pt>
                <c:pt idx="42">
                  <c:v>0.19438030213744995</c:v>
                </c:pt>
                <c:pt idx="43">
                  <c:v>0.16515332384764747</c:v>
                </c:pt>
                <c:pt idx="44">
                  <c:v>0.13489016447424618</c:v>
                </c:pt>
                <c:pt idx="45">
                  <c:v>0.10348141898113106</c:v>
                </c:pt>
                <c:pt idx="46">
                  <c:v>8.7404509771282335E-2</c:v>
                </c:pt>
                <c:pt idx="47">
                  <c:v>7.0977056687485884E-2</c:v>
                </c:pt>
                <c:pt idx="48">
                  <c:v>5.4162998000570894E-2</c:v>
                </c:pt>
                <c:pt idx="49">
                  <c:v>3.6498193843002014E-2</c:v>
                </c:pt>
                <c:pt idx="50">
                  <c:v>1.9291057000456746E-2</c:v>
                </c:pt>
                <c:pt idx="51">
                  <c:v>1.5356306190797753E-2</c:v>
                </c:pt>
                <c:pt idx="52">
                  <c:v>1.1298008780785906E-2</c:v>
                </c:pt>
                <c:pt idx="53">
                  <c:v>7.1103364469511376E-3</c:v>
                </c:pt>
                <c:pt idx="54">
                  <c:v>2.7912440502202429E-3</c:v>
                </c:pt>
                <c:pt idx="55">
                  <c:v>-1.6718888290814249E-3</c:v>
                </c:pt>
                <c:pt idx="56">
                  <c:v>-4.1326210915926254E-3</c:v>
                </c:pt>
                <c:pt idx="57">
                  <c:v>-6.6881179891726816E-3</c:v>
                </c:pt>
                <c:pt idx="58">
                  <c:v>-9.3484950361926167E-3</c:v>
                </c:pt>
                <c:pt idx="59">
                  <c:v>-1.2163900749621703E-2</c:v>
                </c:pt>
                <c:pt idx="60">
                  <c:v>-1.4883867443996834E-2</c:v>
                </c:pt>
                <c:pt idx="61">
                  <c:v>-1.5614191569417457E-2</c:v>
                </c:pt>
                <c:pt idx="62">
                  <c:v>-1.6337748882781611E-2</c:v>
                </c:pt>
                <c:pt idx="63">
                  <c:v>-1.7056799604576511E-2</c:v>
                </c:pt>
                <c:pt idx="64">
                  <c:v>-1.7772166718389215E-2</c:v>
                </c:pt>
                <c:pt idx="65">
                  <c:v>-1.8488651660087285E-2</c:v>
                </c:pt>
                <c:pt idx="66">
                  <c:v>-1.8979570318430561E-2</c:v>
                </c:pt>
                <c:pt idx="67">
                  <c:v>-1.9474348803974806E-2</c:v>
                </c:pt>
                <c:pt idx="68">
                  <c:v>-1.9978849784493491E-2</c:v>
                </c:pt>
                <c:pt idx="69">
                  <c:v>-2.051548224118882E-2</c:v>
                </c:pt>
                <c:pt idx="70">
                  <c:v>-2.0988933973601576E-2</c:v>
                </c:pt>
                <c:pt idx="71">
                  <c:v>-2.1024975725997486E-2</c:v>
                </c:pt>
                <c:pt idx="72">
                  <c:v>-2.105346382353801E-2</c:v>
                </c:pt>
                <c:pt idx="73">
                  <c:v>-2.1074423144531451E-2</c:v>
                </c:pt>
                <c:pt idx="74">
                  <c:v>-2.1086324050265226E-2</c:v>
                </c:pt>
                <c:pt idx="75">
                  <c:v>-2.1091053939766624E-2</c:v>
                </c:pt>
                <c:pt idx="76">
                  <c:v>-2.0862510723240746E-2</c:v>
                </c:pt>
                <c:pt idx="77">
                  <c:v>-2.0630534669881406E-2</c:v>
                </c:pt>
                <c:pt idx="78">
                  <c:v>-2.0395209545180037E-2</c:v>
                </c:pt>
                <c:pt idx="79">
                  <c:v>-2.0157365271784577E-2</c:v>
                </c:pt>
                <c:pt idx="80">
                  <c:v>-1.9920032470166049E-2</c:v>
                </c:pt>
                <c:pt idx="81">
                  <c:v>-1.9931923959698672E-2</c:v>
                </c:pt>
                <c:pt idx="82">
                  <c:v>-1.9944638797176673E-2</c:v>
                </c:pt>
                <c:pt idx="83">
                  <c:v>-1.9958564747410534E-2</c:v>
                </c:pt>
                <c:pt idx="84">
                  <c:v>-1.9974091467697797E-2</c:v>
                </c:pt>
                <c:pt idx="85">
                  <c:v>-1.9991822391212999E-2</c:v>
                </c:pt>
                <c:pt idx="86">
                  <c:v>-1.9994804263356869E-2</c:v>
                </c:pt>
                <c:pt idx="87">
                  <c:v>-1.9998771289446715E-2</c:v>
                </c:pt>
                <c:pt idx="88">
                  <c:v>-2.0004106343392003E-2</c:v>
                </c:pt>
                <c:pt idx="89">
                  <c:v>-2.0011841753418302E-2</c:v>
                </c:pt>
                <c:pt idx="90">
                  <c:v>-2.0021513158574145E-2</c:v>
                </c:pt>
                <c:pt idx="91">
                  <c:v>-2.0015441798478584E-2</c:v>
                </c:pt>
                <c:pt idx="92">
                  <c:v>-2.0009528468871718E-2</c:v>
                </c:pt>
                <c:pt idx="93">
                  <c:v>-2.000406933729959E-2</c:v>
                </c:pt>
                <c:pt idx="94">
                  <c:v>-1.999977775139028E-2</c:v>
                </c:pt>
                <c:pt idx="95">
                  <c:v>-1.9997812975933726E-2</c:v>
                </c:pt>
                <c:pt idx="96">
                  <c:v>-1.9981762546345205E-2</c:v>
                </c:pt>
                <c:pt idx="97">
                  <c:v>-1.9970342915367034E-2</c:v>
                </c:pt>
                <c:pt idx="98">
                  <c:v>-1.9972060592641006E-2</c:v>
                </c:pt>
                <c:pt idx="99">
                  <c:v>-1.9905965968549433E-2</c:v>
                </c:pt>
                <c:pt idx="100">
                  <c:v>-1.9908285380438429E-2</c:v>
                </c:pt>
              </c:numCache>
            </c:numRef>
          </c:yVal>
          <c:smooth val="0"/>
          <c:extLst>
            <c:ext xmlns:c16="http://schemas.microsoft.com/office/drawing/2014/chart" uri="{C3380CC4-5D6E-409C-BE32-E72D297353CC}">
              <c16:uniqueId val="{00000005-EB1F-4EC3-B581-2EA0DE6A59E4}"/>
            </c:ext>
          </c:extLst>
        </c:ser>
        <c:ser>
          <c:idx val="1"/>
          <c:order val="1"/>
          <c:tx>
            <c:strRef>
              <c:f>Breast_Ovarian!$CK$7</c:f>
              <c:strCache>
                <c:ptCount val="1"/>
                <c:pt idx="0">
                  <c:v>Previous BC (secondary y-axis)</c:v>
                </c:pt>
              </c:strCache>
            </c:strRef>
          </c:tx>
          <c:spPr>
            <a:ln w="19050" cap="rnd">
              <a:solidFill>
                <a:schemeClr val="accent4"/>
              </a:solidFill>
              <a:round/>
            </a:ln>
            <a:effectLst/>
          </c:spPr>
          <c:marker>
            <c:symbol val="none"/>
          </c:marker>
          <c:dLbls>
            <c:dLbl>
              <c:idx val="85"/>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EB1F-4EC3-B581-2EA0DE6A59E4}"/>
                </c:ext>
              </c:extLst>
            </c:dLbl>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Breast_Ovarian!$CJ$8:$CJ$108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Breast_Ovarian!$CK$8:$CK$108</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4.0000000000000001E-3</c:v>
                </c:pt>
                <c:pt idx="22">
                  <c:v>8.0000000000000002E-3</c:v>
                </c:pt>
                <c:pt idx="23">
                  <c:v>1.2E-2</c:v>
                </c:pt>
                <c:pt idx="24">
                  <c:v>1.6E-2</c:v>
                </c:pt>
                <c:pt idx="25">
                  <c:v>2.0000000000000004E-2</c:v>
                </c:pt>
                <c:pt idx="26">
                  <c:v>2.4E-2</c:v>
                </c:pt>
                <c:pt idx="27">
                  <c:v>2.8000000000000001E-2</c:v>
                </c:pt>
                <c:pt idx="28">
                  <c:v>3.2000000000000001E-2</c:v>
                </c:pt>
                <c:pt idx="29">
                  <c:v>3.6000000000000004E-2</c:v>
                </c:pt>
                <c:pt idx="30">
                  <c:v>4.0000000000000008E-2</c:v>
                </c:pt>
                <c:pt idx="31">
                  <c:v>5.5344648182826459E-2</c:v>
                </c:pt>
                <c:pt idx="32">
                  <c:v>7.0724812859095654E-2</c:v>
                </c:pt>
                <c:pt idx="33">
                  <c:v>8.6120035344692314E-2</c:v>
                </c:pt>
                <c:pt idx="34">
                  <c:v>0.10152303902950603</c:v>
                </c:pt>
                <c:pt idx="35">
                  <c:v>0.11693058535995597</c:v>
                </c:pt>
                <c:pt idx="36">
                  <c:v>0.13234101401880552</c:v>
                </c:pt>
                <c:pt idx="37">
                  <c:v>0.14775338593620191</c:v>
                </c:pt>
                <c:pt idx="38">
                  <c:v>0.16316713001522115</c:v>
                </c:pt>
                <c:pt idx="39">
                  <c:v>0.1785818789759617</c:v>
                </c:pt>
                <c:pt idx="40">
                  <c:v>0.19399738587893497</c:v>
                </c:pt>
                <c:pt idx="41">
                  <c:v>0.21015247159693626</c:v>
                </c:pt>
                <c:pt idx="42">
                  <c:v>0.22635559908400377</c:v>
                </c:pt>
                <c:pt idx="43">
                  <c:v>0.24259493078119285</c:v>
                </c:pt>
                <c:pt idx="44">
                  <c:v>0.25886222300559436</c:v>
                </c:pt>
                <c:pt idx="45">
                  <c:v>0.275151558292062</c:v>
                </c:pt>
                <c:pt idx="46">
                  <c:v>0.29145857894228483</c:v>
                </c:pt>
                <c:pt idx="47">
                  <c:v>0.30778000487882856</c:v>
                </c:pt>
                <c:pt idx="48">
                  <c:v>0.32411331993193843</c:v>
                </c:pt>
                <c:pt idx="49">
                  <c:v>0.34045656168907634</c:v>
                </c:pt>
                <c:pt idx="50">
                  <c:v>0.35680817710122287</c:v>
                </c:pt>
                <c:pt idx="51">
                  <c:v>0.36309272258308573</c:v>
                </c:pt>
                <c:pt idx="52">
                  <c:v>0.36958407309026509</c:v>
                </c:pt>
                <c:pt idx="53">
                  <c:v>0.37625335564155321</c:v>
                </c:pt>
                <c:pt idx="54">
                  <c:v>0.38307683302890005</c:v>
                </c:pt>
                <c:pt idx="55">
                  <c:v>0.39003481052928846</c:v>
                </c:pt>
                <c:pt idx="56">
                  <c:v>0.39711081049470415</c:v>
                </c:pt>
                <c:pt idx="57">
                  <c:v>0.40429094124965881</c:v>
                </c:pt>
                <c:pt idx="58">
                  <c:v>0.41156340894598553</c:v>
                </c:pt>
                <c:pt idx="59">
                  <c:v>0.4189181359695513</c:v>
                </c:pt>
                <c:pt idx="60">
                  <c:v>0.42634645971697283</c:v>
                </c:pt>
                <c:pt idx="61">
                  <c:v>0.42518857425423767</c:v>
                </c:pt>
                <c:pt idx="62">
                  <c:v>0.42434199478226675</c:v>
                </c:pt>
                <c:pt idx="63">
                  <c:v>0.4237754414890233</c:v>
                </c:pt>
                <c:pt idx="64">
                  <c:v>0.42346168938587353</c:v>
                </c:pt>
                <c:pt idx="65">
                  <c:v>0.42337693189531589</c:v>
                </c:pt>
                <c:pt idx="66">
                  <c:v>0.42350026065401292</c:v>
                </c:pt>
                <c:pt idx="67">
                  <c:v>0.42381323750330924</c:v>
                </c:pt>
                <c:pt idx="68">
                  <c:v>0.42429954015404392</c:v>
                </c:pt>
                <c:pt idx="69">
                  <c:v>0.42494466714292412</c:v>
                </c:pt>
                <c:pt idx="70">
                  <c:v>0.42573569081958268</c:v>
                </c:pt>
                <c:pt idx="71">
                  <c:v>0.43039416615682069</c:v>
                </c:pt>
                <c:pt idx="72">
                  <c:v>0.43505306321637555</c:v>
                </c:pt>
                <c:pt idx="73">
                  <c:v>0.43971237029538668</c:v>
                </c:pt>
                <c:pt idx="74">
                  <c:v>0.44437207612003338</c:v>
                </c:pt>
                <c:pt idx="75">
                  <c:v>0.44903216982605204</c:v>
                </c:pt>
                <c:pt idx="76">
                  <c:v>0.4536926409403047</c:v>
                </c:pt>
                <c:pt idx="77">
                  <c:v>0.45835347936333604</c:v>
                </c:pt>
                <c:pt idx="78">
                  <c:v>0.46301467535285329</c:v>
                </c:pt>
                <c:pt idx="79">
                  <c:v>0.46767621950807653</c:v>
                </c:pt>
                <c:pt idx="80">
                  <c:v>0.47233810275490434</c:v>
                </c:pt>
                <c:pt idx="81">
                  <c:v>0.47233810275490434</c:v>
                </c:pt>
                <c:pt idx="82">
                  <c:v>0.47233810275490434</c:v>
                </c:pt>
                <c:pt idx="83">
                  <c:v>0.47233810275490434</c:v>
                </c:pt>
                <c:pt idx="84">
                  <c:v>0.47233810275490434</c:v>
                </c:pt>
                <c:pt idx="85">
                  <c:v>0.47233810275490434</c:v>
                </c:pt>
                <c:pt idx="86">
                  <c:v>0.47233810275490434</c:v>
                </c:pt>
                <c:pt idx="87">
                  <c:v>0.47233810275490434</c:v>
                </c:pt>
                <c:pt idx="88">
                  <c:v>0.47233810275490434</c:v>
                </c:pt>
                <c:pt idx="89">
                  <c:v>0.47233810275490434</c:v>
                </c:pt>
                <c:pt idx="90">
                  <c:v>0.47233810275490434</c:v>
                </c:pt>
                <c:pt idx="91">
                  <c:v>0.47233810275490434</c:v>
                </c:pt>
                <c:pt idx="92">
                  <c:v>0.47233810275490434</c:v>
                </c:pt>
                <c:pt idx="93">
                  <c:v>0.47233810275490434</c:v>
                </c:pt>
                <c:pt idx="94">
                  <c:v>0.47233810275490434</c:v>
                </c:pt>
                <c:pt idx="95">
                  <c:v>0.47233810275490434</c:v>
                </c:pt>
                <c:pt idx="96">
                  <c:v>0.47233810275490434</c:v>
                </c:pt>
                <c:pt idx="97">
                  <c:v>0.47233810275490434</c:v>
                </c:pt>
                <c:pt idx="98">
                  <c:v>0.47233810275490434</c:v>
                </c:pt>
                <c:pt idx="99">
                  <c:v>0.47233810275490434</c:v>
                </c:pt>
                <c:pt idx="100">
                  <c:v>0.47233810275490434</c:v>
                </c:pt>
              </c:numCache>
            </c:numRef>
          </c:yVal>
          <c:smooth val="0"/>
          <c:extLst>
            <c:ext xmlns:c16="http://schemas.microsoft.com/office/drawing/2014/chart" uri="{C3380CC4-5D6E-409C-BE32-E72D297353CC}">
              <c16:uniqueId val="{00000007-EB1F-4EC3-B581-2EA0DE6A59E4}"/>
            </c:ext>
          </c:extLst>
        </c:ser>
        <c:ser>
          <c:idx val="2"/>
          <c:order val="2"/>
          <c:tx>
            <c:strRef>
              <c:f>Breast_Ovarian!$CL$7</c:f>
              <c:strCache>
                <c:ptCount val="1"/>
                <c:pt idx="0">
                  <c:v>Previous OC (secondary y-axis)</c:v>
                </c:pt>
              </c:strCache>
            </c:strRef>
          </c:tx>
          <c:spPr>
            <a:ln w="19050" cap="rnd">
              <a:solidFill>
                <a:schemeClr val="accent3"/>
              </a:solidFill>
              <a:round/>
            </a:ln>
            <a:effectLst/>
          </c:spPr>
          <c:marker>
            <c:symbol val="none"/>
          </c:marker>
          <c:dLbls>
            <c:dLbl>
              <c:idx val="85"/>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EB1F-4EC3-B581-2EA0DE6A59E4}"/>
                </c:ext>
              </c:extLst>
            </c:dLbl>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Breast_Ovarian!$CJ$8:$CJ$108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Breast_Ovarian!$CL$8:$CL$108</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3.3843382445624778E-5</c:v>
                </c:pt>
                <c:pt idx="32">
                  <c:v>1.0320325833400128E-4</c:v>
                </c:pt>
                <c:pt idx="33">
                  <c:v>1.8762094354986091E-4</c:v>
                </c:pt>
                <c:pt idx="34">
                  <c:v>2.798198279827743E-4</c:v>
                </c:pt>
                <c:pt idx="35">
                  <c:v>3.7656135805187529E-4</c:v>
                </c:pt>
                <c:pt idx="36">
                  <c:v>4.7618521652061801E-4</c:v>
                </c:pt>
                <c:pt idx="37">
                  <c:v>5.7775233353618062E-4</c:v>
                </c:pt>
                <c:pt idx="38">
                  <c:v>6.8069161217463323E-4</c:v>
                </c:pt>
                <c:pt idx="39">
                  <c:v>7.8463577253433034E-4</c:v>
                </c:pt>
                <c:pt idx="40">
                  <c:v>8.8933787512670496E-4</c:v>
                </c:pt>
                <c:pt idx="41">
                  <c:v>1.3552582731234813E-3</c:v>
                </c:pt>
                <c:pt idx="42">
                  <c:v>1.8692204401865029E-3</c:v>
                </c:pt>
                <c:pt idx="43">
                  <c:v>2.4193868173710662E-3</c:v>
                </c:pt>
                <c:pt idx="44">
                  <c:v>2.997513721768074E-3</c:v>
                </c:pt>
                <c:pt idx="45">
                  <c:v>3.5976836882311474E-3</c:v>
                </c:pt>
                <c:pt idx="46">
                  <c:v>4.2155390184494233E-3</c:v>
                </c:pt>
                <c:pt idx="47">
                  <c:v>4.8477996349886535E-3</c:v>
                </c:pt>
                <c:pt idx="48">
                  <c:v>5.4919493680939922E-3</c:v>
                </c:pt>
                <c:pt idx="49">
                  <c:v>6.1460258052273981E-3</c:v>
                </c:pt>
                <c:pt idx="50">
                  <c:v>6.8084758973695481E-3</c:v>
                </c:pt>
                <c:pt idx="51">
                  <c:v>9.1050300329460591E-3</c:v>
                </c:pt>
                <c:pt idx="52">
                  <c:v>1.1608389193838966E-2</c:v>
                </c:pt>
                <c:pt idx="53">
                  <c:v>1.4289680398840798E-2</c:v>
                </c:pt>
                <c:pt idx="54">
                  <c:v>1.7125166439901231E-2</c:v>
                </c:pt>
                <c:pt idx="55">
                  <c:v>2.009515259400339E-2</c:v>
                </c:pt>
                <c:pt idx="56">
                  <c:v>2.3183161213132727E-2</c:v>
                </c:pt>
                <c:pt idx="57">
                  <c:v>2.6375300621800966E-2</c:v>
                </c:pt>
                <c:pt idx="58">
                  <c:v>2.9659776971841533E-2</c:v>
                </c:pt>
                <c:pt idx="59">
                  <c:v>3.3026512649120821E-2</c:v>
                </c:pt>
                <c:pt idx="60">
                  <c:v>3.6466845050255908E-2</c:v>
                </c:pt>
                <c:pt idx="61">
                  <c:v>4.3022201974182037E-2</c:v>
                </c:pt>
                <c:pt idx="62">
                  <c:v>4.9888864888872245E-2</c:v>
                </c:pt>
                <c:pt idx="63">
                  <c:v>5.7035553982289933E-2</c:v>
                </c:pt>
                <c:pt idx="64">
                  <c:v>6.4435044265801267E-2</c:v>
                </c:pt>
                <c:pt idx="65">
                  <c:v>7.2063529161904852E-2</c:v>
                </c:pt>
                <c:pt idx="66">
                  <c:v>7.9900100307262995E-2</c:v>
                </c:pt>
                <c:pt idx="67">
                  <c:v>8.7926319543220485E-2</c:v>
                </c:pt>
                <c:pt idx="68">
                  <c:v>9.6125864580616407E-2</c:v>
                </c:pt>
                <c:pt idx="69">
                  <c:v>0.10448423395615768</c:v>
                </c:pt>
                <c:pt idx="70">
                  <c:v>0.11298850001947731</c:v>
                </c:pt>
                <c:pt idx="71">
                  <c:v>0.11375058691671391</c:v>
                </c:pt>
                <c:pt idx="72">
                  <c:v>0.11451309553626719</c:v>
                </c:pt>
                <c:pt idx="73">
                  <c:v>0.11527601417527684</c:v>
                </c:pt>
                <c:pt idx="74">
                  <c:v>0.11603933155992219</c:v>
                </c:pt>
                <c:pt idx="75">
                  <c:v>0.11680303682593923</c:v>
                </c:pt>
                <c:pt idx="76">
                  <c:v>0.11756711950019051</c:v>
                </c:pt>
                <c:pt idx="77">
                  <c:v>0.11833156948322024</c:v>
                </c:pt>
                <c:pt idx="78">
                  <c:v>0.11909637703273587</c:v>
                </c:pt>
                <c:pt idx="79">
                  <c:v>0.1198615327479577</c:v>
                </c:pt>
                <c:pt idx="80">
                  <c:v>0.12062702755478408</c:v>
                </c:pt>
                <c:pt idx="81">
                  <c:v>0.12062702755478408</c:v>
                </c:pt>
                <c:pt idx="82">
                  <c:v>0.12062702755478408</c:v>
                </c:pt>
                <c:pt idx="83">
                  <c:v>0.12062702755478408</c:v>
                </c:pt>
                <c:pt idx="84">
                  <c:v>0.12062702755478408</c:v>
                </c:pt>
                <c:pt idx="85">
                  <c:v>0.12062702755478408</c:v>
                </c:pt>
                <c:pt idx="86">
                  <c:v>0.12062702755478408</c:v>
                </c:pt>
                <c:pt idx="87">
                  <c:v>0.12062702755478408</c:v>
                </c:pt>
                <c:pt idx="88">
                  <c:v>0.12062702755478408</c:v>
                </c:pt>
                <c:pt idx="89">
                  <c:v>0.12062702755478408</c:v>
                </c:pt>
                <c:pt idx="90">
                  <c:v>0.12062702755478408</c:v>
                </c:pt>
                <c:pt idx="91">
                  <c:v>0.12062702755478408</c:v>
                </c:pt>
                <c:pt idx="92">
                  <c:v>0.12062702755478408</c:v>
                </c:pt>
                <c:pt idx="93">
                  <c:v>0.12062702755478408</c:v>
                </c:pt>
                <c:pt idx="94">
                  <c:v>0.12062702755478408</c:v>
                </c:pt>
                <c:pt idx="95">
                  <c:v>0.12062702755478408</c:v>
                </c:pt>
                <c:pt idx="96">
                  <c:v>0.12062702755478408</c:v>
                </c:pt>
                <c:pt idx="97">
                  <c:v>0.12062702755478408</c:v>
                </c:pt>
                <c:pt idx="98">
                  <c:v>0.12062702755478408</c:v>
                </c:pt>
                <c:pt idx="99">
                  <c:v>0.12062702755478408</c:v>
                </c:pt>
                <c:pt idx="100">
                  <c:v>0.12062702755478408</c:v>
                </c:pt>
              </c:numCache>
            </c:numRef>
          </c:yVal>
          <c:smooth val="0"/>
          <c:extLst>
            <c:ext xmlns:c16="http://schemas.microsoft.com/office/drawing/2014/chart" uri="{C3380CC4-5D6E-409C-BE32-E72D297353CC}">
              <c16:uniqueId val="{00000009-EB1F-4EC3-B581-2EA0DE6A59E4}"/>
            </c:ext>
          </c:extLst>
        </c:ser>
        <c:dLbls>
          <c:showLegendKey val="0"/>
          <c:showVal val="0"/>
          <c:showCatName val="0"/>
          <c:showSerName val="0"/>
          <c:showPercent val="0"/>
          <c:showBubbleSize val="0"/>
        </c:dLbls>
        <c:axId val="560963256"/>
        <c:axId val="560961944"/>
      </c:scatterChart>
      <c:valAx>
        <c:axId val="808421248"/>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Age at Model Entry</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808425512"/>
        <c:crosses val="autoZero"/>
        <c:crossBetween val="midCat"/>
      </c:valAx>
      <c:valAx>
        <c:axId val="80842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808421248"/>
        <c:crosses val="autoZero"/>
        <c:crossBetween val="midCat"/>
      </c:valAx>
      <c:valAx>
        <c:axId val="560961944"/>
        <c:scaling>
          <c:orientation val="minMax"/>
        </c:scaling>
        <c:delete val="0"/>
        <c:axPos val="r"/>
        <c:numFmt formatCod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60963256"/>
        <c:crosses val="max"/>
        <c:crossBetween val="midCat"/>
      </c:valAx>
      <c:valAx>
        <c:axId val="560963256"/>
        <c:scaling>
          <c:orientation val="minMax"/>
        </c:scaling>
        <c:delete val="1"/>
        <c:axPos val="b"/>
        <c:numFmt formatCode="General" sourceLinked="1"/>
        <c:majorTickMark val="out"/>
        <c:minorTickMark val="none"/>
        <c:tickLblPos val="nextTo"/>
        <c:crossAx val="560961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DE$6" lockText="1" noThreeD="1"/>
</file>

<file path=xl/ctrlProps/ctrlProp3.xml><?xml version="1.0" encoding="utf-8"?>
<formControlPr xmlns="http://schemas.microsoft.com/office/spreadsheetml/2009/9/main" objectType="CheckBox" checked="Checked" fmlaLink="$DH$6" lockText="1" noThreeD="1"/>
</file>

<file path=xl/ctrlProps/ctrlProp4.xml><?xml version="1.0" encoding="utf-8"?>
<formControlPr xmlns="http://schemas.microsoft.com/office/spreadsheetml/2009/9/main" objectType="CheckBox" checked="Checked" fmlaLink="$DQ$6" lockText="1" noThreeD="1"/>
</file>

<file path=xl/ctrlProps/ctrlProp5.xml><?xml version="1.0" encoding="utf-8"?>
<formControlPr xmlns="http://schemas.microsoft.com/office/spreadsheetml/2009/9/main" objectType="CheckBox" checked="Checked" fmlaLink="$DT$6" lockText="1" noThreeD="1"/>
</file>

<file path=xl/ctrlProps/ctrlProp6.xml><?xml version="1.0" encoding="utf-8"?>
<formControlPr xmlns="http://schemas.microsoft.com/office/spreadsheetml/2009/9/main" objectType="CheckBox" checked="Checked" fmlaLink="$CZ$7" lockText="1" noThreeD="1"/>
</file>

<file path=xl/ctrlProps/ctrlProp7.xml><?xml version="1.0" encoding="utf-8"?>
<formControlPr xmlns="http://schemas.microsoft.com/office/spreadsheetml/2009/9/main" objectType="CheckBox" checked="Checked" fmlaLink="$FP$6" lockText="1" noThreeD="1"/>
</file>

<file path=xl/ctrlProps/ctrlProp8.xml><?xml version="1.0" encoding="utf-8"?>
<formControlPr xmlns="http://schemas.microsoft.com/office/spreadsheetml/2009/9/main" objectType="CheckBox" checked="Checked" fmlaLink="$FP$1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checked="Checked" fmlaLink="$DK$4" lockText="1" noThreeD="1"/>
</file>

<file path=xl/ctrlProps/ctrlProp13.xml><?xml version="1.0" encoding="utf-8"?>
<formControlPr xmlns="http://schemas.microsoft.com/office/spreadsheetml/2009/9/main" objectType="CheckBox" checked="Checked" fmlaLink="$DN$4" lockText="1" noThreeD="1"/>
</file>

<file path=xl/ctrlProps/ctrlProp14.xml><?xml version="1.0" encoding="utf-8"?>
<formControlPr xmlns="http://schemas.microsoft.com/office/spreadsheetml/2009/9/main" objectType="CheckBox" checked="Checked" fmlaLink="$DW$4" lockText="1" noThreeD="1"/>
</file>

<file path=xl/ctrlProps/ctrlProp15.xml><?xml version="1.0" encoding="utf-8"?>
<formControlPr xmlns="http://schemas.microsoft.com/office/spreadsheetml/2009/9/main" objectType="CheckBox" checked="Checked" fmlaLink="$DZ$4"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10</xdr:col>
      <xdr:colOff>0</xdr:colOff>
      <xdr:row>3</xdr:row>
      <xdr:rowOff>0</xdr:rowOff>
    </xdr:from>
    <xdr:to>
      <xdr:col>14</xdr:col>
      <xdr:colOff>0</xdr:colOff>
      <xdr:row>14</xdr:row>
      <xdr:rowOff>0</xdr:rowOff>
    </xdr:to>
    <xdr:graphicFrame macro="">
      <xdr:nvGraphicFramePr>
        <xdr:cNvPr id="3" name="Chart 1">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2</xdr:row>
      <xdr:rowOff>0</xdr:rowOff>
    </xdr:from>
    <xdr:to>
      <xdr:col>11</xdr:col>
      <xdr:colOff>0</xdr:colOff>
      <xdr:row>17</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9525</xdr:rowOff>
        </xdr:from>
        <xdr:to>
          <xdr:col>1</xdr:col>
          <xdr:colOff>657225</xdr:colOff>
          <xdr:row>4</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PSA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190499</xdr:rowOff>
    </xdr:from>
    <xdr:to>
      <xdr:col>2</xdr:col>
      <xdr:colOff>0</xdr:colOff>
      <xdr:row>94</xdr:row>
      <xdr:rowOff>0</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1000125</xdr:colOff>
      <xdr:row>49</xdr:row>
      <xdr:rowOff>180974</xdr:rowOff>
    </xdr:from>
    <xdr:to>
      <xdr:col>1</xdr:col>
      <xdr:colOff>2993232</xdr:colOff>
      <xdr:row>50</xdr:row>
      <xdr:rowOff>171449</xdr:rowOff>
    </xdr:to>
    <xdr:sp macro="" textlink="$N$9">
      <xdr:nvSpPr>
        <xdr:cNvPr id="4" name="TextBox 3">
          <a:extLst>
            <a:ext uri="{FF2B5EF4-FFF2-40B4-BE49-F238E27FC236}">
              <a16:creationId xmlns:a16="http://schemas.microsoft.com/office/drawing/2014/main" id="{00000000-0008-0000-0400-000004000000}"/>
            </a:ext>
          </a:extLst>
        </xdr:cNvPr>
        <xdr:cNvSpPr txBox="1"/>
      </xdr:nvSpPr>
      <xdr:spPr>
        <a:xfrm>
          <a:off x="1200150" y="9705974"/>
          <a:ext cx="1990725" cy="180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A75A8E8C-57BF-4D91-97B8-068284A1D7E5}" type="TxLink">
            <a:rPr lang="en-US" sz="1100" b="1" i="0" u="none" strike="noStrike">
              <a:solidFill>
                <a:srgbClr val="000000"/>
              </a:solidFill>
              <a:latin typeface="Arial" pitchFamily="34" charset="0"/>
              <a:cs typeface="Arial" pitchFamily="34" charset="0"/>
            </a:rPr>
            <a:pPr/>
            <a:t>MEAN: $16</a:t>
          </a:fld>
          <a:endParaRPr lang="en-US" sz="1100" b="1">
            <a:latin typeface="Arial" pitchFamily="34" charset="0"/>
            <a:cs typeface="Arial"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5</xdr:row>
      <xdr:rowOff>0</xdr:rowOff>
    </xdr:from>
    <xdr:to>
      <xdr:col>3</xdr:col>
      <xdr:colOff>0</xdr:colOff>
      <xdr:row>6</xdr:row>
      <xdr:rowOff>0</xdr:rowOff>
    </xdr:to>
    <xdr:sp macro="[0]!Sheet05.Owsa_Scroll" textlink="">
      <xdr:nvSpPr>
        <xdr:cNvPr id="2" name="Rectangle 1">
          <a:extLst>
            <a:ext uri="{FF2B5EF4-FFF2-40B4-BE49-F238E27FC236}">
              <a16:creationId xmlns:a16="http://schemas.microsoft.com/office/drawing/2014/main" id="{00000000-0008-0000-0500-000002000000}"/>
            </a:ext>
          </a:extLst>
        </xdr:cNvPr>
        <xdr:cNvSpPr/>
      </xdr:nvSpPr>
      <xdr:spPr>
        <a:xfrm>
          <a:off x="202406" y="1333500"/>
          <a:ext cx="3964782"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0</xdr:rowOff>
    </xdr:from>
    <xdr:to>
      <xdr:col>3</xdr:col>
      <xdr:colOff>0</xdr:colOff>
      <xdr:row>3</xdr:row>
      <xdr:rowOff>0</xdr:rowOff>
    </xdr:to>
    <xdr:sp macro="[0]!Sheet05.Parameter_Scroll" textlink="">
      <xdr:nvSpPr>
        <xdr:cNvPr id="3" name="Rectangle 2">
          <a:extLst>
            <a:ext uri="{FF2B5EF4-FFF2-40B4-BE49-F238E27FC236}">
              <a16:creationId xmlns:a16="http://schemas.microsoft.com/office/drawing/2014/main" id="{00000000-0008-0000-0500-000003000000}"/>
            </a:ext>
          </a:extLst>
        </xdr:cNvPr>
        <xdr:cNvSpPr/>
      </xdr:nvSpPr>
      <xdr:spPr>
        <a:xfrm>
          <a:off x="202406" y="571500"/>
          <a:ext cx="3964782"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3</xdr:row>
      <xdr:rowOff>0</xdr:rowOff>
    </xdr:from>
    <xdr:to>
      <xdr:col>3</xdr:col>
      <xdr:colOff>0</xdr:colOff>
      <xdr:row>4</xdr:row>
      <xdr:rowOff>0</xdr:rowOff>
    </xdr:to>
    <xdr:sp macro="[0]!Sheet05.Test_Scroll" textlink="">
      <xdr:nvSpPr>
        <xdr:cNvPr id="5" name="Rectangle 4">
          <a:extLst>
            <a:ext uri="{FF2B5EF4-FFF2-40B4-BE49-F238E27FC236}">
              <a16:creationId xmlns:a16="http://schemas.microsoft.com/office/drawing/2014/main" id="{00000000-0008-0000-0500-000005000000}"/>
            </a:ext>
          </a:extLst>
        </xdr:cNvPr>
        <xdr:cNvSpPr/>
      </xdr:nvSpPr>
      <xdr:spPr>
        <a:xfrm>
          <a:off x="202406" y="952500"/>
          <a:ext cx="3964782"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4</xdr:row>
      <xdr:rowOff>0</xdr:rowOff>
    </xdr:from>
    <xdr:to>
      <xdr:col>3</xdr:col>
      <xdr:colOff>0</xdr:colOff>
      <xdr:row>5</xdr:row>
      <xdr:rowOff>0</xdr:rowOff>
    </xdr:to>
    <xdr:sp macro="[0]!Sheet05.No_Scroll" textlink="">
      <xdr:nvSpPr>
        <xdr:cNvPr id="6" name="Rectangle 5">
          <a:extLst>
            <a:ext uri="{FF2B5EF4-FFF2-40B4-BE49-F238E27FC236}">
              <a16:creationId xmlns:a16="http://schemas.microsoft.com/office/drawing/2014/main" id="{00000000-0008-0000-0500-000006000000}"/>
            </a:ext>
          </a:extLst>
        </xdr:cNvPr>
        <xdr:cNvSpPr/>
      </xdr:nvSpPr>
      <xdr:spPr>
        <a:xfrm>
          <a:off x="202406" y="1143000"/>
          <a:ext cx="3964782"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79</xdr:col>
      <xdr:colOff>1</xdr:colOff>
      <xdr:row>22</xdr:row>
      <xdr:rowOff>0</xdr:rowOff>
    </xdr:from>
    <xdr:to>
      <xdr:col>80</xdr:col>
      <xdr:colOff>0</xdr:colOff>
      <xdr:row>59</xdr:row>
      <xdr:rowOff>0</xdr:rowOff>
    </xdr:to>
    <xdr:graphicFrame macro="">
      <xdr:nvGraphicFramePr>
        <xdr:cNvPr id="7" name="boc_owsa">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80</xdr:col>
      <xdr:colOff>1690687</xdr:colOff>
      <xdr:row>4</xdr:row>
      <xdr:rowOff>0</xdr:rowOff>
    </xdr:from>
    <xdr:to>
      <xdr:col>85</xdr:col>
      <xdr:colOff>964405</xdr:colOff>
      <xdr:row>19</xdr:row>
      <xdr:rowOff>0</xdr:rowOff>
    </xdr:to>
    <xdr:graphicFrame macro="">
      <xdr:nvGraphicFramePr>
        <xdr:cNvPr id="11" name="Chart 1">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79</xdr:col>
      <xdr:colOff>0</xdr:colOff>
      <xdr:row>4</xdr:row>
      <xdr:rowOff>0</xdr:rowOff>
    </xdr:from>
    <xdr:to>
      <xdr:col>80</xdr:col>
      <xdr:colOff>1690687</xdr:colOff>
      <xdr:row>19</xdr:row>
      <xdr:rowOff>0</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106</xdr:col>
      <xdr:colOff>0</xdr:colOff>
      <xdr:row>26</xdr:row>
      <xdr:rowOff>185852</xdr:rowOff>
    </xdr:from>
    <xdr:to>
      <xdr:col>118</xdr:col>
      <xdr:colOff>0</xdr:colOff>
      <xdr:row>58</xdr:row>
      <xdr:rowOff>185852</xdr:rowOff>
    </xdr:to>
    <xdr:graphicFrame macro="">
      <xdr:nvGraphicFramePr>
        <xdr:cNvPr id="24" name="Chart 23">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118</xdr:col>
      <xdr:colOff>0</xdr:colOff>
      <xdr:row>27</xdr:row>
      <xdr:rowOff>1</xdr:rowOff>
    </xdr:from>
    <xdr:to>
      <xdr:col>130</xdr:col>
      <xdr:colOff>0</xdr:colOff>
      <xdr:row>59</xdr:row>
      <xdr:rowOff>0</xdr:rowOff>
    </xdr:to>
    <xdr:graphicFrame macro="">
      <xdr:nvGraphicFramePr>
        <xdr:cNvPr id="25" name="Chart 24">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118</xdr:col>
      <xdr:colOff>0</xdr:colOff>
      <xdr:row>13</xdr:row>
      <xdr:rowOff>0</xdr:rowOff>
    </xdr:from>
    <xdr:to>
      <xdr:col>130</xdr:col>
      <xdr:colOff>0</xdr:colOff>
      <xdr:row>26</xdr:row>
      <xdr:rowOff>190499</xdr:rowOff>
    </xdr:to>
    <xdr:graphicFrame macro="">
      <xdr:nvGraphicFramePr>
        <xdr:cNvPr id="29" name="Chart 28">
          <a:extLst>
            <a:ext uri="{FF2B5EF4-FFF2-40B4-BE49-F238E27FC236}">
              <a16:creationId xmlns:a16="http://schemas.microsoft.com/office/drawing/2014/main" id="{00000000-0008-0000-05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106</xdr:col>
      <xdr:colOff>0</xdr:colOff>
      <xdr:row>13</xdr:row>
      <xdr:rowOff>0</xdr:rowOff>
    </xdr:from>
    <xdr:to>
      <xdr:col>118</xdr:col>
      <xdr:colOff>0</xdr:colOff>
      <xdr:row>27</xdr:row>
      <xdr:rowOff>0</xdr:rowOff>
    </xdr:to>
    <xdr:graphicFrame macro="">
      <xdr:nvGraphicFramePr>
        <xdr:cNvPr id="30" name="Chart 29">
          <a:extLst>
            <a:ext uri="{FF2B5EF4-FFF2-40B4-BE49-F238E27FC236}">
              <a16:creationId xmlns:a16="http://schemas.microsoft.com/office/drawing/2014/main" id="{00000000-0008-0000-05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0</xdr:colOff>
      <xdr:row>8</xdr:row>
      <xdr:rowOff>0</xdr:rowOff>
    </xdr:from>
    <xdr:to>
      <xdr:col>14</xdr:col>
      <xdr:colOff>0</xdr:colOff>
      <xdr:row>29</xdr:row>
      <xdr:rowOff>46804</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8"/>
        <a:stretch>
          <a:fillRect/>
        </a:stretch>
      </xdr:blipFill>
      <xdr:spPr>
        <a:xfrm>
          <a:off x="204107" y="1714500"/>
          <a:ext cx="15144750" cy="404730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4</xdr:col>
          <xdr:colOff>0</xdr:colOff>
          <xdr:row>94</xdr:row>
          <xdr:rowOff>28575</xdr:rowOff>
        </xdr:to>
        <xdr:sp macro="" textlink="">
          <xdr:nvSpPr>
            <xdr:cNvPr id="10086" name="Check Box 2918" hidden="1">
              <a:extLst>
                <a:ext uri="{63B3BB69-23CF-44E3-9099-C40C66FF867C}">
                  <a14:compatExt spid="_x0000_s10086"/>
                </a:ext>
                <a:ext uri="{FF2B5EF4-FFF2-40B4-BE49-F238E27FC236}">
                  <a16:creationId xmlns:a16="http://schemas.microsoft.com/office/drawing/2014/main" id="{00000000-0008-0000-0500-000066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4</xdr:col>
          <xdr:colOff>0</xdr:colOff>
          <xdr:row>95</xdr:row>
          <xdr:rowOff>28575</xdr:rowOff>
        </xdr:to>
        <xdr:sp macro="" textlink="">
          <xdr:nvSpPr>
            <xdr:cNvPr id="10087" name="Check Box 2919" hidden="1">
              <a:extLst>
                <a:ext uri="{63B3BB69-23CF-44E3-9099-C40C66FF867C}">
                  <a14:compatExt spid="_x0000_s10087"/>
                </a:ext>
                <a:ext uri="{FF2B5EF4-FFF2-40B4-BE49-F238E27FC236}">
                  <a16:creationId xmlns:a16="http://schemas.microsoft.com/office/drawing/2014/main" id="{00000000-0008-0000-0500-000067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4</xdr:col>
          <xdr:colOff>0</xdr:colOff>
          <xdr:row>97</xdr:row>
          <xdr:rowOff>28575</xdr:rowOff>
        </xdr:to>
        <xdr:sp macro="" textlink="">
          <xdr:nvSpPr>
            <xdr:cNvPr id="10088" name="Check Box 2920" hidden="1">
              <a:extLst>
                <a:ext uri="{63B3BB69-23CF-44E3-9099-C40C66FF867C}">
                  <a14:compatExt spid="_x0000_s10088"/>
                </a:ext>
                <a:ext uri="{FF2B5EF4-FFF2-40B4-BE49-F238E27FC236}">
                  <a16:creationId xmlns:a16="http://schemas.microsoft.com/office/drawing/2014/main" id="{00000000-0008-0000-0500-000068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4</xdr:col>
          <xdr:colOff>0</xdr:colOff>
          <xdr:row>98</xdr:row>
          <xdr:rowOff>28575</xdr:rowOff>
        </xdr:to>
        <xdr:sp macro="" textlink="">
          <xdr:nvSpPr>
            <xdr:cNvPr id="10089" name="Check Box 2921" hidden="1">
              <a:extLst>
                <a:ext uri="{63B3BB69-23CF-44E3-9099-C40C66FF867C}">
                  <a14:compatExt spid="_x0000_s10089"/>
                </a:ext>
                <a:ext uri="{FF2B5EF4-FFF2-40B4-BE49-F238E27FC236}">
                  <a16:creationId xmlns:a16="http://schemas.microsoft.com/office/drawing/2014/main" id="{00000000-0008-0000-0500-000069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4</xdr:col>
          <xdr:colOff>0</xdr:colOff>
          <xdr:row>100</xdr:row>
          <xdr:rowOff>28575</xdr:rowOff>
        </xdr:to>
        <xdr:sp macro="" textlink="">
          <xdr:nvSpPr>
            <xdr:cNvPr id="10090" name="Check Box 2922" hidden="1">
              <a:extLst>
                <a:ext uri="{63B3BB69-23CF-44E3-9099-C40C66FF867C}">
                  <a14:compatExt spid="_x0000_s10090"/>
                </a:ext>
                <a:ext uri="{FF2B5EF4-FFF2-40B4-BE49-F238E27FC236}">
                  <a16:creationId xmlns:a16="http://schemas.microsoft.com/office/drawing/2014/main" id="{00000000-0008-0000-0500-00006A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4</xdr:col>
          <xdr:colOff>0</xdr:colOff>
          <xdr:row>101</xdr:row>
          <xdr:rowOff>28575</xdr:rowOff>
        </xdr:to>
        <xdr:sp macro="" textlink="">
          <xdr:nvSpPr>
            <xdr:cNvPr id="10091" name="Check Box 2923" hidden="1">
              <a:extLst>
                <a:ext uri="{63B3BB69-23CF-44E3-9099-C40C66FF867C}">
                  <a14:compatExt spid="_x0000_s10091"/>
                </a:ext>
                <a:ext uri="{FF2B5EF4-FFF2-40B4-BE49-F238E27FC236}">
                  <a16:creationId xmlns:a16="http://schemas.microsoft.com/office/drawing/2014/main" id="{00000000-0008-0000-0500-00006B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4</xdr:col>
          <xdr:colOff>0</xdr:colOff>
          <xdr:row>102</xdr:row>
          <xdr:rowOff>28575</xdr:rowOff>
        </xdr:to>
        <xdr:sp macro="" textlink="">
          <xdr:nvSpPr>
            <xdr:cNvPr id="10093" name="Check Box 2925" hidden="1">
              <a:extLst>
                <a:ext uri="{63B3BB69-23CF-44E3-9099-C40C66FF867C}">
                  <a14:compatExt spid="_x0000_s10093"/>
                </a:ext>
                <a:ext uri="{FF2B5EF4-FFF2-40B4-BE49-F238E27FC236}">
                  <a16:creationId xmlns:a16="http://schemas.microsoft.com/office/drawing/2014/main" id="{00000000-0008-0000-0500-00006D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0</xdr:colOff>
          <xdr:row>59</xdr:row>
          <xdr:rowOff>0</xdr:rowOff>
        </xdr:from>
        <xdr:to>
          <xdr:col>80</xdr:col>
          <xdr:colOff>0</xdr:colOff>
          <xdr:row>62</xdr:row>
          <xdr:rowOff>0</xdr:rowOff>
        </xdr:to>
        <xdr:sp macro="" textlink="">
          <xdr:nvSpPr>
            <xdr:cNvPr id="10124" name="Button 2956" hidden="1">
              <a:extLst>
                <a:ext uri="{63B3BB69-23CF-44E3-9099-C40C66FF867C}">
                  <a14:compatExt spid="_x0000_s10124"/>
                </a:ext>
                <a:ext uri="{FF2B5EF4-FFF2-40B4-BE49-F238E27FC236}">
                  <a16:creationId xmlns:a16="http://schemas.microsoft.com/office/drawing/2014/main" id="{00000000-0008-0000-0500-00008C2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Run OWSA</a:t>
              </a:r>
            </a:p>
          </xdr:txBody>
        </xdr:sp>
        <xdr:clientData fPrintsWithSheet="0"/>
      </xdr:twoCellAnchor>
    </mc:Choice>
    <mc:Fallback/>
  </mc:AlternateContent>
  <xdr:twoCellAnchor>
    <xdr:from>
      <xdr:col>1</xdr:col>
      <xdr:colOff>0</xdr:colOff>
      <xdr:row>6</xdr:row>
      <xdr:rowOff>0</xdr:rowOff>
    </xdr:from>
    <xdr:to>
      <xdr:col>3</xdr:col>
      <xdr:colOff>0</xdr:colOff>
      <xdr:row>7</xdr:row>
      <xdr:rowOff>0</xdr:rowOff>
    </xdr:to>
    <xdr:sp macro="[0]!Sheet05.Appx_Scroll" textlink="">
      <xdr:nvSpPr>
        <xdr:cNvPr id="4" name="Rectangle 3">
          <a:extLst>
            <a:ext uri="{FF2B5EF4-FFF2-40B4-BE49-F238E27FC236}">
              <a16:creationId xmlns:a16="http://schemas.microsoft.com/office/drawing/2014/main" id="{00000000-0008-0000-0500-000004000000}"/>
            </a:ext>
          </a:extLst>
        </xdr:cNvPr>
        <xdr:cNvSpPr/>
      </xdr:nvSpPr>
      <xdr:spPr>
        <a:xfrm>
          <a:off x="201083" y="1333500"/>
          <a:ext cx="4138084"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84</xdr:col>
          <xdr:colOff>0</xdr:colOff>
          <xdr:row>2</xdr:row>
          <xdr:rowOff>0</xdr:rowOff>
        </xdr:from>
        <xdr:to>
          <xdr:col>86</xdr:col>
          <xdr:colOff>0</xdr:colOff>
          <xdr:row>3</xdr:row>
          <xdr:rowOff>0</xdr:rowOff>
        </xdr:to>
        <xdr:sp macro="" textlink="">
          <xdr:nvSpPr>
            <xdr:cNvPr id="10126" name="Button 2958" hidden="1">
              <a:extLst>
                <a:ext uri="{63B3BB69-23CF-44E3-9099-C40C66FF867C}">
                  <a14:compatExt spid="_x0000_s10126"/>
                </a:ext>
                <a:ext uri="{FF2B5EF4-FFF2-40B4-BE49-F238E27FC236}">
                  <a16:creationId xmlns:a16="http://schemas.microsoft.com/office/drawing/2014/main" id="{00000000-0008-0000-0500-00008E2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Run PSA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87</xdr:col>
          <xdr:colOff>0</xdr:colOff>
          <xdr:row>2</xdr:row>
          <xdr:rowOff>0</xdr:rowOff>
        </xdr:from>
        <xdr:to>
          <xdr:col>88</xdr:col>
          <xdr:colOff>0</xdr:colOff>
          <xdr:row>3</xdr:row>
          <xdr:rowOff>0</xdr:rowOff>
        </xdr:to>
        <xdr:sp macro="" textlink="">
          <xdr:nvSpPr>
            <xdr:cNvPr id="10130" name="Button 2962" hidden="1">
              <a:extLst>
                <a:ext uri="{63B3BB69-23CF-44E3-9099-C40C66FF867C}">
                  <a14:compatExt spid="_x0000_s10130"/>
                </a:ext>
                <a:ext uri="{FF2B5EF4-FFF2-40B4-BE49-F238E27FC236}">
                  <a16:creationId xmlns:a16="http://schemas.microsoft.com/office/drawing/2014/main" id="{00000000-0008-0000-0500-0000922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Run Age Macro</a:t>
              </a:r>
            </a:p>
          </xdr:txBody>
        </xdr:sp>
        <xdr:clientData fPrintsWithSheet="0"/>
      </xdr:twoCellAnchor>
    </mc:Choice>
    <mc:Fallback/>
  </mc:AlternateContent>
  <xdr:twoCellAnchor>
    <xdr:from>
      <xdr:col>88</xdr:col>
      <xdr:colOff>0</xdr:colOff>
      <xdr:row>20</xdr:row>
      <xdr:rowOff>0</xdr:rowOff>
    </xdr:from>
    <xdr:to>
      <xdr:col>99</xdr:col>
      <xdr:colOff>1</xdr:colOff>
      <xdr:row>52</xdr:row>
      <xdr:rowOff>0</xdr:rowOff>
    </xdr:to>
    <xdr:graphicFrame macro="">
      <xdr:nvGraphicFramePr>
        <xdr:cNvPr id="26" name="Chart 25">
          <a:extLst>
            <a:ext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103</xdr:row>
          <xdr:rowOff>0</xdr:rowOff>
        </xdr:from>
        <xdr:to>
          <xdr:col>4</xdr:col>
          <xdr:colOff>0</xdr:colOff>
          <xdr:row>104</xdr:row>
          <xdr:rowOff>28575</xdr:rowOff>
        </xdr:to>
        <xdr:sp macro="" textlink="">
          <xdr:nvSpPr>
            <xdr:cNvPr id="10131" name="Check Box 2963" hidden="1">
              <a:extLst>
                <a:ext uri="{63B3BB69-23CF-44E3-9099-C40C66FF867C}">
                  <a14:compatExt spid="_x0000_s10131"/>
                </a:ext>
                <a:ext uri="{FF2B5EF4-FFF2-40B4-BE49-F238E27FC236}">
                  <a16:creationId xmlns:a16="http://schemas.microsoft.com/office/drawing/2014/main" id="{00000000-0008-0000-0500-000093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4</xdr:col>
          <xdr:colOff>0</xdr:colOff>
          <xdr:row>105</xdr:row>
          <xdr:rowOff>28575</xdr:rowOff>
        </xdr:to>
        <xdr:sp macro="" textlink="">
          <xdr:nvSpPr>
            <xdr:cNvPr id="10132" name="Check Box 2964" hidden="1">
              <a:extLst>
                <a:ext uri="{63B3BB69-23CF-44E3-9099-C40C66FF867C}">
                  <a14:compatExt spid="_x0000_s10132"/>
                </a:ext>
                <a:ext uri="{FF2B5EF4-FFF2-40B4-BE49-F238E27FC236}">
                  <a16:creationId xmlns:a16="http://schemas.microsoft.com/office/drawing/2014/main" id="{00000000-0008-0000-0500-000094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4</xdr:col>
          <xdr:colOff>0</xdr:colOff>
          <xdr:row>107</xdr:row>
          <xdr:rowOff>28575</xdr:rowOff>
        </xdr:to>
        <xdr:sp macro="" textlink="">
          <xdr:nvSpPr>
            <xdr:cNvPr id="10133" name="Check Box 2965" hidden="1">
              <a:extLst>
                <a:ext uri="{63B3BB69-23CF-44E3-9099-C40C66FF867C}">
                  <a14:compatExt spid="_x0000_s10133"/>
                </a:ext>
                <a:ext uri="{FF2B5EF4-FFF2-40B4-BE49-F238E27FC236}">
                  <a16:creationId xmlns:a16="http://schemas.microsoft.com/office/drawing/2014/main" id="{00000000-0008-0000-0500-000095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4</xdr:col>
          <xdr:colOff>0</xdr:colOff>
          <xdr:row>108</xdr:row>
          <xdr:rowOff>28575</xdr:rowOff>
        </xdr:to>
        <xdr:sp macro="" textlink="">
          <xdr:nvSpPr>
            <xdr:cNvPr id="10134" name="Check Box 2966" hidden="1">
              <a:extLst>
                <a:ext uri="{63B3BB69-23CF-44E3-9099-C40C66FF867C}">
                  <a14:compatExt spid="_x0000_s10134"/>
                </a:ext>
                <a:ext uri="{FF2B5EF4-FFF2-40B4-BE49-F238E27FC236}">
                  <a16:creationId xmlns:a16="http://schemas.microsoft.com/office/drawing/2014/main" id="{00000000-0008-0000-0500-0000962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Vapor Trail">
  <a:themeElements>
    <a:clrScheme name="Vapor Trail">
      <a:dk1>
        <a:sysClr val="windowText" lastClr="000000"/>
      </a:dk1>
      <a:lt1>
        <a:sysClr val="window" lastClr="FFFFFF"/>
      </a:lt1>
      <a:dk2>
        <a:srgbClr val="454545"/>
      </a:dk2>
      <a:lt2>
        <a:srgbClr val="DADADA"/>
      </a:lt2>
      <a:accent1>
        <a:srgbClr val="DF2E28"/>
      </a:accent1>
      <a:accent2>
        <a:srgbClr val="FE801A"/>
      </a:accent2>
      <a:accent3>
        <a:srgbClr val="E9BF35"/>
      </a:accent3>
      <a:accent4>
        <a:srgbClr val="81BB42"/>
      </a:accent4>
      <a:accent5>
        <a:srgbClr val="32C7A9"/>
      </a:accent5>
      <a:accent6>
        <a:srgbClr val="4A9BDC"/>
      </a:accent6>
      <a:hlink>
        <a:srgbClr val="F0532B"/>
      </a:hlink>
      <a:folHlink>
        <a:srgbClr val="F38B53"/>
      </a:folHlink>
    </a:clrScheme>
    <a:fontScheme name="Vapor Trail">
      <a:majorFont>
        <a:latin typeface="Century Gothic" panose="020B0502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Vapor Trail">
      <a:fillStyleLst>
        <a:solidFill>
          <a:schemeClr val="phClr"/>
        </a:solidFill>
        <a:gradFill rotWithShape="1">
          <a:gsLst>
            <a:gs pos="0">
              <a:schemeClr val="phClr">
                <a:tint val="69000"/>
                <a:alpha val="100000"/>
                <a:satMod val="109000"/>
                <a:lumMod val="110000"/>
              </a:schemeClr>
            </a:gs>
            <a:gs pos="52000">
              <a:schemeClr val="phClr">
                <a:tint val="74000"/>
                <a:satMod val="100000"/>
                <a:lumMod val="104000"/>
              </a:schemeClr>
            </a:gs>
            <a:gs pos="100000">
              <a:schemeClr val="phClr">
                <a:tint val="78000"/>
                <a:satMod val="100000"/>
                <a:lumMod val="100000"/>
              </a:schemeClr>
            </a:gs>
          </a:gsLst>
          <a:lin ang="5400000" scaled="0"/>
        </a:gradFill>
        <a:gradFill rotWithShape="1">
          <a:gsLst>
            <a:gs pos="0">
              <a:schemeClr val="phClr">
                <a:tint val="96000"/>
                <a:satMod val="100000"/>
                <a:lumMod val="104000"/>
              </a:schemeClr>
            </a:gs>
            <a:gs pos="78000">
              <a:schemeClr val="phClr">
                <a:shade val="100000"/>
                <a:satMod val="110000"/>
                <a:lumMod val="100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cene3d>
            <a:camera prst="orthographicFront">
              <a:rot lat="0" lon="0" rev="0"/>
            </a:camera>
            <a:lightRig rig="threePt" dir="t"/>
          </a:scene3d>
          <a:sp3d>
            <a:bevelT w="25400" h="12700"/>
          </a:sp3d>
        </a:effectStyle>
        <a:effectStyle>
          <a:effectLst>
            <a:outerShdw blurRad="57150" dist="19050" dir="5400000" algn="ctr" rotWithShape="0">
              <a:srgbClr val="000000">
                <a:alpha val="48000"/>
              </a:srgbClr>
            </a:outerShdw>
          </a:effectLst>
          <a:scene3d>
            <a:camera prst="orthographicFront">
              <a:rot lat="0" lon="0" rev="0"/>
            </a:camera>
            <a:lightRig rig="threePt" dir="t"/>
          </a:scene3d>
          <a:sp3d>
            <a:bevelT w="50800" h="25400"/>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Vapor Trail" id="{4FDF2955-7D9C-493C-B9F9-C205151B46CD}" vid="{8F31A783-2159-4870-BC29-2BA7D038EA44}"/>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5.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6.bin"/><Relationship Id="rId16" Type="http://schemas.openxmlformats.org/officeDocument/2006/relationships/ctrlProp" Target="../ctrlProps/ctrlProp13.xml"/><Relationship Id="rId1" Type="http://schemas.openxmlformats.org/officeDocument/2006/relationships/hyperlink" Target="https://seer.cancer.gov/csr/1975_2014/browse_csr.php" TargetMode="Externa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89EB6-E7FF-40E0-AD8E-91C4712293F2}">
  <sheetPr codeName="Sheet01"/>
  <dimension ref="A1:Y66"/>
  <sheetViews>
    <sheetView showGridLines="0" zoomScale="80" zoomScaleNormal="80" zoomScalePageLayoutView="125" workbookViewId="0">
      <selection activeCell="D11" sqref="D11"/>
    </sheetView>
  </sheetViews>
  <sheetFormatPr defaultColWidth="9" defaultRowHeight="14.25" x14ac:dyDescent="0.2"/>
  <cols>
    <col min="1" max="1" width="2.625" style="24" customWidth="1"/>
    <col min="2" max="2" width="47.5" style="24" bestFit="1" customWidth="1"/>
    <col min="3" max="4" width="12.625" style="24" customWidth="1"/>
    <col min="5" max="7" width="12.625" style="26" customWidth="1"/>
    <col min="8" max="10" width="12.625" style="24" customWidth="1"/>
    <col min="11" max="11" width="12.625" style="26" customWidth="1"/>
    <col min="12" max="16" width="12.625" style="24" customWidth="1"/>
    <col min="17" max="17" width="12.625" style="26" customWidth="1"/>
    <col min="18" max="20" width="12.625" style="24" customWidth="1"/>
    <col min="21" max="21" width="15.625" style="24" customWidth="1"/>
    <col min="22" max="22" width="10.625" style="24" bestFit="1" customWidth="1"/>
    <col min="23" max="16384" width="9" style="24"/>
  </cols>
  <sheetData>
    <row r="1" spans="1:24" s="4" customFormat="1" ht="30" customHeight="1" thickBot="1" x14ac:dyDescent="0.25">
      <c r="A1" s="3" t="s">
        <v>0</v>
      </c>
    </row>
    <row r="2" spans="1:24" ht="15" customHeight="1" x14ac:dyDescent="0.2">
      <c r="F2" s="49"/>
      <c r="G2" s="49"/>
      <c r="H2" s="34"/>
      <c r="I2" s="34"/>
      <c r="J2" s="48"/>
      <c r="L2" s="34"/>
      <c r="M2" s="34"/>
      <c r="N2" s="34"/>
      <c r="O2" s="34"/>
      <c r="P2" s="48"/>
      <c r="R2" s="48"/>
      <c r="S2" s="48"/>
      <c r="T2" s="48"/>
      <c r="U2" s="48"/>
      <c r="V2" s="48"/>
      <c r="W2" s="48"/>
      <c r="X2" s="48"/>
    </row>
    <row r="3" spans="1:24" ht="15" customHeight="1" x14ac:dyDescent="0.2">
      <c r="B3" s="92" t="s">
        <v>66</v>
      </c>
      <c r="C3" s="93"/>
      <c r="D3" s="93"/>
      <c r="E3" s="93"/>
      <c r="H3" s="2" t="s">
        <v>143</v>
      </c>
      <c r="I3" s="2"/>
      <c r="J3" s="2"/>
      <c r="K3" s="1"/>
      <c r="L3" s="250"/>
      <c r="M3" s="250"/>
      <c r="N3" s="250"/>
      <c r="P3" s="274" t="s">
        <v>149</v>
      </c>
      <c r="Q3" s="273"/>
      <c r="R3" s="276" t="s">
        <v>151</v>
      </c>
      <c r="S3" s="280" t="s">
        <v>152</v>
      </c>
      <c r="T3" s="273"/>
      <c r="U3" s="48"/>
    </row>
    <row r="4" spans="1:24" ht="15" customHeight="1" x14ac:dyDescent="0.2">
      <c r="B4" s="133"/>
      <c r="C4" s="242" t="s">
        <v>16</v>
      </c>
      <c r="D4" s="242" t="s">
        <v>17</v>
      </c>
      <c r="E4" s="242" t="s">
        <v>18</v>
      </c>
      <c r="H4" s="233"/>
      <c r="I4" s="242" t="s">
        <v>6</v>
      </c>
      <c r="J4" s="242" t="s">
        <v>7</v>
      </c>
      <c r="K4" s="7"/>
      <c r="L4" s="233"/>
      <c r="M4" s="233"/>
      <c r="N4" s="233"/>
      <c r="P4" s="275"/>
      <c r="Q4" s="242" t="s">
        <v>6</v>
      </c>
      <c r="R4" s="242" t="s">
        <v>7</v>
      </c>
      <c r="S4" s="277" t="s">
        <v>6</v>
      </c>
      <c r="T4" s="242" t="s">
        <v>7</v>
      </c>
      <c r="U4" s="48"/>
    </row>
    <row r="5" spans="1:24" ht="15" customHeight="1" x14ac:dyDescent="0.2">
      <c r="B5" s="26"/>
      <c r="C5" s="26"/>
      <c r="D5" s="26"/>
      <c r="H5" s="26"/>
      <c r="K5" s="7"/>
      <c r="L5" s="233"/>
      <c r="M5" s="233"/>
      <c r="N5" s="233"/>
      <c r="P5" s="24" t="s">
        <v>150</v>
      </c>
      <c r="Q5" s="56">
        <f ca="1">boc_test_cost</f>
        <v>70343.496645943873</v>
      </c>
      <c r="R5" s="54">
        <f ca="1">boc_test_qalys</f>
        <v>16.204166848329301</v>
      </c>
      <c r="S5" s="279">
        <f ca="1">boc_notest_cost</f>
        <v>72098.395696782725</v>
      </c>
      <c r="T5" s="278">
        <f ca="1">boc_notest_qalys</f>
        <v>16.073533878628474</v>
      </c>
      <c r="U5" s="48"/>
    </row>
    <row r="6" spans="1:24" ht="15" customHeight="1" x14ac:dyDescent="0.2">
      <c r="B6" s="246" t="s">
        <v>32</v>
      </c>
      <c r="C6" s="228">
        <f>IF(ISBLANK(D6),E6,D6)</f>
        <v>1</v>
      </c>
      <c r="D6" s="141"/>
      <c r="E6" s="228">
        <v>1</v>
      </c>
      <c r="H6" s="462" t="s">
        <v>26</v>
      </c>
      <c r="I6" s="56">
        <f ca="1">SUM(Q5:Q14)</f>
        <v>70343.496645943873</v>
      </c>
      <c r="J6" s="281">
        <f ca="1">SUM(R5:R14)</f>
        <v>16.204166848329301</v>
      </c>
      <c r="K6" s="233"/>
      <c r="L6" s="233"/>
      <c r="M6" s="233"/>
      <c r="N6" s="233"/>
      <c r="P6" s="288" t="s">
        <v>1</v>
      </c>
      <c r="Q6" s="29"/>
      <c r="R6" s="278"/>
      <c r="S6" s="279"/>
      <c r="T6" s="54"/>
      <c r="U6" s="48"/>
    </row>
    <row r="7" spans="1:24" ht="15" customHeight="1" x14ac:dyDescent="0.2">
      <c r="B7" s="247" t="s">
        <v>67</v>
      </c>
      <c r="C7" s="243">
        <f>IF(ISBLANK(D7),E7,D7)</f>
        <v>45</v>
      </c>
      <c r="D7" s="141"/>
      <c r="E7" s="243">
        <v>45</v>
      </c>
      <c r="H7" s="462"/>
      <c r="I7" s="282"/>
      <c r="J7" s="283"/>
      <c r="K7" s="233"/>
      <c r="L7" s="233"/>
      <c r="M7" s="233"/>
      <c r="N7" s="233"/>
      <c r="P7" s="288" t="s">
        <v>2</v>
      </c>
      <c r="Q7" s="29"/>
      <c r="R7" s="278"/>
      <c r="S7" s="279"/>
      <c r="T7" s="54"/>
      <c r="U7" s="48"/>
    </row>
    <row r="8" spans="1:24" ht="15" customHeight="1" x14ac:dyDescent="0.2">
      <c r="B8" s="246" t="s">
        <v>68</v>
      </c>
      <c r="C8" s="244">
        <f t="shared" ref="C8:C14" si="0">IF(ISBLANK(D8),E8,D8)</f>
        <v>0.03</v>
      </c>
      <c r="D8" s="226"/>
      <c r="E8" s="244">
        <v>0.03</v>
      </c>
      <c r="H8" s="462" t="s">
        <v>27</v>
      </c>
      <c r="I8" s="56">
        <f ca="1">SUM(S5:S14)</f>
        <v>72098.395696782725</v>
      </c>
      <c r="J8" s="281">
        <f ca="1">SUM(T5:T14)</f>
        <v>16.073533878628474</v>
      </c>
      <c r="K8" s="233"/>
      <c r="L8" s="233"/>
      <c r="M8" s="233"/>
      <c r="N8" s="233"/>
      <c r="P8" s="288" t="s">
        <v>153</v>
      </c>
      <c r="Q8" s="29"/>
      <c r="R8" s="278"/>
      <c r="S8" s="279"/>
      <c r="T8" s="54"/>
      <c r="U8" s="48"/>
    </row>
    <row r="9" spans="1:24" ht="15" customHeight="1" x14ac:dyDescent="0.2">
      <c r="B9" s="246" t="s">
        <v>307</v>
      </c>
      <c r="C9" s="328">
        <f>IF(ISBLANK(D9),E9,D9)</f>
        <v>55</v>
      </c>
      <c r="D9" s="141"/>
      <c r="E9" s="328">
        <f>100-age</f>
        <v>55</v>
      </c>
      <c r="H9" s="462"/>
      <c r="I9" s="56"/>
      <c r="J9" s="281"/>
      <c r="K9" s="233"/>
      <c r="L9" s="233"/>
      <c r="M9" s="233"/>
      <c r="N9" s="233"/>
      <c r="P9" s="288"/>
      <c r="Q9" s="29"/>
      <c r="R9" s="278"/>
      <c r="S9" s="279"/>
      <c r="T9" s="54"/>
      <c r="U9" s="48"/>
    </row>
    <row r="10" spans="1:24" ht="15" customHeight="1" x14ac:dyDescent="0.2">
      <c r="B10" s="246" t="s">
        <v>140</v>
      </c>
      <c r="C10" s="245">
        <f t="shared" si="0"/>
        <v>0.2</v>
      </c>
      <c r="D10" s="226"/>
      <c r="E10" s="245">
        <v>0.2</v>
      </c>
      <c r="H10" s="462"/>
      <c r="I10" s="282"/>
      <c r="J10" s="283"/>
      <c r="K10" s="233"/>
      <c r="L10" s="233"/>
      <c r="M10" s="233"/>
      <c r="N10" s="233"/>
      <c r="P10" s="288" t="s">
        <v>154</v>
      </c>
      <c r="Q10" s="29"/>
      <c r="R10" s="278"/>
      <c r="S10" s="279"/>
      <c r="T10" s="54"/>
      <c r="U10" s="48"/>
    </row>
    <row r="11" spans="1:24" ht="15" customHeight="1" x14ac:dyDescent="0.2">
      <c r="B11" s="246" t="s">
        <v>19</v>
      </c>
      <c r="C11" s="245" t="b">
        <f t="shared" si="0"/>
        <v>0</v>
      </c>
      <c r="D11" s="142"/>
      <c r="E11" s="249" t="b">
        <v>0</v>
      </c>
      <c r="F11" s="53"/>
      <c r="H11" s="466" t="s">
        <v>28</v>
      </c>
      <c r="I11" s="284">
        <f ca="1">I6-I8</f>
        <v>-1754.8990508388524</v>
      </c>
      <c r="J11" s="285">
        <f ca="1">J6-J8</f>
        <v>0.13063296970082661</v>
      </c>
      <c r="K11" s="233"/>
      <c r="L11" s="233"/>
      <c r="M11" s="233"/>
      <c r="N11" s="233"/>
      <c r="P11" s="288" t="s">
        <v>155</v>
      </c>
      <c r="Q11" s="29"/>
      <c r="R11" s="278"/>
      <c r="S11" s="279"/>
      <c r="T11" s="54"/>
      <c r="U11" s="48"/>
    </row>
    <row r="12" spans="1:24" ht="15" customHeight="1" x14ac:dyDescent="0.2">
      <c r="B12" s="246" t="s">
        <v>142</v>
      </c>
      <c r="C12" s="53">
        <f t="shared" si="0"/>
        <v>1000</v>
      </c>
      <c r="D12" s="142"/>
      <c r="E12" s="53">
        <v>1000</v>
      </c>
      <c r="F12" s="53"/>
      <c r="H12" s="466"/>
      <c r="I12" s="252"/>
      <c r="J12" s="251"/>
      <c r="K12" s="233"/>
      <c r="L12" s="233"/>
      <c r="M12" s="233"/>
      <c r="N12" s="233"/>
      <c r="P12" s="288" t="s">
        <v>156</v>
      </c>
      <c r="Q12" s="29"/>
      <c r="R12" s="278"/>
      <c r="S12" s="279"/>
      <c r="T12" s="54"/>
      <c r="U12" s="48"/>
    </row>
    <row r="13" spans="1:24" ht="15" customHeight="1" x14ac:dyDescent="0.2">
      <c r="B13" s="247" t="s">
        <v>141</v>
      </c>
      <c r="C13" s="248">
        <f t="shared" si="0"/>
        <v>1000</v>
      </c>
      <c r="D13" s="142"/>
      <c r="E13" s="248">
        <v>1000</v>
      </c>
      <c r="F13" s="53"/>
      <c r="H13" s="465" t="s">
        <v>130</v>
      </c>
      <c r="I13" s="464">
        <f ca="1">I11/J11</f>
        <v>-13433.814257288128</v>
      </c>
      <c r="J13" s="464"/>
      <c r="K13" s="233"/>
      <c r="L13" s="233"/>
      <c r="M13" s="233"/>
      <c r="N13" s="233"/>
      <c r="P13" s="288" t="s">
        <v>157</v>
      </c>
      <c r="Q13" s="29"/>
      <c r="R13" s="278"/>
      <c r="S13" s="279"/>
      <c r="T13" s="54"/>
      <c r="U13" s="48"/>
    </row>
    <row r="14" spans="1:24" ht="15" customHeight="1" x14ac:dyDescent="0.2">
      <c r="B14" s="246" t="s">
        <v>34</v>
      </c>
      <c r="C14" s="53">
        <f t="shared" si="0"/>
        <v>0</v>
      </c>
      <c r="D14" s="142"/>
      <c r="E14" s="53">
        <v>0</v>
      </c>
      <c r="F14" s="53"/>
      <c r="H14" s="465"/>
      <c r="I14" s="463"/>
      <c r="J14" s="463"/>
      <c r="K14" s="233"/>
      <c r="L14" s="233"/>
      <c r="M14" s="233"/>
      <c r="N14" s="233"/>
      <c r="P14" s="288" t="s">
        <v>158</v>
      </c>
      <c r="Q14" s="29"/>
      <c r="R14" s="278"/>
      <c r="S14" s="279"/>
      <c r="T14" s="54"/>
      <c r="U14" s="48"/>
    </row>
    <row r="15" spans="1:24" ht="15" customHeight="1" x14ac:dyDescent="0.2">
      <c r="B15" s="28"/>
      <c r="C15" s="34"/>
      <c r="D15" s="34"/>
      <c r="E15" s="50"/>
      <c r="F15" s="53"/>
      <c r="G15" s="27"/>
      <c r="H15"/>
      <c r="I15"/>
      <c r="J15" s="48"/>
      <c r="K15" s="228"/>
      <c r="N15" s="27"/>
      <c r="Q15" s="50"/>
      <c r="R15" s="48"/>
      <c r="S15" s="48"/>
      <c r="T15" s="48"/>
      <c r="U15" s="48"/>
      <c r="V15" s="48"/>
      <c r="W15" s="48"/>
      <c r="X15" s="48"/>
    </row>
    <row r="16" spans="1:24" ht="15" customHeight="1" x14ac:dyDescent="0.2">
      <c r="B16" s="2" t="s">
        <v>64</v>
      </c>
      <c r="C16" s="1"/>
      <c r="D16" s="1"/>
      <c r="E16" s="1"/>
      <c r="F16" s="1"/>
      <c r="G16" s="1"/>
      <c r="H16" s="1"/>
      <c r="I16" s="1"/>
      <c r="J16" s="1"/>
      <c r="K16" s="1"/>
      <c r="L16" s="1"/>
      <c r="M16" s="1"/>
      <c r="N16" s="1"/>
      <c r="O16" s="1"/>
      <c r="P16" s="1"/>
      <c r="Q16" s="1"/>
      <c r="R16" s="1"/>
      <c r="S16" s="1"/>
      <c r="T16" s="1"/>
      <c r="U16" s="48"/>
      <c r="V16" s="48"/>
      <c r="W16" s="48"/>
      <c r="X16" s="48"/>
    </row>
    <row r="17" spans="2:25" ht="15" customHeight="1" x14ac:dyDescent="0.2">
      <c r="B17" s="7" t="s">
        <v>11</v>
      </c>
      <c r="C17" s="11" t="s">
        <v>16</v>
      </c>
      <c r="D17" s="11" t="s">
        <v>17</v>
      </c>
      <c r="E17" s="11" t="s">
        <v>18</v>
      </c>
      <c r="F17" s="14" t="s">
        <v>20</v>
      </c>
      <c r="G17" s="14"/>
      <c r="H17" s="11" t="s">
        <v>25</v>
      </c>
      <c r="I17" s="11" t="s">
        <v>21</v>
      </c>
      <c r="J17" s="11" t="s">
        <v>22</v>
      </c>
      <c r="K17" s="11" t="s">
        <v>19</v>
      </c>
      <c r="L17" s="72" t="s">
        <v>36</v>
      </c>
      <c r="M17" s="71" t="s">
        <v>37</v>
      </c>
      <c r="N17" s="71" t="s">
        <v>38</v>
      </c>
      <c r="O17" s="71" t="s">
        <v>63</v>
      </c>
      <c r="P17" s="71" t="s">
        <v>40</v>
      </c>
      <c r="Q17" s="72" t="s">
        <v>39</v>
      </c>
      <c r="R17" s="11" t="s">
        <v>23</v>
      </c>
      <c r="S17" s="11" t="s">
        <v>41</v>
      </c>
      <c r="T17" s="11" t="s">
        <v>24</v>
      </c>
      <c r="U17" s="34"/>
      <c r="V17" s="48"/>
      <c r="W17" s="48"/>
      <c r="X17" s="48"/>
      <c r="Y17" s="48"/>
    </row>
    <row r="18" spans="2:25" ht="15" customHeight="1" x14ac:dyDescent="0.2">
      <c r="B18" s="27"/>
      <c r="C18" s="54"/>
      <c r="D18" s="54"/>
      <c r="E18" s="49"/>
      <c r="F18" s="49"/>
      <c r="G18" s="49"/>
      <c r="H18" s="34"/>
      <c r="I18" s="34"/>
      <c r="J18" s="55"/>
      <c r="K18" s="49"/>
      <c r="L18" s="81"/>
      <c r="M18" s="81"/>
      <c r="N18" s="82"/>
      <c r="O18" s="82"/>
      <c r="P18" s="82"/>
      <c r="Q18" s="81"/>
      <c r="R18" s="55"/>
      <c r="S18" s="34"/>
      <c r="T18" s="34"/>
      <c r="U18" s="39"/>
      <c r="V18" s="51"/>
      <c r="W18" s="48"/>
      <c r="X18" s="48"/>
    </row>
    <row r="19" spans="2:25" ht="15" customHeight="1" x14ac:dyDescent="0.25">
      <c r="B19" s="76" t="s">
        <v>62</v>
      </c>
      <c r="C19" s="34"/>
      <c r="D19" s="34"/>
      <c r="E19" s="49"/>
      <c r="F19" s="41"/>
      <c r="G19" s="41"/>
      <c r="H19" s="34"/>
      <c r="I19" s="34"/>
      <c r="J19" s="34"/>
      <c r="K19" s="34"/>
      <c r="L19" s="83"/>
      <c r="M19" s="83"/>
      <c r="N19" s="83"/>
      <c r="O19" s="83"/>
      <c r="P19" s="83"/>
      <c r="Q19" s="81"/>
      <c r="R19" s="34"/>
      <c r="S19" s="34"/>
      <c r="T19" s="34"/>
      <c r="U19" s="48"/>
      <c r="V19" s="48"/>
    </row>
    <row r="20" spans="2:25" ht="15" customHeight="1" x14ac:dyDescent="0.2">
      <c r="B20" s="35" t="s">
        <v>42</v>
      </c>
      <c r="C20" s="56">
        <f>IF(OR(evsi_n&gt;0,psa),K20,IF(owsa_low=S20,F20,IF(owsa_high=S20,G20,IF(ISNUMBER(D20),D20,E20))))</f>
        <v>250</v>
      </c>
      <c r="D20" s="255"/>
      <c r="E20" s="38">
        <v>250</v>
      </c>
      <c r="F20" s="56">
        <v>100</v>
      </c>
      <c r="G20" s="56">
        <v>500</v>
      </c>
      <c r="H20" s="56">
        <f t="shared" ref="H20" si="1">(G20-F20)/(2*z)</f>
        <v>102.04269138493082</v>
      </c>
      <c r="I20" s="56"/>
      <c r="J20" s="33">
        <v>100</v>
      </c>
      <c r="K20" s="56">
        <f ca="1">IFERROR(_xlfn.NORM.INV(RAND(),E20,H20),0)</f>
        <v>217.3116552830208</v>
      </c>
      <c r="L20" s="83">
        <v>80.771880219659664</v>
      </c>
      <c r="M20" s="83" t="e">
        <f>SQRT(((H20^2)*J20)/evsi_n)</f>
        <v>#DIV/0!</v>
      </c>
      <c r="N20" s="83" t="e">
        <f ca="1">_xlfn.NORM.INV(RAND(),L20,M20)</f>
        <v>#DIV/0!</v>
      </c>
      <c r="O20" s="83" t="e">
        <f ca="1">((N20*evsi_n)+(E20*J20))/(evsi_n+J20)</f>
        <v>#DIV/0!</v>
      </c>
      <c r="P20" s="83">
        <f>SQRT(((H20^2)*J20)/(evsi_n+J20))</f>
        <v>102.04269138493082</v>
      </c>
      <c r="Q20" s="88" t="e">
        <f ca="1">_xlfn.NORM.INV(RAND(),O20,P20)</f>
        <v>#DIV/0!</v>
      </c>
      <c r="R20" s="34" t="s">
        <v>43</v>
      </c>
      <c r="S20" s="51">
        <v>1</v>
      </c>
      <c r="T20" s="79" t="s">
        <v>31</v>
      </c>
      <c r="U20" s="48"/>
      <c r="V20" s="48"/>
    </row>
    <row r="21" spans="2:25" ht="15" customHeight="1" x14ac:dyDescent="0.2">
      <c r="B21" s="35" t="s">
        <v>44</v>
      </c>
      <c r="C21" s="56">
        <f>IF(OR(evsi_n&gt;0,psa),K21,IF(owsa_low=S21,F21,IF(owsa_high=S21,G21,IF(ISNUMBER(D21),D21,E21))))</f>
        <v>62.5</v>
      </c>
      <c r="D21" s="255"/>
      <c r="E21" s="38">
        <v>62.5</v>
      </c>
      <c r="F21" s="56">
        <f>E21*(1-owsa)</f>
        <v>50</v>
      </c>
      <c r="G21" s="56">
        <f>E21*(1+owsa)</f>
        <v>75</v>
      </c>
      <c r="H21" s="56">
        <f t="shared" ref="H21:H23" si="2">(G21-F21)/(2*z)</f>
        <v>6.3776682115581762</v>
      </c>
      <c r="I21" s="56"/>
      <c r="J21" s="33">
        <v>100</v>
      </c>
      <c r="K21" s="56">
        <f ca="1">IFERROR(_xlfn.NORM.INV(RAND(),E21,H21),0)</f>
        <v>67.408945531647859</v>
      </c>
      <c r="L21" s="83">
        <v>55.651972181292571</v>
      </c>
      <c r="M21" s="83" t="e">
        <f>SQRT(((H21^2)*J21)/evsi_n)</f>
        <v>#DIV/0!</v>
      </c>
      <c r="N21" s="83" t="e">
        <f ca="1">_xlfn.NORM.INV(RAND(),L21,M21)</f>
        <v>#DIV/0!</v>
      </c>
      <c r="O21" s="83" t="e">
        <f ca="1">((N21*evsi_n)+(E21*J21))/(evsi_n+J21)</f>
        <v>#DIV/0!</v>
      </c>
      <c r="P21" s="83">
        <f>SQRT(((H21^2)*J21)/(evsi_n+J21))</f>
        <v>6.3776682115581762</v>
      </c>
      <c r="Q21" s="88" t="e">
        <f ca="1">_xlfn.NORM.INV(RAND(),O21,P21)</f>
        <v>#DIV/0!</v>
      </c>
      <c r="R21" s="34" t="s">
        <v>43</v>
      </c>
      <c r="S21" s="51">
        <v>2</v>
      </c>
      <c r="T21" s="79" t="s">
        <v>31</v>
      </c>
      <c r="U21" s="48"/>
      <c r="V21" s="48"/>
    </row>
    <row r="22" spans="2:25" ht="15" customHeight="1" x14ac:dyDescent="0.2">
      <c r="B22" s="35" t="s">
        <v>45</v>
      </c>
      <c r="C22" s="56">
        <f>IF(OR(evsi_n&gt;0,psa),K22,IF(owsa_low=S22,F22,IF(owsa_high=S22,G22,IF(ISNUMBER(D22),D22,E22))))</f>
        <v>250</v>
      </c>
      <c r="D22" s="255"/>
      <c r="E22" s="38">
        <v>250</v>
      </c>
      <c r="F22" s="56">
        <f>E22*(1-owsa)</f>
        <v>200</v>
      </c>
      <c r="G22" s="56">
        <f>E22*(1+owsa)</f>
        <v>300</v>
      </c>
      <c r="H22" s="56">
        <f t="shared" si="2"/>
        <v>25.510672846232705</v>
      </c>
      <c r="I22" s="56"/>
      <c r="J22" s="33">
        <v>100</v>
      </c>
      <c r="K22" s="56">
        <f ca="1">IFERROR(_xlfn.NORM.INV(RAND(),E22,H22),0)</f>
        <v>244.29174330238615</v>
      </c>
      <c r="L22" s="83">
        <v>289.21468528532353</v>
      </c>
      <c r="M22" s="83" t="e">
        <f>SQRT(((H22^2)*J22)/evsi_n)</f>
        <v>#DIV/0!</v>
      </c>
      <c r="N22" s="83" t="e">
        <f ca="1">_xlfn.NORM.INV(RAND(),L22,M22)</f>
        <v>#DIV/0!</v>
      </c>
      <c r="O22" s="83" t="e">
        <f ca="1">((N22*evsi_n)+(E22*J22))/(evsi_n+J22)</f>
        <v>#DIV/0!</v>
      </c>
      <c r="P22" s="83">
        <f>SQRT(((H22^2)*J22)/(evsi_n+J22))</f>
        <v>25.510672846232705</v>
      </c>
      <c r="Q22" s="88" t="e">
        <f ca="1">_xlfn.NORM.INV(RAND(),O22,P22)</f>
        <v>#DIV/0!</v>
      </c>
      <c r="R22" s="34" t="s">
        <v>43</v>
      </c>
      <c r="S22" s="51">
        <v>3</v>
      </c>
      <c r="T22" s="79" t="s">
        <v>31</v>
      </c>
      <c r="U22" s="48"/>
      <c r="V22" s="48"/>
    </row>
    <row r="23" spans="2:25" ht="15" customHeight="1" x14ac:dyDescent="0.2">
      <c r="B23" s="35" t="s">
        <v>46</v>
      </c>
      <c r="C23" s="56">
        <f>IF(OR(evsi_n&gt;0,psa),K23,IF(owsa_low=S23,F23,IF(owsa_high=S23,G23,IF(ISNUMBER(D23),D23,E23))))</f>
        <v>95</v>
      </c>
      <c r="D23" s="255"/>
      <c r="E23" s="38">
        <v>95</v>
      </c>
      <c r="F23" s="56">
        <f>E23*(1-owsa)</f>
        <v>76</v>
      </c>
      <c r="G23" s="56">
        <f>E23*(1+owsa)</f>
        <v>114</v>
      </c>
      <c r="H23" s="56">
        <f t="shared" si="2"/>
        <v>9.6940556815684271</v>
      </c>
      <c r="I23" s="56"/>
      <c r="J23" s="33">
        <v>100</v>
      </c>
      <c r="K23" s="56">
        <f ca="1">IFERROR(_xlfn.NORM.INV(RAND(),E23,H23),0)</f>
        <v>107.49865639184839</v>
      </c>
      <c r="L23" s="83">
        <v>93.232124102183676</v>
      </c>
      <c r="M23" s="83" t="e">
        <f>SQRT(((H23^2)*J23)/evsi_n)</f>
        <v>#DIV/0!</v>
      </c>
      <c r="N23" s="83" t="e">
        <f ca="1">_xlfn.NORM.INV(RAND(),L23,M23)</f>
        <v>#DIV/0!</v>
      </c>
      <c r="O23" s="83" t="e">
        <f ca="1">((N23*evsi_n)+(E23*J23))/(evsi_n+J23)</f>
        <v>#DIV/0!</v>
      </c>
      <c r="P23" s="83">
        <f>SQRT(((H23^2)*J23)/(evsi_n+J23))</f>
        <v>9.6940556815684271</v>
      </c>
      <c r="Q23" s="88" t="e">
        <f ca="1">_xlfn.NORM.INV(RAND(),O23,P23)</f>
        <v>#DIV/0!</v>
      </c>
      <c r="R23" s="34" t="s">
        <v>43</v>
      </c>
      <c r="S23" s="51">
        <v>4</v>
      </c>
      <c r="T23" s="79" t="s">
        <v>31</v>
      </c>
      <c r="U23" s="48"/>
      <c r="V23" s="48"/>
    </row>
    <row r="24" spans="2:25" ht="15" customHeight="1" x14ac:dyDescent="0.2">
      <c r="B24" s="48"/>
      <c r="C24" s="54"/>
      <c r="D24" s="54"/>
      <c r="E24" s="49"/>
      <c r="F24" s="34"/>
      <c r="G24" s="34"/>
      <c r="H24" s="34"/>
      <c r="I24" s="34"/>
      <c r="J24" s="34"/>
      <c r="K24" s="34"/>
      <c r="L24" s="83"/>
      <c r="M24" s="83"/>
      <c r="N24" s="83"/>
      <c r="O24" s="83"/>
      <c r="P24" s="83"/>
      <c r="Q24" s="81"/>
      <c r="R24" s="34"/>
      <c r="S24" s="51"/>
      <c r="T24" s="34"/>
      <c r="U24" s="48"/>
      <c r="V24" s="48"/>
    </row>
    <row r="25" spans="2:25" ht="15" customHeight="1" x14ac:dyDescent="0.25">
      <c r="B25" s="76" t="s">
        <v>47</v>
      </c>
      <c r="C25" s="54"/>
      <c r="D25" s="54"/>
      <c r="E25" s="49"/>
      <c r="F25" s="41"/>
      <c r="G25" s="41"/>
      <c r="H25" s="34"/>
      <c r="I25" s="57"/>
      <c r="J25" s="34"/>
      <c r="K25" s="34"/>
      <c r="L25" s="83"/>
      <c r="M25" s="84"/>
      <c r="N25" s="83"/>
      <c r="O25" s="83"/>
      <c r="P25" s="83"/>
      <c r="Q25" s="81"/>
      <c r="R25" s="34"/>
      <c r="S25" s="34"/>
      <c r="T25" s="34"/>
      <c r="U25" s="48"/>
      <c r="V25" s="48"/>
    </row>
    <row r="26" spans="2:25" ht="15" customHeight="1" x14ac:dyDescent="0.2">
      <c r="B26" s="35" t="s">
        <v>48</v>
      </c>
      <c r="C26" s="58">
        <f t="shared" ref="C26:C33" si="3">IF(OR(evsi_n&gt;0,psa),K26,IF(owsa_low=S26,F26,IF(owsa_high=S26,G26,IF(ISNUMBER(D26),D26,E26))))</f>
        <v>0.75</v>
      </c>
      <c r="D26" s="259"/>
      <c r="E26" s="30">
        <v>0.75</v>
      </c>
      <c r="F26" s="59">
        <v>0.5</v>
      </c>
      <c r="G26" s="59">
        <v>1</v>
      </c>
      <c r="H26" s="33">
        <f t="shared" ref="H26:H33" si="4">E26^2*(1-E26)/((G26-F26)/(2*z))^2-E26</f>
        <v>7.8932823465617794</v>
      </c>
      <c r="I26" s="33">
        <f t="shared" ref="I26:I33" si="5">(E26^2*(1-E26)/((G26-F26)/(2*z))^2-E26)*(1-E26)/E26</f>
        <v>2.6310941155205931</v>
      </c>
      <c r="J26" s="51">
        <f t="shared" ref="J26:J33" si="6">H26+I26</f>
        <v>10.524376462082373</v>
      </c>
      <c r="K26" s="58">
        <f t="shared" ref="K26:K33" ca="1" si="7">_xlfn.BETA.INV(RAND(),H26,I26)</f>
        <v>0.90522507615018855</v>
      </c>
      <c r="L26" s="83">
        <v>0.44251536654508711</v>
      </c>
      <c r="M26" s="85">
        <f t="shared" ref="M26:M33" si="8">E46</f>
        <v>8.8999999999999995E-4</v>
      </c>
      <c r="N26" s="83">
        <f t="shared" ref="N26:N33" ca="1" si="9">_xlfn.BINOM.INV(evsi_n*M26,L26,RAND())</f>
        <v>0</v>
      </c>
      <c r="O26" s="83"/>
      <c r="P26" s="86"/>
      <c r="Q26" s="89">
        <f t="shared" ref="Q26:Q33" ca="1" si="10">_xlfn.BETA.INV(RAND(),(H26+N26),((J26-H26)+(evsi_n*M26-N26)))</f>
        <v>0.75032380151699418</v>
      </c>
      <c r="R26" s="60" t="s">
        <v>49</v>
      </c>
      <c r="S26" s="51">
        <v>5</v>
      </c>
      <c r="T26" s="80" t="s">
        <v>31</v>
      </c>
      <c r="U26" s="48"/>
      <c r="V26" s="48"/>
    </row>
    <row r="27" spans="2:25" ht="15" customHeight="1" x14ac:dyDescent="0.2">
      <c r="B27" s="35" t="s">
        <v>50</v>
      </c>
      <c r="C27" s="58">
        <f t="shared" si="3"/>
        <v>0.75</v>
      </c>
      <c r="D27" s="259"/>
      <c r="E27" s="30">
        <v>0.75</v>
      </c>
      <c r="F27" s="59">
        <v>0.5</v>
      </c>
      <c r="G27" s="59">
        <v>1</v>
      </c>
      <c r="H27" s="33">
        <f t="shared" si="4"/>
        <v>7.8932823465617794</v>
      </c>
      <c r="I27" s="33">
        <f t="shared" si="5"/>
        <v>2.6310941155205931</v>
      </c>
      <c r="J27" s="51">
        <f t="shared" si="6"/>
        <v>10.524376462082373</v>
      </c>
      <c r="K27" s="58">
        <f t="shared" ca="1" si="7"/>
        <v>0.78026385190180503</v>
      </c>
      <c r="L27" s="83">
        <v>0.92851285418772889</v>
      </c>
      <c r="M27" s="85">
        <f t="shared" si="8"/>
        <v>4.4999999999999997E-3</v>
      </c>
      <c r="N27" s="83">
        <f t="shared" ca="1" si="9"/>
        <v>0</v>
      </c>
      <c r="O27" s="83"/>
      <c r="P27" s="86"/>
      <c r="Q27" s="89">
        <f t="shared" ca="1" si="10"/>
        <v>0.68070950327967272</v>
      </c>
      <c r="R27" s="60" t="s">
        <v>49</v>
      </c>
      <c r="S27" s="51">
        <v>6</v>
      </c>
      <c r="T27" s="80" t="s">
        <v>31</v>
      </c>
      <c r="U27" s="48"/>
      <c r="V27" s="48"/>
    </row>
    <row r="28" spans="2:25" ht="15" customHeight="1" x14ac:dyDescent="0.2">
      <c r="B28" s="35" t="s">
        <v>51</v>
      </c>
      <c r="C28" s="58">
        <f t="shared" si="3"/>
        <v>0.75</v>
      </c>
      <c r="D28" s="259"/>
      <c r="E28" s="30">
        <v>0.75</v>
      </c>
      <c r="F28" s="59">
        <v>0.5</v>
      </c>
      <c r="G28" s="59">
        <v>1</v>
      </c>
      <c r="H28" s="33">
        <f t="shared" si="4"/>
        <v>7.8932823465617794</v>
      </c>
      <c r="I28" s="33">
        <f t="shared" si="5"/>
        <v>2.6310941155205931</v>
      </c>
      <c r="J28" s="51">
        <f t="shared" si="6"/>
        <v>10.524376462082373</v>
      </c>
      <c r="K28" s="58">
        <f t="shared" ca="1" si="7"/>
        <v>0.75859018569136272</v>
      </c>
      <c r="L28" s="83">
        <v>0.80327865317282332</v>
      </c>
      <c r="M28" s="85">
        <f t="shared" si="8"/>
        <v>4.9500000000000004E-3</v>
      </c>
      <c r="N28" s="83">
        <f t="shared" ca="1" si="9"/>
        <v>0</v>
      </c>
      <c r="O28" s="83"/>
      <c r="P28" s="86"/>
      <c r="Q28" s="89">
        <f t="shared" ca="1" si="10"/>
        <v>0.87364699590854211</v>
      </c>
      <c r="R28" s="60" t="s">
        <v>49</v>
      </c>
      <c r="S28" s="51">
        <v>7</v>
      </c>
      <c r="T28" s="80" t="s">
        <v>31</v>
      </c>
      <c r="U28" s="48"/>
      <c r="V28" s="48"/>
    </row>
    <row r="29" spans="2:25" ht="15" customHeight="1" x14ac:dyDescent="0.2">
      <c r="B29" s="35" t="s">
        <v>52</v>
      </c>
      <c r="C29" s="58">
        <f t="shared" si="3"/>
        <v>0.75</v>
      </c>
      <c r="D29" s="259"/>
      <c r="E29" s="30">
        <v>0.75</v>
      </c>
      <c r="F29" s="59">
        <v>0.5</v>
      </c>
      <c r="G29" s="59">
        <v>1</v>
      </c>
      <c r="H29" s="33">
        <f t="shared" si="4"/>
        <v>7.8932823465617794</v>
      </c>
      <c r="I29" s="33">
        <f t="shared" si="5"/>
        <v>2.6310941155205931</v>
      </c>
      <c r="J29" s="51">
        <f t="shared" si="6"/>
        <v>10.524376462082373</v>
      </c>
      <c r="K29" s="58">
        <f t="shared" ca="1" si="7"/>
        <v>0.77953933275256149</v>
      </c>
      <c r="L29" s="83">
        <v>0.70916522564710338</v>
      </c>
      <c r="M29" s="85">
        <f t="shared" si="8"/>
        <v>2E-3</v>
      </c>
      <c r="N29" s="83">
        <f t="shared" ca="1" si="9"/>
        <v>0</v>
      </c>
      <c r="O29" s="83"/>
      <c r="P29" s="86"/>
      <c r="Q29" s="89">
        <f t="shared" ca="1" si="10"/>
        <v>0.53065469392461351</v>
      </c>
      <c r="R29" s="60" t="s">
        <v>49</v>
      </c>
      <c r="S29" s="51">
        <v>8</v>
      </c>
      <c r="T29" s="80" t="s">
        <v>31</v>
      </c>
      <c r="U29" s="48"/>
      <c r="V29" s="48"/>
    </row>
    <row r="30" spans="2:25" ht="15" customHeight="1" x14ac:dyDescent="0.2">
      <c r="B30" s="35" t="s">
        <v>53</v>
      </c>
      <c r="C30" s="58">
        <f t="shared" si="3"/>
        <v>0.75</v>
      </c>
      <c r="D30" s="259"/>
      <c r="E30" s="30">
        <v>0.75</v>
      </c>
      <c r="F30" s="59">
        <v>0.5</v>
      </c>
      <c r="G30" s="59">
        <v>1</v>
      </c>
      <c r="H30" s="33">
        <f t="shared" si="4"/>
        <v>7.8932823465617794</v>
      </c>
      <c r="I30" s="33">
        <f t="shared" si="5"/>
        <v>2.6310941155205931</v>
      </c>
      <c r="J30" s="51">
        <f t="shared" si="6"/>
        <v>10.524376462082373</v>
      </c>
      <c r="K30" s="58">
        <f t="shared" ca="1" si="7"/>
        <v>0.7548265994947464</v>
      </c>
      <c r="L30" s="83">
        <v>0.74243695803506915</v>
      </c>
      <c r="M30" s="85">
        <f t="shared" si="8"/>
        <v>2E-3</v>
      </c>
      <c r="N30" s="83">
        <f t="shared" ca="1" si="9"/>
        <v>0</v>
      </c>
      <c r="O30" s="83"/>
      <c r="P30" s="86"/>
      <c r="Q30" s="89">
        <f t="shared" ca="1" si="10"/>
        <v>0.67343970556652133</v>
      </c>
      <c r="R30" s="60" t="s">
        <v>49</v>
      </c>
      <c r="S30" s="51">
        <v>9</v>
      </c>
      <c r="T30" s="80" t="s">
        <v>31</v>
      </c>
      <c r="U30" s="48"/>
      <c r="V30" s="48"/>
    </row>
    <row r="31" spans="2:25" ht="15" customHeight="1" x14ac:dyDescent="0.2">
      <c r="B31" s="35" t="s">
        <v>54</v>
      </c>
      <c r="C31" s="58">
        <f t="shared" si="3"/>
        <v>0.75</v>
      </c>
      <c r="D31" s="259"/>
      <c r="E31" s="30">
        <v>0.75</v>
      </c>
      <c r="F31" s="59">
        <v>0.5</v>
      </c>
      <c r="G31" s="59">
        <v>1</v>
      </c>
      <c r="H31" s="33">
        <f t="shared" si="4"/>
        <v>7.8932823465617794</v>
      </c>
      <c r="I31" s="33">
        <f t="shared" si="5"/>
        <v>2.6310941155205931</v>
      </c>
      <c r="J31" s="51">
        <f t="shared" si="6"/>
        <v>10.524376462082373</v>
      </c>
      <c r="K31" s="58">
        <f t="shared" ca="1" si="7"/>
        <v>0.89612567934592935</v>
      </c>
      <c r="L31" s="83">
        <v>0.63649398566504967</v>
      </c>
      <c r="M31" s="85">
        <f t="shared" si="8"/>
        <v>3.4099999999999998E-3</v>
      </c>
      <c r="N31" s="83">
        <f t="shared" ca="1" si="9"/>
        <v>0</v>
      </c>
      <c r="O31" s="83"/>
      <c r="P31" s="86"/>
      <c r="Q31" s="89">
        <f t="shared" ca="1" si="10"/>
        <v>0.68705462915407445</v>
      </c>
      <c r="R31" s="60" t="s">
        <v>49</v>
      </c>
      <c r="S31" s="51">
        <v>10</v>
      </c>
      <c r="T31" s="80" t="s">
        <v>31</v>
      </c>
      <c r="U31" s="48"/>
      <c r="V31" s="48"/>
    </row>
    <row r="32" spans="2:25" ht="15" customHeight="1" x14ac:dyDescent="0.2">
      <c r="B32" s="35" t="s">
        <v>55</v>
      </c>
      <c r="C32" s="58">
        <f t="shared" si="3"/>
        <v>0.75</v>
      </c>
      <c r="D32" s="259"/>
      <c r="E32" s="30">
        <v>0.75</v>
      </c>
      <c r="F32" s="59">
        <v>0.5</v>
      </c>
      <c r="G32" s="59">
        <v>1</v>
      </c>
      <c r="H32" s="33">
        <f t="shared" si="4"/>
        <v>7.8932823465617794</v>
      </c>
      <c r="I32" s="33">
        <f t="shared" si="5"/>
        <v>2.6310941155205931</v>
      </c>
      <c r="J32" s="51">
        <f t="shared" si="6"/>
        <v>10.524376462082373</v>
      </c>
      <c r="K32" s="58">
        <f t="shared" ca="1" si="7"/>
        <v>0.77996009336103755</v>
      </c>
      <c r="L32" s="83">
        <v>0.8559106034068612</v>
      </c>
      <c r="M32" s="85">
        <f t="shared" si="8"/>
        <v>4.0000000000000002E-4</v>
      </c>
      <c r="N32" s="83">
        <f t="shared" ca="1" si="9"/>
        <v>0</v>
      </c>
      <c r="O32" s="83"/>
      <c r="P32" s="86"/>
      <c r="Q32" s="89">
        <f t="shared" ca="1" si="10"/>
        <v>0.82342075485057931</v>
      </c>
      <c r="R32" s="60" t="s">
        <v>49</v>
      </c>
      <c r="S32" s="51">
        <v>11</v>
      </c>
      <c r="T32" s="80" t="s">
        <v>31</v>
      </c>
      <c r="U32" s="48"/>
      <c r="V32" s="48"/>
    </row>
    <row r="33" spans="2:22" ht="15" customHeight="1" x14ac:dyDescent="0.2">
      <c r="B33" s="35" t="s">
        <v>56</v>
      </c>
      <c r="C33" s="58">
        <f t="shared" si="3"/>
        <v>0.75</v>
      </c>
      <c r="D33" s="259"/>
      <c r="E33" s="30">
        <v>0.75</v>
      </c>
      <c r="F33" s="59">
        <v>0.5</v>
      </c>
      <c r="G33" s="59">
        <v>1</v>
      </c>
      <c r="H33" s="33">
        <f t="shared" si="4"/>
        <v>7.8932823465617794</v>
      </c>
      <c r="I33" s="33">
        <f t="shared" si="5"/>
        <v>2.6310941155205931</v>
      </c>
      <c r="J33" s="51">
        <f t="shared" si="6"/>
        <v>10.524376462082373</v>
      </c>
      <c r="K33" s="58">
        <f t="shared" ca="1" si="7"/>
        <v>0.6120679690849844</v>
      </c>
      <c r="L33" s="83">
        <v>0.61517319781240543</v>
      </c>
      <c r="M33" s="85">
        <f t="shared" si="8"/>
        <v>4.4999999999999999E-4</v>
      </c>
      <c r="N33" s="83">
        <f t="shared" ca="1" si="9"/>
        <v>0</v>
      </c>
      <c r="O33" s="83"/>
      <c r="P33" s="86"/>
      <c r="Q33" s="89">
        <f t="shared" ca="1" si="10"/>
        <v>0.70371270244679385</v>
      </c>
      <c r="R33" s="60" t="s">
        <v>49</v>
      </c>
      <c r="S33" s="51">
        <v>12</v>
      </c>
      <c r="T33" s="80" t="s">
        <v>31</v>
      </c>
      <c r="U33" s="48"/>
      <c r="V33" s="48"/>
    </row>
    <row r="34" spans="2:22" ht="15" customHeight="1" x14ac:dyDescent="0.2">
      <c r="B34" s="35"/>
      <c r="C34" s="61">
        <f>Q34</f>
        <v>0</v>
      </c>
      <c r="D34" s="61"/>
      <c r="E34" s="30"/>
      <c r="F34" s="59"/>
      <c r="G34" s="59"/>
      <c r="H34" s="62"/>
      <c r="I34" s="33"/>
      <c r="J34" s="51"/>
      <c r="K34" s="58"/>
      <c r="L34" s="83"/>
      <c r="M34" s="83"/>
      <c r="N34" s="83"/>
      <c r="O34" s="83"/>
      <c r="P34" s="83"/>
      <c r="Q34" s="89"/>
      <c r="R34" s="60"/>
      <c r="S34" s="51"/>
      <c r="T34" s="73"/>
      <c r="U34" s="48"/>
      <c r="V34" s="48"/>
    </row>
    <row r="35" spans="2:22" ht="15" customHeight="1" x14ac:dyDescent="0.25">
      <c r="B35" s="76" t="s">
        <v>58</v>
      </c>
      <c r="C35" s="54"/>
      <c r="D35" s="54"/>
      <c r="E35" s="49"/>
      <c r="F35" s="41"/>
      <c r="G35" s="41"/>
      <c r="H35" s="34"/>
      <c r="I35" s="34"/>
      <c r="J35" s="34"/>
      <c r="K35" s="34"/>
      <c r="L35" s="83"/>
      <c r="M35" s="84"/>
      <c r="N35" s="83"/>
      <c r="O35" s="83"/>
      <c r="P35" s="43"/>
      <c r="Q35" s="81"/>
      <c r="R35" s="34"/>
      <c r="S35" s="34"/>
      <c r="T35" s="34"/>
      <c r="U35" s="48"/>
      <c r="V35" s="48"/>
    </row>
    <row r="36" spans="2:22" ht="15" customHeight="1" x14ac:dyDescent="0.2">
      <c r="B36" s="35" t="s">
        <v>48</v>
      </c>
      <c r="C36" s="58">
        <f t="shared" ref="C36:C43" si="11">IF(OR(evsi_n&gt;0,psa),K36,IF(owsa_low=S36,F36,IF(owsa_high=S36,G36,IF(ISNUMBER(D36),D36,E36))))</f>
        <v>0.875</v>
      </c>
      <c r="D36" s="259"/>
      <c r="E36" s="30">
        <v>0.875</v>
      </c>
      <c r="F36" s="59">
        <v>0.67519381083910135</v>
      </c>
      <c r="G36" s="59">
        <v>1</v>
      </c>
      <c r="H36" s="33">
        <f t="shared" ref="H36:H43" si="12">E36^2*(1-E36)/((G36-F36)/(2*z))^2-E36</f>
        <v>13.064066827584329</v>
      </c>
      <c r="I36" s="33">
        <f t="shared" ref="I36:I43" si="13">(E36^2*(1-E36)/((G36-F36)/(2*z))^2-E36)*(1-E36)/E36</f>
        <v>1.8662952610834755</v>
      </c>
      <c r="J36" s="51">
        <f t="shared" ref="J36:J43" si="14">H36+I36</f>
        <v>14.930362088667804</v>
      </c>
      <c r="K36" s="58">
        <f t="shared" ref="K36:K43" ca="1" si="15">1-_xlfn.BETA.INV(RAND(),H36,I36)</f>
        <v>0.2096309784831708</v>
      </c>
      <c r="L36" s="83">
        <v>0.9249218726696129</v>
      </c>
      <c r="M36" s="85">
        <f t="shared" ref="M36:M43" si="16">E46</f>
        <v>8.8999999999999995E-4</v>
      </c>
      <c r="N36" s="83">
        <f t="shared" ref="N36:N43" ca="1" si="17">_xlfn.BINOM.INV(evsi_n*M36,L36,RAND())</f>
        <v>0</v>
      </c>
      <c r="O36" s="86"/>
      <c r="P36" s="43"/>
      <c r="Q36" s="89">
        <f t="shared" ref="Q36:Q43" ca="1" si="18">_xlfn.BETA.INV(RAND(),(H36+N36),((J36-H36)+(evsi_n*M36-N36)))</f>
        <v>0.85357074960421975</v>
      </c>
      <c r="R36" s="60" t="s">
        <v>49</v>
      </c>
      <c r="S36" s="51">
        <v>13</v>
      </c>
      <c r="T36" s="80" t="s">
        <v>31</v>
      </c>
      <c r="U36" s="48"/>
      <c r="V36" s="48"/>
    </row>
    <row r="37" spans="2:22" ht="15" customHeight="1" x14ac:dyDescent="0.2">
      <c r="B37" s="35" t="s">
        <v>50</v>
      </c>
      <c r="C37" s="58">
        <f t="shared" si="11"/>
        <v>0.875</v>
      </c>
      <c r="D37" s="259"/>
      <c r="E37" s="30">
        <v>0.875</v>
      </c>
      <c r="F37" s="59">
        <v>0.67519381083910135</v>
      </c>
      <c r="G37" s="59">
        <v>1</v>
      </c>
      <c r="H37" s="33">
        <f t="shared" si="12"/>
        <v>13.064066827584329</v>
      </c>
      <c r="I37" s="33">
        <f t="shared" si="13"/>
        <v>1.8662952610834755</v>
      </c>
      <c r="J37" s="51">
        <f t="shared" si="14"/>
        <v>14.930362088667804</v>
      </c>
      <c r="K37" s="58">
        <f t="shared" ca="1" si="15"/>
        <v>0.22431177541180158</v>
      </c>
      <c r="L37" s="83">
        <v>0.72871427548606005</v>
      </c>
      <c r="M37" s="85">
        <f t="shared" si="16"/>
        <v>4.4999999999999997E-3</v>
      </c>
      <c r="N37" s="83">
        <f t="shared" ca="1" si="17"/>
        <v>0</v>
      </c>
      <c r="O37" s="86"/>
      <c r="P37" s="43"/>
      <c r="Q37" s="89">
        <f t="shared" ca="1" si="18"/>
        <v>0.74183834854111452</v>
      </c>
      <c r="R37" s="60" t="s">
        <v>49</v>
      </c>
      <c r="S37" s="51">
        <v>14</v>
      </c>
      <c r="T37" s="80" t="s">
        <v>31</v>
      </c>
      <c r="U37" s="48"/>
      <c r="V37" s="48"/>
    </row>
    <row r="38" spans="2:22" ht="15" customHeight="1" x14ac:dyDescent="0.2">
      <c r="B38" s="35" t="s">
        <v>51</v>
      </c>
      <c r="C38" s="58">
        <f t="shared" si="11"/>
        <v>0.875</v>
      </c>
      <c r="D38" s="259"/>
      <c r="E38" s="30">
        <v>0.875</v>
      </c>
      <c r="F38" s="59">
        <v>0.67519381083910135</v>
      </c>
      <c r="G38" s="59">
        <v>1</v>
      </c>
      <c r="H38" s="33">
        <f t="shared" si="12"/>
        <v>13.064066827584329</v>
      </c>
      <c r="I38" s="33">
        <f t="shared" si="13"/>
        <v>1.8662952610834755</v>
      </c>
      <c r="J38" s="51">
        <f t="shared" si="14"/>
        <v>14.930362088667804</v>
      </c>
      <c r="K38" s="58">
        <f t="shared" ca="1" si="15"/>
        <v>0.10945858295443378</v>
      </c>
      <c r="L38" s="83">
        <v>0.81809362704395117</v>
      </c>
      <c r="M38" s="85">
        <f t="shared" si="16"/>
        <v>4.9500000000000004E-3</v>
      </c>
      <c r="N38" s="83">
        <f t="shared" ca="1" si="17"/>
        <v>0</v>
      </c>
      <c r="O38" s="86"/>
      <c r="P38" s="43"/>
      <c r="Q38" s="89">
        <f t="shared" ca="1" si="18"/>
        <v>0.76665144496097248</v>
      </c>
      <c r="R38" s="60" t="s">
        <v>49</v>
      </c>
      <c r="S38" s="51">
        <v>15</v>
      </c>
      <c r="T38" s="80" t="s">
        <v>31</v>
      </c>
      <c r="U38" s="48"/>
      <c r="V38" s="48"/>
    </row>
    <row r="39" spans="2:22" ht="15" customHeight="1" x14ac:dyDescent="0.2">
      <c r="B39" s="35" t="s">
        <v>52</v>
      </c>
      <c r="C39" s="58">
        <f t="shared" si="11"/>
        <v>0.875</v>
      </c>
      <c r="D39" s="259"/>
      <c r="E39" s="30">
        <v>0.875</v>
      </c>
      <c r="F39" s="59">
        <v>0.67519381083910135</v>
      </c>
      <c r="G39" s="59">
        <v>1</v>
      </c>
      <c r="H39" s="33">
        <f t="shared" si="12"/>
        <v>13.064066827584329</v>
      </c>
      <c r="I39" s="33">
        <f t="shared" si="13"/>
        <v>1.8662952610834755</v>
      </c>
      <c r="J39" s="51">
        <f t="shared" si="14"/>
        <v>14.930362088667804</v>
      </c>
      <c r="K39" s="58">
        <f t="shared" ca="1" si="15"/>
        <v>0.12066539286007272</v>
      </c>
      <c r="L39" s="83">
        <v>0.68995966680980336</v>
      </c>
      <c r="M39" s="85">
        <f t="shared" si="16"/>
        <v>2E-3</v>
      </c>
      <c r="N39" s="83">
        <f t="shared" ca="1" si="17"/>
        <v>0</v>
      </c>
      <c r="O39" s="86"/>
      <c r="P39" s="43"/>
      <c r="Q39" s="89">
        <f t="shared" ca="1" si="18"/>
        <v>0.84093302975975281</v>
      </c>
      <c r="R39" s="60" t="s">
        <v>49</v>
      </c>
      <c r="S39" s="51">
        <v>16</v>
      </c>
      <c r="T39" s="80" t="s">
        <v>31</v>
      </c>
      <c r="U39" s="48"/>
      <c r="V39" s="48"/>
    </row>
    <row r="40" spans="2:22" ht="15" customHeight="1" x14ac:dyDescent="0.2">
      <c r="B40" s="35" t="s">
        <v>53</v>
      </c>
      <c r="C40" s="58">
        <f t="shared" si="11"/>
        <v>0.875</v>
      </c>
      <c r="D40" s="259"/>
      <c r="E40" s="30">
        <v>0.875</v>
      </c>
      <c r="F40" s="59">
        <v>0.67519381083910135</v>
      </c>
      <c r="G40" s="59">
        <v>1</v>
      </c>
      <c r="H40" s="33">
        <f t="shared" si="12"/>
        <v>13.064066827584329</v>
      </c>
      <c r="I40" s="33">
        <f t="shared" si="13"/>
        <v>1.8662952610834755</v>
      </c>
      <c r="J40" s="51">
        <f t="shared" si="14"/>
        <v>14.930362088667804</v>
      </c>
      <c r="K40" s="58">
        <f t="shared" ca="1" si="15"/>
        <v>3.5048116737508739E-2</v>
      </c>
      <c r="L40" s="83">
        <v>0.83329030861425812</v>
      </c>
      <c r="M40" s="85">
        <f t="shared" si="16"/>
        <v>2E-3</v>
      </c>
      <c r="N40" s="83">
        <f t="shared" ca="1" si="17"/>
        <v>0</v>
      </c>
      <c r="O40" s="86"/>
      <c r="P40" s="43"/>
      <c r="Q40" s="89">
        <f t="shared" ca="1" si="18"/>
        <v>0.94973139799524264</v>
      </c>
      <c r="R40" s="60" t="s">
        <v>49</v>
      </c>
      <c r="S40" s="51">
        <v>17</v>
      </c>
      <c r="T40" s="80" t="s">
        <v>31</v>
      </c>
      <c r="U40" s="48"/>
      <c r="V40" s="48"/>
    </row>
    <row r="41" spans="2:22" ht="15" customHeight="1" x14ac:dyDescent="0.2">
      <c r="B41" s="35" t="s">
        <v>54</v>
      </c>
      <c r="C41" s="58">
        <f t="shared" si="11"/>
        <v>0.875</v>
      </c>
      <c r="D41" s="259"/>
      <c r="E41" s="30">
        <v>0.875</v>
      </c>
      <c r="F41" s="59">
        <v>0.67519381083910135</v>
      </c>
      <c r="G41" s="59">
        <v>1</v>
      </c>
      <c r="H41" s="33">
        <f t="shared" si="12"/>
        <v>13.064066827584329</v>
      </c>
      <c r="I41" s="33">
        <f t="shared" si="13"/>
        <v>1.8662952610834755</v>
      </c>
      <c r="J41" s="51">
        <f t="shared" si="14"/>
        <v>14.930362088667804</v>
      </c>
      <c r="K41" s="58">
        <f t="shared" ca="1" si="15"/>
        <v>0.13720485143844541</v>
      </c>
      <c r="L41" s="83">
        <v>0.74369836217132901</v>
      </c>
      <c r="M41" s="85">
        <f t="shared" si="16"/>
        <v>3.4099999999999998E-3</v>
      </c>
      <c r="N41" s="83">
        <f t="shared" ca="1" si="17"/>
        <v>0</v>
      </c>
      <c r="O41" s="86"/>
      <c r="P41" s="43"/>
      <c r="Q41" s="89">
        <f t="shared" ca="1" si="18"/>
        <v>0.98758241402544489</v>
      </c>
      <c r="R41" s="60" t="s">
        <v>49</v>
      </c>
      <c r="S41" s="51">
        <v>18</v>
      </c>
      <c r="T41" s="80" t="s">
        <v>31</v>
      </c>
      <c r="U41" s="48"/>
      <c r="V41" s="48"/>
    </row>
    <row r="42" spans="2:22" ht="15" customHeight="1" x14ac:dyDescent="0.2">
      <c r="B42" s="35" t="s">
        <v>55</v>
      </c>
      <c r="C42" s="58">
        <f t="shared" si="11"/>
        <v>0.875</v>
      </c>
      <c r="D42" s="259"/>
      <c r="E42" s="30">
        <v>0.875</v>
      </c>
      <c r="F42" s="59">
        <v>0.67519381083910135</v>
      </c>
      <c r="G42" s="59">
        <v>1</v>
      </c>
      <c r="H42" s="33">
        <f t="shared" si="12"/>
        <v>13.064066827584329</v>
      </c>
      <c r="I42" s="33">
        <f t="shared" si="13"/>
        <v>1.8662952610834755</v>
      </c>
      <c r="J42" s="51">
        <f t="shared" si="14"/>
        <v>14.930362088667804</v>
      </c>
      <c r="K42" s="58">
        <f t="shared" ca="1" si="15"/>
        <v>0.23878928067013283</v>
      </c>
      <c r="L42" s="83">
        <v>0.81555620536628992</v>
      </c>
      <c r="M42" s="85">
        <f t="shared" si="16"/>
        <v>4.0000000000000002E-4</v>
      </c>
      <c r="N42" s="83">
        <f t="shared" ca="1" si="17"/>
        <v>0</v>
      </c>
      <c r="O42" s="86"/>
      <c r="P42" s="43"/>
      <c r="Q42" s="89">
        <f t="shared" ca="1" si="18"/>
        <v>0.92033109922112533</v>
      </c>
      <c r="R42" s="60" t="s">
        <v>49</v>
      </c>
      <c r="S42" s="51">
        <v>19</v>
      </c>
      <c r="T42" s="80" t="s">
        <v>31</v>
      </c>
      <c r="U42" s="48"/>
      <c r="V42" s="48"/>
    </row>
    <row r="43" spans="2:22" ht="15" customHeight="1" x14ac:dyDescent="0.2">
      <c r="B43" s="35" t="s">
        <v>56</v>
      </c>
      <c r="C43" s="58">
        <f t="shared" si="11"/>
        <v>0.875</v>
      </c>
      <c r="D43" s="259"/>
      <c r="E43" s="30">
        <v>0.875</v>
      </c>
      <c r="F43" s="59">
        <v>0.67519381083910135</v>
      </c>
      <c r="G43" s="59">
        <v>1</v>
      </c>
      <c r="H43" s="33">
        <f t="shared" si="12"/>
        <v>13.064066827584329</v>
      </c>
      <c r="I43" s="33">
        <f t="shared" si="13"/>
        <v>1.8662952610834755</v>
      </c>
      <c r="J43" s="51">
        <f t="shared" si="14"/>
        <v>14.930362088667804</v>
      </c>
      <c r="K43" s="58">
        <f t="shared" ca="1" si="15"/>
        <v>0.10986523220581212</v>
      </c>
      <c r="L43" s="83">
        <v>0.98851448140680076</v>
      </c>
      <c r="M43" s="85">
        <f t="shared" si="16"/>
        <v>4.4999999999999999E-4</v>
      </c>
      <c r="N43" s="83">
        <f t="shared" ca="1" si="17"/>
        <v>0</v>
      </c>
      <c r="O43" s="86"/>
      <c r="P43" s="43"/>
      <c r="Q43" s="89">
        <f t="shared" ca="1" si="18"/>
        <v>0.93829600925401979</v>
      </c>
      <c r="R43" s="60" t="s">
        <v>49</v>
      </c>
      <c r="S43" s="51">
        <v>20</v>
      </c>
      <c r="T43" s="80" t="s">
        <v>31</v>
      </c>
      <c r="U43" s="48"/>
      <c r="V43" s="48"/>
    </row>
    <row r="44" spans="2:22" ht="15" customHeight="1" x14ac:dyDescent="0.2">
      <c r="B44" s="35"/>
      <c r="C44" s="58"/>
      <c r="D44" s="58"/>
      <c r="E44" s="68"/>
      <c r="F44" s="59"/>
      <c r="G44" s="59"/>
      <c r="H44" s="33"/>
      <c r="I44" s="33"/>
      <c r="J44" s="51"/>
      <c r="K44" s="58"/>
      <c r="L44" s="83"/>
      <c r="M44" s="85"/>
      <c r="N44" s="83"/>
      <c r="O44" s="86"/>
      <c r="P44" s="83"/>
      <c r="Q44" s="89"/>
      <c r="R44" s="60"/>
      <c r="S44" s="51"/>
      <c r="T44" s="73"/>
      <c r="U44" s="48"/>
      <c r="V44" s="48"/>
    </row>
    <row r="45" spans="2:22" ht="15" customHeight="1" x14ac:dyDescent="0.25">
      <c r="B45" s="76" t="s">
        <v>57</v>
      </c>
      <c r="C45" s="33"/>
      <c r="D45" s="33"/>
      <c r="E45" s="49"/>
      <c r="F45" s="41"/>
      <c r="G45" s="41"/>
      <c r="H45" s="34"/>
      <c r="I45" s="34"/>
      <c r="J45" s="34"/>
      <c r="K45" s="34"/>
      <c r="L45" s="83"/>
      <c r="M45" s="83"/>
      <c r="N45" s="83"/>
      <c r="O45" s="81"/>
      <c r="P45" s="81"/>
      <c r="Q45" s="81"/>
      <c r="R45" s="34"/>
      <c r="S45" s="34"/>
      <c r="T45" s="34"/>
      <c r="U45" s="48"/>
      <c r="V45" s="48"/>
    </row>
    <row r="46" spans="2:22" ht="15" customHeight="1" x14ac:dyDescent="0.2">
      <c r="B46" s="35" t="s">
        <v>48</v>
      </c>
      <c r="C46" s="31">
        <f t="shared" ref="C46:C53" si="19">IF(OR(evsi_n&gt;0,psa),K46,IF(owsa_low=S46,F46,IF(owsa_high=S46,G46,IF(ISNUMBER(D46),D46,E46))))</f>
        <v>8.8999999999999995E-4</v>
      </c>
      <c r="D46" s="260"/>
      <c r="E46" s="44">
        <v>8.8999999999999995E-4</v>
      </c>
      <c r="F46" s="32">
        <f t="shared" ref="F46:F53" si="20">IF(IF(ISNUMBER(D46),D46,E46)-(SQRT(IF(ISNUMBER(D46),D46,E46)*(1-IF(ISNUMBER(D46),D46,E46))/J46)*z)&lt;0,0,IF(ISNUMBER(D46),D46,E46)-(SQRT(IF(ISNUMBER(D46),D46,E46)*(1-IF(ISNUMBER(D46),D46,E46))/J46)*z))</f>
        <v>7.0517966749067081E-4</v>
      </c>
      <c r="G46" s="32">
        <f t="shared" ref="G46:G53" si="21">IF(IF(ISNUMBER(D46),D46,E46)+(SQRT(IF(ISNUMBER(D46),D46,E46)*(1-IF(ISNUMBER(D46),D46,E46))/J46)*z)&gt;1,1,IF(ISNUMBER(D46),D46,E46)+(SQRT(IF(ISNUMBER(D46),D46,E46)*(1-IF(ISNUMBER(D46),D46,E46))/J46)*z))</f>
        <v>1.0748203325093291E-3</v>
      </c>
      <c r="H46" s="52">
        <f t="shared" ref="H46:H53" si="22">E46*J46</f>
        <v>89</v>
      </c>
      <c r="I46" s="33">
        <f t="shared" ref="I46:I53" si="23">J46-H46</f>
        <v>99911</v>
      </c>
      <c r="J46" s="33">
        <v>100000</v>
      </c>
      <c r="K46" s="31">
        <f t="shared" ref="K46:K53" ca="1" si="24">IFERROR(_xlfn.BETA.INV(RAND(),H46,I46),0)</f>
        <v>9.4620037061676765E-4</v>
      </c>
      <c r="L46" s="83">
        <v>7.7780691817191364E-4</v>
      </c>
      <c r="M46" s="83"/>
      <c r="N46" s="83">
        <f t="shared" ref="N46:N53" ca="1" si="25">_xlfn.BINOM.INV(evsi_n,L46,RAND())</f>
        <v>0</v>
      </c>
      <c r="O46" s="83"/>
      <c r="P46" s="83"/>
      <c r="Q46" s="87">
        <f t="shared" ref="Q46:Q53" ca="1" si="26">_xlfn.BETA.INV(RAND(),(H46+N46),(J46+evsi_n))</f>
        <v>8.4985615810810307E-4</v>
      </c>
      <c r="R46" s="34" t="s">
        <v>49</v>
      </c>
      <c r="S46" s="51">
        <v>21</v>
      </c>
      <c r="T46" s="74" t="s">
        <v>65</v>
      </c>
      <c r="U46" s="48"/>
      <c r="V46" s="48"/>
    </row>
    <row r="47" spans="2:22" ht="15" customHeight="1" x14ac:dyDescent="0.2">
      <c r="B47" s="77" t="s">
        <v>50</v>
      </c>
      <c r="C47" s="31">
        <f t="shared" si="19"/>
        <v>4.4999999999999997E-3</v>
      </c>
      <c r="D47" s="260"/>
      <c r="E47" s="44">
        <v>4.4999999999999997E-3</v>
      </c>
      <c r="F47" s="32">
        <f t="shared" si="20"/>
        <v>4.0851653925718769E-3</v>
      </c>
      <c r="G47" s="32">
        <f t="shared" si="21"/>
        <v>4.9148346074281224E-3</v>
      </c>
      <c r="H47" s="52">
        <f t="shared" si="22"/>
        <v>449.99999999999994</v>
      </c>
      <c r="I47" s="33">
        <f t="shared" si="23"/>
        <v>99550</v>
      </c>
      <c r="J47" s="33">
        <v>100000</v>
      </c>
      <c r="K47" s="31">
        <f t="shared" ca="1" si="24"/>
        <v>4.4710412707208011E-3</v>
      </c>
      <c r="L47" s="83">
        <v>4.1605886078531157E-3</v>
      </c>
      <c r="M47" s="83"/>
      <c r="N47" s="83">
        <f t="shared" ca="1" si="25"/>
        <v>0</v>
      </c>
      <c r="O47" s="83"/>
      <c r="P47" s="83"/>
      <c r="Q47" s="87">
        <f t="shared" ca="1" si="26"/>
        <v>4.6129741531555357E-3</v>
      </c>
      <c r="R47" s="34" t="s">
        <v>49</v>
      </c>
      <c r="S47" s="51">
        <v>22</v>
      </c>
      <c r="T47" s="74" t="s">
        <v>65</v>
      </c>
      <c r="U47" s="48"/>
      <c r="V47" s="48"/>
    </row>
    <row r="48" spans="2:22" ht="15" customHeight="1" x14ac:dyDescent="0.2">
      <c r="B48" s="35" t="s">
        <v>51</v>
      </c>
      <c r="C48" s="31">
        <f t="shared" si="19"/>
        <v>4.9500000000000004E-3</v>
      </c>
      <c r="D48" s="260"/>
      <c r="E48" s="44">
        <v>4.9500000000000004E-3</v>
      </c>
      <c r="F48" s="32">
        <f t="shared" si="20"/>
        <v>4.5150161403260825E-3</v>
      </c>
      <c r="G48" s="32">
        <f t="shared" si="21"/>
        <v>5.3849838596739183E-3</v>
      </c>
      <c r="H48" s="52">
        <f>IF(ISNUMBER(D48),D48,E48)*J48</f>
        <v>495.00000000000006</v>
      </c>
      <c r="I48" s="33">
        <f t="shared" si="23"/>
        <v>99505</v>
      </c>
      <c r="J48" s="33">
        <v>100000</v>
      </c>
      <c r="K48" s="31">
        <f t="shared" ca="1" si="24"/>
        <v>5.0547848043008825E-3</v>
      </c>
      <c r="L48" s="83">
        <v>5.0812566769422585E-3</v>
      </c>
      <c r="M48" s="83"/>
      <c r="N48" s="83">
        <f t="shared" ca="1" si="25"/>
        <v>0</v>
      </c>
      <c r="O48" s="83"/>
      <c r="P48" s="83"/>
      <c r="Q48" s="87">
        <f t="shared" ca="1" si="26"/>
        <v>4.8213615613888995E-3</v>
      </c>
      <c r="R48" s="34" t="s">
        <v>49</v>
      </c>
      <c r="S48" s="51">
        <v>23</v>
      </c>
      <c r="T48" s="74" t="s">
        <v>65</v>
      </c>
      <c r="U48" s="48"/>
      <c r="V48" s="48"/>
    </row>
    <row r="49" spans="2:24" ht="15" customHeight="1" x14ac:dyDescent="0.2">
      <c r="B49" s="35" t="s">
        <v>52</v>
      </c>
      <c r="C49" s="31">
        <f t="shared" si="19"/>
        <v>2E-3</v>
      </c>
      <c r="D49" s="260"/>
      <c r="E49" s="44">
        <v>2E-3</v>
      </c>
      <c r="F49" s="32">
        <f t="shared" si="20"/>
        <v>1.7230965546240807E-3</v>
      </c>
      <c r="G49" s="32">
        <f t="shared" si="21"/>
        <v>2.2769034453759191E-3</v>
      </c>
      <c r="H49" s="52">
        <f t="shared" si="22"/>
        <v>200</v>
      </c>
      <c r="I49" s="33">
        <f t="shared" si="23"/>
        <v>99800</v>
      </c>
      <c r="J49" s="33">
        <v>100000</v>
      </c>
      <c r="K49" s="31">
        <f t="shared" ca="1" si="24"/>
        <v>2.2205294028616596E-3</v>
      </c>
      <c r="L49" s="83">
        <v>1.9267383260110082E-3</v>
      </c>
      <c r="M49" s="83"/>
      <c r="N49" s="83">
        <f t="shared" ca="1" si="25"/>
        <v>0</v>
      </c>
      <c r="O49" s="83"/>
      <c r="P49" s="83"/>
      <c r="Q49" s="87">
        <f t="shared" ca="1" si="26"/>
        <v>2.0346950969288846E-3</v>
      </c>
      <c r="R49" s="34" t="s">
        <v>49</v>
      </c>
      <c r="S49" s="51">
        <v>24</v>
      </c>
      <c r="T49" s="74" t="s">
        <v>65</v>
      </c>
      <c r="U49" s="48"/>
      <c r="V49" s="48"/>
    </row>
    <row r="50" spans="2:24" ht="15" customHeight="1" x14ac:dyDescent="0.2">
      <c r="B50" s="35" t="s">
        <v>53</v>
      </c>
      <c r="C50" s="31">
        <f t="shared" si="19"/>
        <v>2E-3</v>
      </c>
      <c r="D50" s="260"/>
      <c r="E50" s="44">
        <v>2E-3</v>
      </c>
      <c r="F50" s="32">
        <f t="shared" si="20"/>
        <v>1.7230965546240807E-3</v>
      </c>
      <c r="G50" s="32">
        <f t="shared" si="21"/>
        <v>2.2769034453759191E-3</v>
      </c>
      <c r="H50" s="52">
        <f t="shared" si="22"/>
        <v>200</v>
      </c>
      <c r="I50" s="33">
        <f t="shared" si="23"/>
        <v>99800</v>
      </c>
      <c r="J50" s="33">
        <v>100000</v>
      </c>
      <c r="K50" s="31">
        <f t="shared" ca="1" si="24"/>
        <v>1.9951313986495758E-3</v>
      </c>
      <c r="L50" s="83">
        <v>1.9819355806604596E-3</v>
      </c>
      <c r="M50" s="83"/>
      <c r="N50" s="83">
        <f t="shared" ca="1" si="25"/>
        <v>0</v>
      </c>
      <c r="O50" s="83"/>
      <c r="P50" s="83"/>
      <c r="Q50" s="87">
        <f t="shared" ca="1" si="26"/>
        <v>1.9196134777770984E-3</v>
      </c>
      <c r="R50" s="34" t="s">
        <v>49</v>
      </c>
      <c r="S50" s="51">
        <v>25</v>
      </c>
      <c r="T50" s="74" t="s">
        <v>65</v>
      </c>
      <c r="U50" s="48"/>
      <c r="V50" s="48"/>
    </row>
    <row r="51" spans="2:24" ht="15" customHeight="1" x14ac:dyDescent="0.2">
      <c r="B51" s="35" t="s">
        <v>54</v>
      </c>
      <c r="C51" s="31">
        <f t="shared" si="19"/>
        <v>3.4099999999999998E-3</v>
      </c>
      <c r="D51" s="260"/>
      <c r="E51" s="44">
        <v>3.4099999999999998E-3</v>
      </c>
      <c r="F51" s="32">
        <f t="shared" si="20"/>
        <v>3.0486870371650905E-3</v>
      </c>
      <c r="G51" s="32">
        <f t="shared" si="21"/>
        <v>3.7713129628349092E-3</v>
      </c>
      <c r="H51" s="52">
        <f t="shared" si="22"/>
        <v>341</v>
      </c>
      <c r="I51" s="33">
        <f t="shared" si="23"/>
        <v>99659</v>
      </c>
      <c r="J51" s="33">
        <v>100000</v>
      </c>
      <c r="K51" s="31">
        <f t="shared" ca="1" si="24"/>
        <v>3.3699777722601821E-3</v>
      </c>
      <c r="L51" s="83">
        <v>3.5751085533763938E-3</v>
      </c>
      <c r="M51" s="83"/>
      <c r="N51" s="83">
        <f t="shared" ca="1" si="25"/>
        <v>0</v>
      </c>
      <c r="O51" s="83"/>
      <c r="P51" s="83"/>
      <c r="Q51" s="87">
        <f t="shared" ca="1" si="26"/>
        <v>3.4449940633372034E-3</v>
      </c>
      <c r="R51" s="34" t="s">
        <v>49</v>
      </c>
      <c r="S51" s="51">
        <v>26</v>
      </c>
      <c r="T51" s="74" t="s">
        <v>65</v>
      </c>
      <c r="U51" s="48"/>
      <c r="V51" s="48"/>
    </row>
    <row r="52" spans="2:24" ht="15" customHeight="1" x14ac:dyDescent="0.2">
      <c r="B52" s="35" t="s">
        <v>55</v>
      </c>
      <c r="C52" s="31">
        <f t="shared" si="19"/>
        <v>4.0000000000000002E-4</v>
      </c>
      <c r="D52" s="260"/>
      <c r="E52" s="44">
        <v>4.0000000000000002E-4</v>
      </c>
      <c r="F52" s="32">
        <f t="shared" si="20"/>
        <v>2.7606578782005597E-4</v>
      </c>
      <c r="G52" s="32">
        <f t="shared" si="21"/>
        <v>5.2393421217994407E-4</v>
      </c>
      <c r="H52" s="52">
        <f t="shared" si="22"/>
        <v>40</v>
      </c>
      <c r="I52" s="33">
        <f t="shared" si="23"/>
        <v>99960</v>
      </c>
      <c r="J52" s="33">
        <v>100000</v>
      </c>
      <c r="K52" s="31">
        <f t="shared" ca="1" si="24"/>
        <v>3.8825739984434522E-4</v>
      </c>
      <c r="L52" s="83">
        <v>3.2105522104347665E-4</v>
      </c>
      <c r="M52" s="83"/>
      <c r="N52" s="83">
        <f t="shared" ca="1" si="25"/>
        <v>0</v>
      </c>
      <c r="O52" s="83"/>
      <c r="P52" s="83"/>
      <c r="Q52" s="87">
        <f t="shared" ca="1" si="26"/>
        <v>2.5484721899165125E-4</v>
      </c>
      <c r="R52" s="34" t="s">
        <v>49</v>
      </c>
      <c r="S52" s="51">
        <v>27</v>
      </c>
      <c r="T52" s="74" t="s">
        <v>65</v>
      </c>
      <c r="U52" s="48"/>
      <c r="V52" s="48"/>
    </row>
    <row r="53" spans="2:24" ht="15" customHeight="1" x14ac:dyDescent="0.2">
      <c r="B53" s="35" t="s">
        <v>56</v>
      </c>
      <c r="C53" s="31">
        <f t="shared" si="19"/>
        <v>4.4999999999999999E-4</v>
      </c>
      <c r="D53" s="260"/>
      <c r="E53" s="44">
        <v>4.4999999999999999E-4</v>
      </c>
      <c r="F53" s="32">
        <f t="shared" si="20"/>
        <v>3.1855120487805282E-4</v>
      </c>
      <c r="G53" s="32">
        <f t="shared" si="21"/>
        <v>5.8144879512194716E-4</v>
      </c>
      <c r="H53" s="52">
        <f t="shared" si="22"/>
        <v>45</v>
      </c>
      <c r="I53" s="33">
        <f t="shared" si="23"/>
        <v>99955</v>
      </c>
      <c r="J53" s="33">
        <v>100000</v>
      </c>
      <c r="K53" s="31">
        <f t="shared" ca="1" si="24"/>
        <v>4.8859074452289875E-4</v>
      </c>
      <c r="L53" s="83">
        <v>5.0713096932353263E-4</v>
      </c>
      <c r="M53" s="83"/>
      <c r="N53" s="83">
        <f t="shared" ca="1" si="25"/>
        <v>0</v>
      </c>
      <c r="O53" s="83"/>
      <c r="P53" s="83"/>
      <c r="Q53" s="87">
        <f t="shared" ca="1" si="26"/>
        <v>4.4175298293765478E-4</v>
      </c>
      <c r="R53" s="34" t="s">
        <v>49</v>
      </c>
      <c r="S53" s="51">
        <v>28</v>
      </c>
      <c r="T53" s="74" t="s">
        <v>65</v>
      </c>
      <c r="U53" s="48"/>
      <c r="V53" s="48"/>
    </row>
    <row r="54" spans="2:24" ht="15" customHeight="1" x14ac:dyDescent="0.2">
      <c r="B54" s="48"/>
      <c r="C54" s="63">
        <f>Q54</f>
        <v>0</v>
      </c>
      <c r="D54" s="63"/>
      <c r="E54" s="49"/>
      <c r="F54" s="34"/>
      <c r="G54" s="34"/>
      <c r="H54" s="52"/>
      <c r="I54" s="33"/>
      <c r="J54" s="34"/>
      <c r="K54" s="34"/>
      <c r="L54" s="83"/>
      <c r="M54" s="83"/>
      <c r="N54" s="83"/>
      <c r="O54" s="83"/>
      <c r="P54" s="83"/>
      <c r="Q54" s="81"/>
      <c r="R54" s="34"/>
      <c r="S54" s="51"/>
      <c r="T54" s="34"/>
      <c r="U54" s="48"/>
      <c r="V54" s="48"/>
    </row>
    <row r="55" spans="2:24" ht="15" customHeight="1" x14ac:dyDescent="0.25">
      <c r="B55" s="76" t="s">
        <v>59</v>
      </c>
      <c r="C55" s="54"/>
      <c r="D55" s="54"/>
      <c r="E55" s="49"/>
      <c r="F55" s="41"/>
      <c r="G55" s="41"/>
      <c r="H55" s="34"/>
      <c r="I55" s="34"/>
      <c r="J55" s="34"/>
      <c r="K55" s="34"/>
      <c r="L55" s="83"/>
      <c r="M55" s="84"/>
      <c r="N55" s="83"/>
      <c r="O55" s="83"/>
      <c r="P55" s="83"/>
      <c r="Q55" s="81"/>
      <c r="R55" s="34"/>
      <c r="S55" s="47"/>
      <c r="T55" s="75"/>
      <c r="U55" s="48"/>
      <c r="V55" s="48"/>
    </row>
    <row r="56" spans="2:24" ht="15" customHeight="1" x14ac:dyDescent="0.2">
      <c r="B56" s="35" t="s">
        <v>60</v>
      </c>
      <c r="C56" s="59">
        <f>IF(OR(evsi_n&gt;0,psa),K56,IF(owsa_low=S56,F56,IF(owsa_high=S56,G56,IF(ISNUMBER(D56),D56,E56))))</f>
        <v>0.05</v>
      </c>
      <c r="D56" s="259"/>
      <c r="E56" s="30">
        <v>0.05</v>
      </c>
      <c r="F56" s="65">
        <f>E56*(1-owsa)</f>
        <v>4.0000000000000008E-2</v>
      </c>
      <c r="G56" s="65">
        <f>E56*(1+owsa)</f>
        <v>0.06</v>
      </c>
      <c r="H56" s="65">
        <f>E56^2*(1-E56)/((G56-F56)/(2*z))^2-E56</f>
        <v>91.184646991485536</v>
      </c>
      <c r="I56" s="65">
        <f>(E56^2*(1-E56)/((G56-F56)/(2*z))^2-E56)*(1-E56)/E56</f>
        <v>1732.5082928382249</v>
      </c>
      <c r="J56" s="313">
        <f>J57</f>
        <v>0</v>
      </c>
      <c r="K56" s="59">
        <f ca="1">_xlfn.BETA.INV(RAND(),H56,I56)</f>
        <v>4.9895537705341941E-2</v>
      </c>
      <c r="L56" s="83">
        <v>4.8564337554905752E-2</v>
      </c>
      <c r="M56" s="87">
        <f>1-SUM(E46:E53)</f>
        <v>0.98140000000000005</v>
      </c>
      <c r="N56" s="83">
        <f ca="1">_xlfn.BINOM.INV(evsi_n*M56,L56,RAND())</f>
        <v>0</v>
      </c>
      <c r="O56" s="83"/>
      <c r="P56" s="83"/>
      <c r="Q56" s="42" t="e">
        <f ca="1">_xlfn.BETA.INV(RAND(),(H56+N56),((J56-H56)+(evsi_n*M56-N56)))</f>
        <v>#NUM!</v>
      </c>
      <c r="R56" s="34" t="s">
        <v>49</v>
      </c>
      <c r="S56" s="51">
        <v>29</v>
      </c>
      <c r="T56" s="75"/>
      <c r="U56" s="48"/>
      <c r="V56" s="48"/>
    </row>
    <row r="57" spans="2:24" ht="15" customHeight="1" x14ac:dyDescent="0.2">
      <c r="B57" s="66" t="s">
        <v>61</v>
      </c>
      <c r="C57" s="70">
        <f>IF(OR(evsi_n&gt;0,psa),K57,IF(owsa_low=S57,F57,IF(owsa_high=S57,G57,IF(ISNUMBER(D57),D57,E57))))</f>
        <v>0.05</v>
      </c>
      <c r="D57" s="226"/>
      <c r="E57" s="45">
        <v>0.05</v>
      </c>
      <c r="F57" s="62">
        <v>0.01</v>
      </c>
      <c r="G57" s="62">
        <v>0.1</v>
      </c>
      <c r="H57" s="54">
        <f>E57^2*(1-E57)/((G57-F57)/(2*z))^2-E57</f>
        <v>4.4554146662461935</v>
      </c>
      <c r="I57" s="54">
        <f>(E57^2*(1-E57)/((G57-F57)/(2*z))^2-E57)*(1-E57)/E57</f>
        <v>84.652878658677665</v>
      </c>
      <c r="J57" s="313">
        <v>0</v>
      </c>
      <c r="K57" s="69">
        <f ca="1">_xlfn.BETA.INV(RAND(),H57,I57)</f>
        <v>3.0945844960772465E-2</v>
      </c>
      <c r="L57" s="83">
        <v>6.5402159884276889E-2</v>
      </c>
      <c r="M57" s="87">
        <f>1-SUM(E46:E53)</f>
        <v>0.98140000000000005</v>
      </c>
      <c r="N57" s="83">
        <f ca="1">_xlfn.BINOM.INV(evsi_n*M57,L57,RAND())</f>
        <v>0</v>
      </c>
      <c r="O57" s="83"/>
      <c r="P57" s="83"/>
      <c r="Q57" s="90" t="e">
        <f ca="1">_xlfn.BETA.INV(RAND(),(H57+N57),((J57-H57)+(evsi_n*M57-N57)))</f>
        <v>#NUM!</v>
      </c>
      <c r="R57" s="34" t="s">
        <v>49</v>
      </c>
      <c r="S57" s="51">
        <v>30</v>
      </c>
      <c r="T57" s="75"/>
      <c r="U57" s="48"/>
      <c r="V57" s="48"/>
    </row>
    <row r="58" spans="2:24" ht="15" customHeight="1" x14ac:dyDescent="0.25">
      <c r="B58" s="40"/>
      <c r="C58" s="40"/>
      <c r="D58" s="40"/>
      <c r="E58" s="40"/>
      <c r="F58" s="40"/>
      <c r="G58" s="40"/>
      <c r="H58" s="40"/>
      <c r="I58" s="41"/>
      <c r="J58" s="47"/>
      <c r="K58" s="40"/>
      <c r="L58" s="34"/>
      <c r="M58" s="34"/>
      <c r="N58" s="47"/>
      <c r="O58" s="47"/>
      <c r="P58" s="47"/>
      <c r="Q58" s="40"/>
      <c r="R58" s="47"/>
      <c r="S58" s="47"/>
      <c r="T58" s="47"/>
      <c r="U58" s="39"/>
      <c r="V58" s="34"/>
      <c r="W58" s="48"/>
      <c r="X58" s="48"/>
    </row>
    <row r="59" spans="2:24" ht="15" customHeight="1" x14ac:dyDescent="0.2">
      <c r="B59" s="48"/>
      <c r="C59" s="47"/>
      <c r="D59" s="47"/>
      <c r="E59" s="67"/>
      <c r="F59" s="67"/>
      <c r="G59" s="67"/>
      <c r="H59" s="47"/>
      <c r="I59" s="47"/>
      <c r="J59" s="47"/>
      <c r="K59" s="67"/>
      <c r="L59" s="47"/>
      <c r="M59" s="47"/>
      <c r="N59" s="47"/>
      <c r="O59" s="47"/>
      <c r="P59" s="47"/>
      <c r="Q59" s="67"/>
      <c r="R59" s="47"/>
      <c r="S59" s="47"/>
      <c r="T59" s="47"/>
      <c r="U59" s="39"/>
      <c r="V59" s="51"/>
      <c r="W59" s="48"/>
      <c r="X59" s="48"/>
    </row>
    <row r="60" spans="2:24" x14ac:dyDescent="0.2">
      <c r="B60" s="48"/>
      <c r="C60" s="47"/>
      <c r="D60" s="47"/>
      <c r="E60" s="67"/>
      <c r="F60" s="67"/>
      <c r="G60" s="67"/>
      <c r="H60" s="47"/>
      <c r="I60" s="47"/>
      <c r="J60" s="47"/>
      <c r="K60" s="67"/>
      <c r="L60" s="47"/>
      <c r="M60" s="47"/>
      <c r="N60" s="47"/>
      <c r="O60" s="47"/>
      <c r="P60" s="47"/>
      <c r="Q60" s="67"/>
      <c r="R60" s="47"/>
      <c r="S60" s="47"/>
      <c r="T60" s="47"/>
      <c r="U60" s="48"/>
      <c r="V60" s="48"/>
      <c r="W60" s="48"/>
      <c r="X60" s="48"/>
    </row>
    <row r="61" spans="2:24" x14ac:dyDescent="0.2">
      <c r="B61" s="47"/>
      <c r="C61" s="47"/>
      <c r="D61" s="47"/>
      <c r="E61" s="67"/>
      <c r="F61" s="67"/>
      <c r="G61" s="67"/>
      <c r="H61" s="47"/>
      <c r="I61" s="47"/>
      <c r="J61" s="47"/>
      <c r="K61" s="67"/>
      <c r="L61" s="47"/>
      <c r="M61" s="47"/>
      <c r="N61" s="47"/>
      <c r="O61" s="47"/>
      <c r="P61" s="47"/>
      <c r="Q61" s="67"/>
      <c r="R61" s="47"/>
      <c r="S61" s="47"/>
      <c r="T61" s="47"/>
      <c r="U61" s="48"/>
      <c r="V61" s="48"/>
      <c r="W61" s="48"/>
      <c r="X61" s="48"/>
    </row>
    <row r="62" spans="2:24" x14ac:dyDescent="0.2">
      <c r="B62" s="47"/>
      <c r="C62" s="47"/>
      <c r="D62" s="47"/>
      <c r="E62" s="67"/>
      <c r="F62" s="67"/>
      <c r="G62" s="67"/>
      <c r="H62" s="47"/>
      <c r="I62" s="47"/>
      <c r="J62" s="47"/>
      <c r="K62" s="67"/>
      <c r="L62" s="47"/>
      <c r="M62" s="47"/>
      <c r="N62" s="47"/>
      <c r="O62" s="47"/>
      <c r="P62" s="47"/>
      <c r="Q62" s="67"/>
      <c r="R62" s="47"/>
      <c r="S62" s="47"/>
      <c r="T62" s="47"/>
      <c r="U62" s="48"/>
      <c r="V62" s="48"/>
      <c r="W62" s="48"/>
      <c r="X62" s="48"/>
    </row>
    <row r="63" spans="2:24" x14ac:dyDescent="0.2">
      <c r="B63" s="47"/>
      <c r="C63" s="47"/>
      <c r="D63" s="47"/>
      <c r="E63" s="47"/>
      <c r="F63" s="47"/>
      <c r="G63" s="47"/>
      <c r="H63" s="47"/>
      <c r="I63" s="47"/>
      <c r="J63" s="47"/>
      <c r="K63" s="47"/>
      <c r="L63" s="47"/>
      <c r="M63" s="47"/>
      <c r="N63" s="47"/>
      <c r="O63" s="47"/>
      <c r="P63" s="47"/>
      <c r="Q63" s="47"/>
      <c r="R63" s="47"/>
      <c r="S63" s="47"/>
      <c r="T63" s="47"/>
      <c r="U63" s="48"/>
      <c r="V63" s="48"/>
      <c r="W63" s="48"/>
      <c r="X63" s="48"/>
    </row>
    <row r="64" spans="2:24" x14ac:dyDescent="0.2">
      <c r="B64" s="47"/>
      <c r="C64" s="47"/>
      <c r="D64" s="47"/>
      <c r="E64" s="67"/>
      <c r="F64" s="67"/>
      <c r="G64" s="67"/>
      <c r="H64" s="47"/>
      <c r="I64" s="47"/>
      <c r="J64" s="47"/>
      <c r="K64" s="67"/>
      <c r="L64" s="47"/>
      <c r="M64" s="47"/>
      <c r="N64" s="47"/>
      <c r="O64" s="47"/>
      <c r="P64" s="47"/>
      <c r="Q64" s="67"/>
      <c r="R64" s="47"/>
      <c r="S64" s="47"/>
      <c r="T64" s="47"/>
      <c r="U64" s="48"/>
      <c r="V64" s="48"/>
      <c r="W64" s="48"/>
      <c r="X64" s="48"/>
    </row>
    <row r="65" spans="2:17" x14ac:dyDescent="0.2">
      <c r="B65"/>
      <c r="C65"/>
      <c r="D65"/>
      <c r="E65"/>
      <c r="F65"/>
      <c r="G65"/>
      <c r="H65"/>
      <c r="I65"/>
      <c r="K65"/>
      <c r="L65"/>
      <c r="M65"/>
      <c r="Q65"/>
    </row>
    <row r="66" spans="2:17" x14ac:dyDescent="0.2">
      <c r="B66"/>
      <c r="C66"/>
      <c r="D66"/>
      <c r="E66"/>
      <c r="F66"/>
      <c r="G66"/>
      <c r="H66"/>
      <c r="I66"/>
      <c r="K66"/>
      <c r="L66"/>
      <c r="M66"/>
      <c r="Q66"/>
    </row>
  </sheetData>
  <mergeCells count="6">
    <mergeCell ref="H6:H7"/>
    <mergeCell ref="I14:J14"/>
    <mergeCell ref="I13:J13"/>
    <mergeCell ref="H13:H14"/>
    <mergeCell ref="H11:H12"/>
    <mergeCell ref="H8:H1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C9E64-9163-47A4-9FBE-B5B6D9DB1F1E}">
  <sheetPr codeName="Sheet02"/>
  <dimension ref="A1:AV237"/>
  <sheetViews>
    <sheetView showGridLines="0" topLeftCell="G1" zoomScale="80" zoomScaleNormal="80" workbookViewId="0">
      <selection activeCell="X6" sqref="Q6:X6"/>
    </sheetView>
  </sheetViews>
  <sheetFormatPr defaultColWidth="8.625" defaultRowHeight="14.25" x14ac:dyDescent="0.2"/>
  <cols>
    <col min="1" max="1" width="2.625" customWidth="1"/>
    <col min="2" max="4" width="12.625" customWidth="1"/>
    <col min="5" max="5" width="5.625" customWidth="1"/>
    <col min="6" max="6" width="42.125" customWidth="1"/>
    <col min="7" max="15" width="15.625" customWidth="1"/>
    <col min="16" max="16" width="5.125" customWidth="1"/>
    <col min="17" max="28" width="10.125" customWidth="1"/>
    <col min="29" max="30" width="5.125" customWidth="1"/>
    <col min="31" max="42" width="10.125" customWidth="1"/>
    <col min="43" max="44" width="5.125" customWidth="1"/>
    <col min="45" max="48" width="10.125" customWidth="1"/>
  </cols>
  <sheetData>
    <row r="1" spans="1:48" ht="30" customHeight="1" thickBot="1" x14ac:dyDescent="0.25">
      <c r="A1" s="3" t="s">
        <v>0</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row>
    <row r="2" spans="1:48" ht="15" customHeight="1" x14ac:dyDescent="0.2"/>
    <row r="3" spans="1:48" ht="15" customHeight="1" x14ac:dyDescent="0.25">
      <c r="B3" s="134" t="s">
        <v>112</v>
      </c>
      <c r="C3" s="46"/>
      <c r="D3" s="46"/>
      <c r="E3" s="46"/>
      <c r="F3" s="46"/>
      <c r="G3" s="46"/>
      <c r="H3" s="46"/>
      <c r="I3" s="46"/>
      <c r="J3" s="46"/>
      <c r="K3" s="46"/>
      <c r="M3" s="134" t="s">
        <v>115</v>
      </c>
      <c r="N3" s="135"/>
      <c r="O3" s="47"/>
      <c r="P3" s="40" t="s">
        <v>91</v>
      </c>
      <c r="Q3" s="47"/>
      <c r="R3" s="47"/>
      <c r="S3" s="47"/>
      <c r="T3" s="47"/>
      <c r="U3" s="47"/>
      <c r="V3" s="47"/>
      <c r="W3" s="47"/>
      <c r="X3" s="47"/>
      <c r="Y3" s="47">
        <f>IF(Y6=Q6,1,0)</f>
        <v>1</v>
      </c>
      <c r="Z3" s="47"/>
      <c r="AA3" s="47"/>
      <c r="AB3" s="47"/>
      <c r="AD3" s="40" t="s">
        <v>92</v>
      </c>
      <c r="AE3" s="47"/>
      <c r="AF3" s="47"/>
      <c r="AG3" s="47"/>
      <c r="AH3" s="47"/>
      <c r="AI3" s="47"/>
      <c r="AJ3" s="47"/>
      <c r="AK3" s="47"/>
      <c r="AL3" s="47"/>
      <c r="AM3" s="47"/>
      <c r="AN3" s="47"/>
      <c r="AO3" s="47"/>
      <c r="AP3" s="47"/>
      <c r="AQ3" s="47"/>
      <c r="AR3" s="40" t="s">
        <v>93</v>
      </c>
    </row>
    <row r="4" spans="1:48" ht="15" customHeight="1" x14ac:dyDescent="0.2">
      <c r="B4" s="130" t="s">
        <v>33</v>
      </c>
      <c r="C4" s="130" t="s">
        <v>113</v>
      </c>
      <c r="D4" s="130" t="s">
        <v>114</v>
      </c>
      <c r="E4" s="20"/>
      <c r="F4" s="20"/>
      <c r="G4" s="20"/>
      <c r="H4" s="20"/>
      <c r="I4" s="20"/>
      <c r="J4" s="20"/>
      <c r="K4" s="20"/>
      <c r="M4" s="20"/>
      <c r="N4" s="20"/>
      <c r="O4" s="47"/>
      <c r="P4" s="160"/>
      <c r="Q4" s="8" t="s">
        <v>26</v>
      </c>
      <c r="R4" s="160"/>
      <c r="S4" s="160"/>
      <c r="T4" s="9"/>
      <c r="U4" s="8" t="s">
        <v>27</v>
      </c>
      <c r="V4" s="160"/>
      <c r="W4" s="160"/>
      <c r="X4" s="9"/>
      <c r="Y4" s="160" t="s">
        <v>82</v>
      </c>
      <c r="Z4" s="160"/>
      <c r="AA4" s="160"/>
      <c r="AB4" s="160"/>
      <c r="AC4" s="47"/>
      <c r="AD4" s="160"/>
      <c r="AE4" s="8" t="s">
        <v>26</v>
      </c>
      <c r="AF4" s="160"/>
      <c r="AG4" s="160"/>
      <c r="AH4" s="9"/>
      <c r="AI4" s="8" t="s">
        <v>27</v>
      </c>
      <c r="AJ4" s="160"/>
      <c r="AK4" s="160"/>
      <c r="AL4" s="9"/>
      <c r="AM4" s="160" t="s">
        <v>82</v>
      </c>
      <c r="AN4" s="160"/>
      <c r="AO4" s="160"/>
      <c r="AP4" s="160"/>
      <c r="AQ4" s="47"/>
      <c r="AR4" s="171" t="s">
        <v>94</v>
      </c>
      <c r="AS4" s="172" t="e">
        <f>AVERAGE(AS7:AS10005)</f>
        <v>#DIV/0!</v>
      </c>
      <c r="AT4" s="172" t="e">
        <f t="shared" ref="AT4:AV4" si="0">AVERAGE(AT7:AT10005)</f>
        <v>#DIV/0!</v>
      </c>
      <c r="AU4" s="172" t="e">
        <f t="shared" si="0"/>
        <v>#DIV/0!</v>
      </c>
      <c r="AV4" s="172" t="e">
        <f t="shared" si="0"/>
        <v>#DIV/0!</v>
      </c>
    </row>
    <row r="5" spans="1:48" ht="15" customHeight="1" x14ac:dyDescent="0.2">
      <c r="B5" s="130" t="s">
        <v>95</v>
      </c>
      <c r="C5" s="138" t="e">
        <f>(PSA!$P$15-MAX(PSA!$N$15:$O$15))/cohort</f>
        <v>#DIV/0!</v>
      </c>
      <c r="D5" s="138" t="e">
        <f>C5*eff_pop</f>
        <v>#DIV/0!</v>
      </c>
      <c r="E5" s="20"/>
      <c r="F5" s="20"/>
      <c r="G5" s="20"/>
      <c r="H5" s="20"/>
      <c r="I5" s="20"/>
      <c r="J5" s="20"/>
      <c r="K5" s="20"/>
      <c r="M5" s="130" t="s">
        <v>96</v>
      </c>
      <c r="N5" s="130" t="s">
        <v>97</v>
      </c>
      <c r="O5" s="47"/>
      <c r="P5" s="158" t="s">
        <v>33</v>
      </c>
      <c r="Q5" s="164">
        <v>50000</v>
      </c>
      <c r="R5" s="159">
        <v>100000</v>
      </c>
      <c r="S5" s="159">
        <v>150000</v>
      </c>
      <c r="T5" s="167">
        <v>200000</v>
      </c>
      <c r="U5" s="164">
        <v>50000</v>
      </c>
      <c r="V5" s="159">
        <v>100000</v>
      </c>
      <c r="W5" s="159">
        <v>150000</v>
      </c>
      <c r="X5" s="167">
        <v>200000</v>
      </c>
      <c r="Y5" s="159">
        <v>50000</v>
      </c>
      <c r="Z5" s="159">
        <v>100000</v>
      </c>
      <c r="AA5" s="159">
        <v>150000</v>
      </c>
      <c r="AB5" s="159">
        <v>200000</v>
      </c>
      <c r="AC5" s="47"/>
      <c r="AD5" s="158" t="s">
        <v>33</v>
      </c>
      <c r="AE5" s="164">
        <v>50000</v>
      </c>
      <c r="AF5" s="159">
        <v>100000</v>
      </c>
      <c r="AG5" s="159">
        <v>150000</v>
      </c>
      <c r="AH5" s="167">
        <v>200000</v>
      </c>
      <c r="AI5" s="164">
        <v>50000</v>
      </c>
      <c r="AJ5" s="159">
        <v>100000</v>
      </c>
      <c r="AK5" s="159">
        <v>150000</v>
      </c>
      <c r="AL5" s="167">
        <v>200000</v>
      </c>
      <c r="AM5" s="159">
        <v>50000</v>
      </c>
      <c r="AN5" s="159">
        <v>100000</v>
      </c>
      <c r="AO5" s="159">
        <v>150000</v>
      </c>
      <c r="AP5" s="159">
        <v>200000</v>
      </c>
      <c r="AQ5" s="124"/>
      <c r="AR5" s="170" t="s">
        <v>33</v>
      </c>
      <c r="AS5" s="159">
        <v>50000</v>
      </c>
      <c r="AT5" s="159">
        <v>100000</v>
      </c>
      <c r="AU5" s="159">
        <v>150000</v>
      </c>
      <c r="AV5" s="159">
        <v>200000</v>
      </c>
    </row>
    <row r="6" spans="1:48" ht="15" customHeight="1" x14ac:dyDescent="0.2">
      <c r="B6" s="131">
        <v>0</v>
      </c>
      <c r="C6" s="132">
        <v>0.53959568579739425</v>
      </c>
      <c r="D6" s="132">
        <v>45865633.292778514</v>
      </c>
      <c r="E6" s="20"/>
      <c r="F6" s="20"/>
      <c r="G6" s="20"/>
      <c r="H6" s="20"/>
      <c r="I6" s="20"/>
      <c r="J6" s="20"/>
      <c r="K6" s="20"/>
      <c r="M6" s="20">
        <v>1</v>
      </c>
      <c r="N6" s="136">
        <v>85000000</v>
      </c>
      <c r="O6" s="47"/>
      <c r="P6" s="161" t="s">
        <v>16</v>
      </c>
      <c r="Q6" s="165"/>
      <c r="R6" s="162"/>
      <c r="S6" s="162"/>
      <c r="T6" s="168"/>
      <c r="U6" s="166"/>
      <c r="V6" s="163"/>
      <c r="W6" s="163"/>
      <c r="X6" s="169"/>
      <c r="Y6" s="162">
        <f>MAX(Q6,U6)</f>
        <v>0</v>
      </c>
      <c r="Z6" s="163">
        <f t="shared" ref="Z6:AB6" si="1">MAX(R6,V6)</f>
        <v>0</v>
      </c>
      <c r="AA6" s="163">
        <f t="shared" si="1"/>
        <v>0</v>
      </c>
      <c r="AB6" s="163">
        <f t="shared" si="1"/>
        <v>0</v>
      </c>
      <c r="AC6" s="47"/>
      <c r="AD6" s="161" t="s">
        <v>16</v>
      </c>
      <c r="AE6" s="165" t="e">
        <f t="shared" ref="AE6:AP6" si="2">AVERAGE(Q7:Q10005)</f>
        <v>#DIV/0!</v>
      </c>
      <c r="AF6" s="162" t="e">
        <f t="shared" si="2"/>
        <v>#DIV/0!</v>
      </c>
      <c r="AG6" s="162" t="e">
        <f t="shared" si="2"/>
        <v>#DIV/0!</v>
      </c>
      <c r="AH6" s="168" t="e">
        <f t="shared" si="2"/>
        <v>#DIV/0!</v>
      </c>
      <c r="AI6" s="166" t="e">
        <f t="shared" si="2"/>
        <v>#DIV/0!</v>
      </c>
      <c r="AJ6" s="163" t="e">
        <f t="shared" si="2"/>
        <v>#DIV/0!</v>
      </c>
      <c r="AK6" s="163" t="e">
        <f t="shared" si="2"/>
        <v>#DIV/0!</v>
      </c>
      <c r="AL6" s="169" t="e">
        <f t="shared" si="2"/>
        <v>#DIV/0!</v>
      </c>
      <c r="AM6" s="162" t="e">
        <f t="shared" si="2"/>
        <v>#DIV/0!</v>
      </c>
      <c r="AN6" s="163" t="e">
        <f t="shared" si="2"/>
        <v>#DIV/0!</v>
      </c>
      <c r="AO6" s="163" t="e">
        <f t="shared" si="2"/>
        <v>#DIV/0!</v>
      </c>
      <c r="AP6" s="163" t="e">
        <f t="shared" si="2"/>
        <v>#DIV/0!</v>
      </c>
      <c r="AQ6" s="125"/>
      <c r="AR6" s="173"/>
      <c r="AS6" s="126" t="e">
        <f>MAX(AE6,AI6)-IF(VLOOKUP(AS5,PSA!$J$16:$L$156,3,FALSE)&gt;0.5,AE6,AI6)</f>
        <v>#DIV/0!</v>
      </c>
      <c r="AT6" s="126" t="e">
        <f>MAX(AF6,AJ6)-IF(VLOOKUP(AT5,PSA!$J$16:$L$156,3,FALSE)&gt;0.5,AF6,AJ6)</f>
        <v>#DIV/0!</v>
      </c>
      <c r="AU6" s="126" t="e">
        <f>MAX(AG6,AK6)-IF(VLOOKUP(AU5,PSA!$J$16:$L$156,3,FALSE)&gt;0.5,AG6,AK6)</f>
        <v>#DIV/0!</v>
      </c>
      <c r="AV6" s="126" t="e">
        <f>MAX(AH6,AL6)-IF(VLOOKUP(AV5,PSA!$J$16:$L$156,3,FALSE)&gt;0.5,AH6,AL6)</f>
        <v>#DIV/0!</v>
      </c>
    </row>
    <row r="7" spans="1:48" ht="15" customHeight="1" x14ac:dyDescent="0.2">
      <c r="B7" s="131">
        <v>100</v>
      </c>
      <c r="C7" s="132">
        <v>0.5187212565651862</v>
      </c>
      <c r="D7" s="132">
        <v>44091306.808040828</v>
      </c>
      <c r="E7" s="20"/>
      <c r="F7" s="20"/>
      <c r="G7" s="20"/>
      <c r="H7" s="20"/>
      <c r="I7" s="20"/>
      <c r="J7" s="20"/>
      <c r="K7" s="20"/>
      <c r="M7" s="20">
        <v>2</v>
      </c>
      <c r="N7" s="137"/>
      <c r="O7" s="47"/>
    </row>
    <row r="8" spans="1:48" ht="15" customHeight="1" x14ac:dyDescent="0.2">
      <c r="B8" s="131">
        <v>200</v>
      </c>
      <c r="C8" s="132">
        <v>0.49784682734753005</v>
      </c>
      <c r="D8" s="132">
        <v>42316980.324540056</v>
      </c>
      <c r="E8" s="20"/>
      <c r="F8" s="20"/>
      <c r="G8" s="20"/>
      <c r="H8" s="20"/>
      <c r="I8" s="20"/>
      <c r="J8" s="20"/>
      <c r="K8" s="20"/>
      <c r="M8" s="20">
        <v>3</v>
      </c>
      <c r="N8" s="467" t="s">
        <v>116</v>
      </c>
      <c r="O8" s="47"/>
    </row>
    <row r="9" spans="1:48" ht="15" customHeight="1" x14ac:dyDescent="0.2">
      <c r="B9" s="131">
        <v>300</v>
      </c>
      <c r="C9" s="132">
        <v>0.47697239810077008</v>
      </c>
      <c r="D9" s="132">
        <v>40542653.838565454</v>
      </c>
      <c r="E9" s="20"/>
      <c r="F9" s="20"/>
      <c r="G9" s="20"/>
      <c r="H9" s="20"/>
      <c r="I9" s="20"/>
      <c r="J9" s="20"/>
      <c r="K9" s="20"/>
      <c r="M9" s="20">
        <v>4</v>
      </c>
      <c r="N9" s="467"/>
      <c r="O9" s="47"/>
    </row>
    <row r="10" spans="1:48" ht="15" customHeight="1" x14ac:dyDescent="0.2">
      <c r="B10" s="131">
        <v>400</v>
      </c>
      <c r="C10" s="132">
        <v>0.45609796886128606</v>
      </c>
      <c r="D10" s="132">
        <v>38768327.353209317</v>
      </c>
      <c r="E10" s="20"/>
      <c r="F10" s="20"/>
      <c r="G10" s="20"/>
      <c r="H10" s="20"/>
      <c r="I10" s="20"/>
      <c r="J10" s="20"/>
      <c r="K10" s="20"/>
      <c r="M10" s="20">
        <v>5</v>
      </c>
      <c r="N10" s="467"/>
      <c r="O10" s="47"/>
    </row>
    <row r="11" spans="1:48" ht="15" customHeight="1" x14ac:dyDescent="0.2">
      <c r="B11" s="131">
        <v>500</v>
      </c>
      <c r="C11" s="132">
        <v>0.43522353963635396</v>
      </c>
      <c r="D11" s="132">
        <v>36994000.869090088</v>
      </c>
      <c r="E11" s="20"/>
      <c r="F11" s="20"/>
      <c r="G11" s="20"/>
      <c r="H11" s="20"/>
      <c r="I11" s="20"/>
      <c r="J11" s="20"/>
      <c r="K11" s="20"/>
      <c r="M11" s="20">
        <v>6</v>
      </c>
      <c r="N11" s="467"/>
      <c r="O11" s="47"/>
    </row>
    <row r="12" spans="1:48" ht="15" customHeight="1" x14ac:dyDescent="0.2">
      <c r="B12" s="131">
        <v>600</v>
      </c>
      <c r="C12" s="132">
        <v>0.419031470984919</v>
      </c>
      <c r="D12" s="132">
        <v>35617675.033718117</v>
      </c>
      <c r="E12" s="20"/>
      <c r="F12" s="20"/>
      <c r="G12" s="20"/>
      <c r="H12" s="20"/>
      <c r="I12" s="20"/>
      <c r="J12" s="20"/>
      <c r="K12" s="20"/>
      <c r="M12" s="20">
        <v>7</v>
      </c>
      <c r="N12" s="467"/>
      <c r="O12" s="47"/>
    </row>
    <row r="13" spans="1:48" ht="15" customHeight="1" x14ac:dyDescent="0.2">
      <c r="B13" s="131">
        <v>700</v>
      </c>
      <c r="C13" s="132">
        <v>0.40309602260094834</v>
      </c>
      <c r="D13" s="132">
        <v>34263161.921080612</v>
      </c>
      <c r="E13" s="20"/>
      <c r="F13" s="20"/>
      <c r="G13" s="20"/>
      <c r="H13" s="20"/>
      <c r="I13" s="20"/>
      <c r="J13" s="20"/>
      <c r="K13" s="20"/>
      <c r="M13" s="20">
        <v>8</v>
      </c>
      <c r="N13" s="467"/>
      <c r="O13" s="47"/>
    </row>
    <row r="14" spans="1:48" ht="15" customHeight="1" x14ac:dyDescent="0.2">
      <c r="B14" s="131">
        <v>800</v>
      </c>
      <c r="C14" s="132">
        <v>0.38716057423880557</v>
      </c>
      <c r="D14" s="132">
        <v>32908648.810298473</v>
      </c>
      <c r="E14" s="20"/>
      <c r="F14" s="20"/>
      <c r="G14" s="20"/>
      <c r="H14" s="20"/>
      <c r="I14" s="20"/>
      <c r="J14" s="20"/>
      <c r="K14" s="20"/>
      <c r="M14" s="20">
        <v>9</v>
      </c>
      <c r="N14" s="467"/>
      <c r="O14" s="47"/>
    </row>
    <row r="15" spans="1:48" ht="15" customHeight="1" x14ac:dyDescent="0.2">
      <c r="B15" s="131">
        <v>900</v>
      </c>
      <c r="C15" s="132">
        <v>0.37122512586211087</v>
      </c>
      <c r="D15" s="132">
        <v>31554135.698279426</v>
      </c>
      <c r="E15" s="20"/>
      <c r="F15" s="20"/>
      <c r="G15" s="20"/>
      <c r="H15" s="20"/>
      <c r="I15" s="20"/>
      <c r="J15" s="20"/>
      <c r="K15" s="20"/>
      <c r="M15" s="20">
        <v>10</v>
      </c>
      <c r="N15" s="467"/>
      <c r="O15" s="47"/>
    </row>
    <row r="16" spans="1:48" ht="15" customHeight="1" x14ac:dyDescent="0.2">
      <c r="B16" s="131">
        <v>1000</v>
      </c>
      <c r="C16" s="132">
        <v>0.35528967749996809</v>
      </c>
      <c r="D16" s="132">
        <v>30199622.587497286</v>
      </c>
      <c r="E16" s="20"/>
      <c r="F16" s="20"/>
      <c r="G16" s="20"/>
      <c r="H16" s="20"/>
      <c r="I16" s="20"/>
      <c r="J16" s="20"/>
      <c r="K16" s="20"/>
      <c r="M16" s="20"/>
      <c r="N16" s="20"/>
      <c r="O16" s="47"/>
    </row>
    <row r="17" spans="2:15" ht="15" customHeight="1" x14ac:dyDescent="0.2">
      <c r="B17" s="131">
        <v>1100</v>
      </c>
      <c r="C17" s="132">
        <v>0.3393542291232734</v>
      </c>
      <c r="D17" s="132">
        <v>28845109.475478239</v>
      </c>
      <c r="E17" s="20"/>
      <c r="F17" s="20"/>
      <c r="G17" s="20"/>
      <c r="H17" s="20"/>
      <c r="I17" s="20"/>
      <c r="J17" s="20"/>
      <c r="K17" s="20"/>
      <c r="M17" s="138" t="s">
        <v>98</v>
      </c>
      <c r="N17" s="139">
        <f>SUM(N6:N15)</f>
        <v>85000000</v>
      </c>
      <c r="O17" s="47"/>
    </row>
    <row r="18" spans="2:15" ht="15" customHeight="1" x14ac:dyDescent="0.2">
      <c r="B18" s="131">
        <v>1200</v>
      </c>
      <c r="C18" s="132">
        <v>0.32454312938352814</v>
      </c>
      <c r="D18" s="132">
        <v>27586165.997599892</v>
      </c>
      <c r="E18" s="47"/>
      <c r="F18" s="47"/>
      <c r="G18" s="47"/>
      <c r="H18" s="47"/>
      <c r="I18" s="47"/>
      <c r="J18" s="47"/>
      <c r="K18" s="47"/>
      <c r="L18" s="47"/>
      <c r="M18" s="47"/>
      <c r="N18" s="47"/>
      <c r="O18" s="47"/>
    </row>
    <row r="19" spans="2:15" ht="15" customHeight="1" x14ac:dyDescent="0.2">
      <c r="B19" s="131">
        <v>1300</v>
      </c>
      <c r="C19" s="132">
        <v>0.31292058701365022</v>
      </c>
      <c r="D19" s="132">
        <v>26598249.896160267</v>
      </c>
      <c r="E19" s="47"/>
      <c r="F19" s="134" t="s">
        <v>119</v>
      </c>
      <c r="G19" s="46"/>
      <c r="H19" s="46"/>
      <c r="I19" s="46"/>
      <c r="J19" s="20"/>
      <c r="K19" s="46"/>
      <c r="L19" s="46"/>
      <c r="M19" s="46"/>
      <c r="N19" s="46"/>
      <c r="O19" s="47"/>
    </row>
    <row r="20" spans="2:15" ht="15" customHeight="1" x14ac:dyDescent="0.2">
      <c r="B20" s="131">
        <v>1400</v>
      </c>
      <c r="C20" s="132">
        <v>0.30129804463649634</v>
      </c>
      <c r="D20" s="132">
        <v>25610333.794102188</v>
      </c>
      <c r="E20" s="47"/>
      <c r="F20" s="133"/>
      <c r="G20" s="20"/>
      <c r="H20" s="20"/>
      <c r="I20" s="20"/>
      <c r="J20" s="20"/>
      <c r="K20" s="20"/>
      <c r="L20" s="20"/>
      <c r="M20" s="20"/>
      <c r="N20" s="20"/>
      <c r="O20" s="47"/>
    </row>
    <row r="21" spans="2:15" ht="15" customHeight="1" x14ac:dyDescent="0.2">
      <c r="B21" s="131">
        <v>1500</v>
      </c>
      <c r="C21" s="132">
        <v>0.28967550227389438</v>
      </c>
      <c r="D21" s="132">
        <v>24622417.693281021</v>
      </c>
      <c r="E21" s="47"/>
      <c r="F21" s="133"/>
      <c r="G21" s="20"/>
      <c r="H21" s="20"/>
      <c r="I21" s="20"/>
      <c r="J21" s="20"/>
      <c r="K21" s="20"/>
      <c r="L21" s="20"/>
      <c r="M21" s="20"/>
      <c r="N21" s="20"/>
      <c r="O21" s="47"/>
    </row>
    <row r="22" spans="2:15" ht="15" customHeight="1" x14ac:dyDescent="0.2">
      <c r="B22" s="131">
        <v>1600</v>
      </c>
      <c r="C22" s="132">
        <v>0.28358711233158829</v>
      </c>
      <c r="D22" s="132">
        <v>24104904.548185006</v>
      </c>
      <c r="E22" s="47"/>
      <c r="F22" s="133"/>
      <c r="G22" s="20"/>
      <c r="H22" s="20"/>
      <c r="I22" s="20"/>
      <c r="J22" s="20"/>
      <c r="K22" s="20"/>
      <c r="L22" s="20"/>
      <c r="M22" s="20"/>
      <c r="N22" s="20"/>
      <c r="O22" s="47"/>
    </row>
    <row r="23" spans="2:15" ht="15" customHeight="1" x14ac:dyDescent="0.2">
      <c r="B23" s="131">
        <v>1700</v>
      </c>
      <c r="C23" s="132">
        <v>0.27775544165342581</v>
      </c>
      <c r="D23" s="132">
        <v>23609212.540541194</v>
      </c>
      <c r="E23" s="47"/>
      <c r="F23" s="133"/>
      <c r="G23" s="20"/>
      <c r="H23" s="20"/>
      <c r="I23" s="20"/>
      <c r="J23" s="20"/>
      <c r="K23" s="20"/>
      <c r="L23" s="20"/>
      <c r="M23" s="20"/>
      <c r="N23" s="20"/>
      <c r="O23" s="47"/>
    </row>
    <row r="24" spans="2:15" ht="15" customHeight="1" x14ac:dyDescent="0.2">
      <c r="B24" s="131">
        <v>1800</v>
      </c>
      <c r="C24" s="132">
        <v>0.27192377098253928</v>
      </c>
      <c r="D24" s="132">
        <v>23113520.533515841</v>
      </c>
      <c r="E24" s="47"/>
      <c r="F24" s="133"/>
      <c r="G24" s="20"/>
      <c r="H24" s="20"/>
      <c r="I24" s="20"/>
      <c r="J24" s="20"/>
      <c r="K24" s="20"/>
      <c r="L24" s="20"/>
      <c r="M24" s="20"/>
      <c r="N24" s="20"/>
      <c r="O24" s="47"/>
    </row>
    <row r="25" spans="2:15" ht="15" customHeight="1" x14ac:dyDescent="0.2">
      <c r="B25" s="131">
        <v>1900</v>
      </c>
      <c r="C25" s="132">
        <v>0.2660921003043768</v>
      </c>
      <c r="D25" s="132">
        <v>22617828.525872029</v>
      </c>
      <c r="E25" s="47"/>
      <c r="F25" s="133"/>
      <c r="G25" s="20"/>
      <c r="H25" s="20"/>
      <c r="I25" s="20"/>
      <c r="J25" s="20"/>
      <c r="K25" s="20"/>
      <c r="L25" s="20"/>
      <c r="M25" s="20"/>
      <c r="N25" s="20"/>
      <c r="O25" s="47"/>
    </row>
    <row r="26" spans="2:15" ht="15" customHeight="1" x14ac:dyDescent="0.2">
      <c r="B26" s="131">
        <v>2000</v>
      </c>
      <c r="C26" s="132">
        <v>0.26026042963349028</v>
      </c>
      <c r="D26" s="132">
        <v>22122136.518846672</v>
      </c>
      <c r="E26" s="47"/>
      <c r="F26" s="133"/>
      <c r="G26" s="20"/>
      <c r="H26" s="20"/>
      <c r="I26" s="20"/>
      <c r="J26" s="20"/>
      <c r="K26" s="20"/>
      <c r="L26" s="20"/>
      <c r="M26" s="20"/>
      <c r="N26" s="20"/>
      <c r="O26" s="47"/>
    </row>
    <row r="27" spans="2:15" ht="15" customHeight="1" x14ac:dyDescent="0.2">
      <c r="B27" s="131">
        <v>2100</v>
      </c>
      <c r="C27" s="132">
        <v>0.25442875896260375</v>
      </c>
      <c r="D27" s="132">
        <v>21626444.511821318</v>
      </c>
      <c r="E27" s="47"/>
      <c r="F27" s="133"/>
      <c r="G27" s="20"/>
      <c r="H27" s="20" t="s">
        <v>123</v>
      </c>
      <c r="I27" s="20"/>
      <c r="J27" s="20"/>
      <c r="K27" s="20"/>
      <c r="L27" s="20"/>
      <c r="M27" s="20"/>
      <c r="N27" s="20"/>
      <c r="O27" s="47"/>
    </row>
    <row r="28" spans="2:15" ht="15" customHeight="1" x14ac:dyDescent="0.2">
      <c r="B28" s="131">
        <v>2200</v>
      </c>
      <c r="C28" s="132">
        <v>0.24859708828444127</v>
      </c>
      <c r="D28" s="132">
        <v>21130752.504177507</v>
      </c>
      <c r="E28" s="47"/>
      <c r="F28" s="133"/>
      <c r="G28" s="20"/>
      <c r="H28" s="20"/>
      <c r="I28" s="20"/>
      <c r="J28" s="20"/>
      <c r="K28" s="20"/>
      <c r="L28" s="20"/>
      <c r="M28" s="20"/>
      <c r="N28" s="20"/>
      <c r="O28" s="47"/>
    </row>
    <row r="29" spans="2:15" ht="15" customHeight="1" x14ac:dyDescent="0.2">
      <c r="B29" s="131">
        <v>2300</v>
      </c>
      <c r="C29" s="132">
        <v>0.2427654176208307</v>
      </c>
      <c r="D29" s="132">
        <v>20635060.497770611</v>
      </c>
      <c r="E29" s="47"/>
      <c r="F29" s="133"/>
      <c r="G29" s="20"/>
      <c r="H29" s="20"/>
      <c r="I29" s="20"/>
      <c r="J29" s="20"/>
      <c r="K29" s="20"/>
      <c r="L29" s="20"/>
      <c r="M29" s="20"/>
      <c r="N29" s="20"/>
      <c r="O29" s="47"/>
    </row>
    <row r="30" spans="2:15" ht="15" customHeight="1" x14ac:dyDescent="0.2">
      <c r="B30" s="131">
        <v>2400</v>
      </c>
      <c r="C30" s="132">
        <v>0.2369337469463062</v>
      </c>
      <c r="D30" s="132">
        <v>20139368.490436029</v>
      </c>
      <c r="E30" s="47"/>
      <c r="F30" s="133"/>
      <c r="G30" s="20"/>
      <c r="H30" s="20"/>
      <c r="I30" s="20"/>
      <c r="J30" s="20"/>
      <c r="K30" s="20"/>
      <c r="L30" s="20"/>
      <c r="M30" s="20"/>
      <c r="N30" s="20"/>
      <c r="O30" s="47"/>
    </row>
    <row r="31" spans="2:15" ht="15" customHeight="1" x14ac:dyDescent="0.2">
      <c r="B31" s="131">
        <v>2500</v>
      </c>
      <c r="C31" s="132">
        <v>0.2311020762717817</v>
      </c>
      <c r="D31" s="132">
        <v>19643676.483101442</v>
      </c>
      <c r="E31" s="47"/>
      <c r="F31" s="133"/>
      <c r="G31" s="20"/>
      <c r="H31" s="20"/>
      <c r="I31" s="20"/>
      <c r="J31" s="20"/>
      <c r="K31" s="20"/>
      <c r="L31" s="20"/>
      <c r="M31" s="20"/>
      <c r="N31" s="20"/>
      <c r="O31" s="47"/>
    </row>
    <row r="32" spans="2:15" ht="15" customHeight="1" x14ac:dyDescent="0.2">
      <c r="B32" s="131">
        <v>2600</v>
      </c>
      <c r="C32" s="132">
        <v>0.22527040560089517</v>
      </c>
      <c r="D32" s="132">
        <v>19147984.476076089</v>
      </c>
      <c r="E32" s="47"/>
      <c r="F32" s="133"/>
      <c r="G32" s="20"/>
      <c r="H32" s="20"/>
      <c r="I32" s="20"/>
      <c r="J32" s="20"/>
      <c r="K32" s="20"/>
      <c r="L32" s="20"/>
      <c r="M32" s="20"/>
      <c r="N32" s="20"/>
      <c r="O32" s="47"/>
    </row>
    <row r="33" spans="2:15" ht="15" customHeight="1" x14ac:dyDescent="0.2">
      <c r="B33" s="131">
        <v>2700</v>
      </c>
      <c r="C33" s="132">
        <v>0.21943873491909471</v>
      </c>
      <c r="D33" s="132">
        <v>18652292.468123052</v>
      </c>
      <c r="E33" s="47"/>
      <c r="F33" s="133"/>
      <c r="G33" s="20"/>
      <c r="H33" s="20"/>
      <c r="I33" s="20"/>
      <c r="J33" s="20"/>
      <c r="K33" s="20"/>
      <c r="L33" s="20"/>
      <c r="M33" s="20"/>
      <c r="N33" s="20"/>
      <c r="O33" s="47"/>
    </row>
    <row r="34" spans="2:15" ht="15" customHeight="1" x14ac:dyDescent="0.2">
      <c r="B34" s="131">
        <v>2800</v>
      </c>
      <c r="C34" s="132">
        <v>0.21360706424820819</v>
      </c>
      <c r="D34" s="132">
        <v>18156600.461097695</v>
      </c>
      <c r="E34" s="47"/>
      <c r="F34" s="133"/>
      <c r="G34" s="20"/>
      <c r="H34" s="20"/>
      <c r="I34" s="20"/>
      <c r="J34" s="20"/>
      <c r="K34" s="20"/>
      <c r="L34" s="20"/>
      <c r="M34" s="20"/>
      <c r="N34" s="20"/>
      <c r="O34" s="47"/>
    </row>
    <row r="35" spans="2:15" ht="15" customHeight="1" x14ac:dyDescent="0.2">
      <c r="B35" s="131">
        <v>2900</v>
      </c>
      <c r="C35" s="132">
        <v>0.20777539358095964</v>
      </c>
      <c r="D35" s="132">
        <v>17660908.45438157</v>
      </c>
      <c r="E35" s="47"/>
      <c r="F35" s="19"/>
      <c r="G35" s="19"/>
      <c r="H35" s="19"/>
      <c r="I35" s="19"/>
      <c r="J35" s="19"/>
      <c r="K35" s="19"/>
      <c r="L35" s="20"/>
      <c r="M35" s="20"/>
      <c r="N35" s="20"/>
      <c r="O35" s="47"/>
    </row>
    <row r="36" spans="2:15" ht="15" customHeight="1" x14ac:dyDescent="0.2">
      <c r="B36" s="131">
        <v>3000</v>
      </c>
      <c r="C36" s="132">
        <v>0.20194372290279716</v>
      </c>
      <c r="D36" s="132">
        <v>17165216.446737759</v>
      </c>
      <c r="F36" s="155" t="s">
        <v>120</v>
      </c>
      <c r="G36" s="153" t="s">
        <v>99</v>
      </c>
      <c r="H36" s="153" t="s">
        <v>100</v>
      </c>
      <c r="I36" s="153" t="s">
        <v>101</v>
      </c>
      <c r="J36" s="153" t="s">
        <v>102</v>
      </c>
      <c r="K36" s="154" t="s">
        <v>105</v>
      </c>
      <c r="L36" s="153" t="s">
        <v>106</v>
      </c>
      <c r="M36" s="154" t="s">
        <v>107</v>
      </c>
      <c r="N36" s="153" t="s">
        <v>108</v>
      </c>
      <c r="O36" s="47"/>
    </row>
    <row r="37" spans="2:15" ht="15" customHeight="1" x14ac:dyDescent="0.2">
      <c r="B37" s="131">
        <v>3100</v>
      </c>
      <c r="C37" s="132">
        <v>0.19611205222827266</v>
      </c>
      <c r="D37" s="132">
        <v>16669524.439403176</v>
      </c>
      <c r="E37" s="47"/>
      <c r="F37" s="156">
        <v>0</v>
      </c>
      <c r="G37" s="7"/>
      <c r="H37" s="152"/>
      <c r="I37" s="152"/>
      <c r="J37" s="152"/>
      <c r="K37" s="20"/>
      <c r="L37" s="20"/>
      <c r="M37" s="20"/>
      <c r="N37" s="20"/>
      <c r="O37" s="47"/>
    </row>
    <row r="38" spans="2:15" ht="15" customHeight="1" x14ac:dyDescent="0.2">
      <c r="B38" s="131">
        <v>3200</v>
      </c>
      <c r="C38" s="132">
        <v>0.19028038155738614</v>
      </c>
      <c r="D38" s="132">
        <v>16173832.432377821</v>
      </c>
      <c r="E38" s="143">
        <v>1</v>
      </c>
      <c r="F38" s="157">
        <v>1000</v>
      </c>
      <c r="G38" s="7"/>
      <c r="H38" s="152"/>
      <c r="I38" s="152"/>
      <c r="J38" s="152"/>
      <c r="K38" s="20"/>
      <c r="L38" s="20"/>
      <c r="M38" s="20"/>
      <c r="N38" s="20"/>
      <c r="O38" s="47"/>
    </row>
    <row r="39" spans="2:15" ht="15" customHeight="1" x14ac:dyDescent="0.2">
      <c r="B39" s="131">
        <v>3300</v>
      </c>
      <c r="C39" s="132">
        <v>0.18444871088286163</v>
      </c>
      <c r="D39" s="132">
        <v>15678140.425043238</v>
      </c>
      <c r="E39" s="143">
        <v>2</v>
      </c>
      <c r="F39" s="157">
        <f t="shared" ref="F39" si="3">F38*2</f>
        <v>2000</v>
      </c>
      <c r="G39" s="7"/>
      <c r="H39" s="152"/>
      <c r="I39" s="152"/>
      <c r="J39" s="152"/>
      <c r="K39" s="20"/>
      <c r="L39" s="20"/>
      <c r="M39" s="20"/>
      <c r="N39" s="20"/>
      <c r="O39" s="47"/>
    </row>
    <row r="40" spans="2:15" ht="15" customHeight="1" x14ac:dyDescent="0.2">
      <c r="B40" s="131">
        <v>3400</v>
      </c>
      <c r="C40" s="132">
        <v>0.17861704021015612</v>
      </c>
      <c r="D40" s="132">
        <v>15182448.41786327</v>
      </c>
      <c r="E40" s="143">
        <v>3</v>
      </c>
      <c r="F40" s="157">
        <v>3000</v>
      </c>
      <c r="G40" s="7"/>
      <c r="H40" s="152"/>
      <c r="I40" s="152"/>
      <c r="J40" s="152"/>
      <c r="K40" s="20"/>
      <c r="L40" s="20"/>
      <c r="M40" s="20"/>
      <c r="N40" s="20"/>
      <c r="O40" s="47"/>
    </row>
    <row r="41" spans="2:15" ht="15" customHeight="1" x14ac:dyDescent="0.2">
      <c r="B41" s="131">
        <v>3500</v>
      </c>
      <c r="C41" s="132">
        <v>0.17278536953563162</v>
      </c>
      <c r="D41" s="132">
        <v>14686756.410528688</v>
      </c>
      <c r="E41" s="143">
        <v>4</v>
      </c>
      <c r="F41" s="157">
        <v>4000</v>
      </c>
      <c r="G41" s="7"/>
      <c r="H41" s="152"/>
      <c r="I41" s="152"/>
      <c r="J41" s="152"/>
      <c r="K41" s="20"/>
      <c r="L41" s="20"/>
      <c r="M41" s="20"/>
      <c r="N41" s="20"/>
      <c r="O41" s="47"/>
    </row>
    <row r="42" spans="2:15" ht="15" customHeight="1" x14ac:dyDescent="0.2">
      <c r="B42" s="131">
        <v>3600</v>
      </c>
      <c r="C42" s="132">
        <v>0.1669536988629261</v>
      </c>
      <c r="D42" s="132">
        <v>14191064.403348718</v>
      </c>
      <c r="E42" s="143">
        <v>5</v>
      </c>
      <c r="F42" s="157">
        <v>5000</v>
      </c>
      <c r="G42" s="7"/>
      <c r="H42" s="152"/>
      <c r="I42" s="152"/>
      <c r="J42" s="152"/>
      <c r="K42" s="20"/>
      <c r="L42" s="131"/>
      <c r="M42" s="20"/>
      <c r="N42" s="20"/>
      <c r="O42" s="47"/>
    </row>
    <row r="43" spans="2:15" ht="15" customHeight="1" x14ac:dyDescent="0.2">
      <c r="B43" s="131">
        <v>3700</v>
      </c>
      <c r="C43" s="132">
        <v>0.16112202819203958</v>
      </c>
      <c r="D43" s="132">
        <v>13695372.396323364</v>
      </c>
      <c r="E43" s="143">
        <v>6</v>
      </c>
      <c r="F43" s="157">
        <v>7500</v>
      </c>
      <c r="G43" s="7"/>
      <c r="H43" s="152"/>
      <c r="I43" s="152"/>
      <c r="J43" s="152"/>
      <c r="K43" s="20"/>
      <c r="L43" s="20"/>
      <c r="M43" s="20"/>
      <c r="N43" s="20"/>
      <c r="O43" s="47"/>
    </row>
    <row r="44" spans="2:15" ht="15" customHeight="1" x14ac:dyDescent="0.2">
      <c r="B44" s="131">
        <v>3800</v>
      </c>
      <c r="C44" s="132">
        <v>0.15529035751751508</v>
      </c>
      <c r="D44" s="132">
        <v>13199680.388988782</v>
      </c>
      <c r="E44" s="143">
        <v>7</v>
      </c>
      <c r="F44" s="157">
        <v>10000</v>
      </c>
      <c r="G44" s="7"/>
      <c r="H44" s="152"/>
      <c r="I44" s="152"/>
      <c r="J44" s="152"/>
      <c r="K44" s="20"/>
      <c r="L44" s="20"/>
      <c r="M44" s="20"/>
      <c r="N44" s="20"/>
      <c r="O44" s="47"/>
    </row>
    <row r="45" spans="2:15" ht="15" customHeight="1" x14ac:dyDescent="0.2">
      <c r="B45" s="131">
        <v>3900</v>
      </c>
      <c r="C45" s="132">
        <v>0.14945868684390007</v>
      </c>
      <c r="D45" s="132">
        <v>12703988.381731506</v>
      </c>
      <c r="E45" s="143">
        <v>8</v>
      </c>
      <c r="F45" s="157">
        <v>12500</v>
      </c>
      <c r="G45" s="7"/>
      <c r="H45" s="152"/>
      <c r="I45" s="152"/>
      <c r="J45" s="152"/>
      <c r="K45" s="20"/>
      <c r="L45" s="20"/>
      <c r="M45" s="20"/>
      <c r="N45" s="20"/>
      <c r="O45" s="47"/>
    </row>
    <row r="46" spans="2:15" ht="15" customHeight="1" x14ac:dyDescent="0.2">
      <c r="B46" s="131">
        <v>4000</v>
      </c>
      <c r="C46" s="132">
        <v>0.14362701617028506</v>
      </c>
      <c r="D46" s="132">
        <v>12208296.374474229</v>
      </c>
      <c r="E46" s="143">
        <v>9</v>
      </c>
      <c r="F46" s="157">
        <v>15000</v>
      </c>
      <c r="G46" s="7"/>
      <c r="H46" s="152"/>
      <c r="I46" s="152"/>
      <c r="J46" s="152"/>
      <c r="K46" s="20"/>
      <c r="L46" s="20"/>
      <c r="M46" s="20"/>
      <c r="N46" s="20"/>
      <c r="O46" s="47"/>
    </row>
    <row r="47" spans="2:15" ht="15" customHeight="1" x14ac:dyDescent="0.2">
      <c r="B47" s="131">
        <v>4100</v>
      </c>
      <c r="C47" s="132">
        <v>0.13779534549667005</v>
      </c>
      <c r="D47" s="132">
        <v>11712604.367216954</v>
      </c>
      <c r="E47" s="143">
        <v>10</v>
      </c>
      <c r="F47" s="157">
        <v>20000</v>
      </c>
      <c r="G47" s="7"/>
      <c r="H47" s="152"/>
      <c r="I47" s="152"/>
      <c r="J47" s="152"/>
      <c r="K47" s="20"/>
      <c r="L47" s="20"/>
      <c r="M47" s="20"/>
      <c r="N47" s="20"/>
      <c r="O47" s="47"/>
    </row>
    <row r="48" spans="2:15" ht="15" customHeight="1" x14ac:dyDescent="0.2">
      <c r="B48" s="131">
        <v>4200</v>
      </c>
      <c r="C48" s="132">
        <v>0.13196367482373716</v>
      </c>
      <c r="D48" s="132">
        <v>11216912.360017659</v>
      </c>
      <c r="E48" s="143">
        <v>11</v>
      </c>
      <c r="F48" s="157">
        <v>25000</v>
      </c>
      <c r="G48" s="7"/>
      <c r="H48" s="152"/>
      <c r="I48" s="152"/>
      <c r="J48" s="152"/>
      <c r="K48" s="20"/>
      <c r="L48" s="20"/>
      <c r="M48" s="20"/>
      <c r="N48" s="20"/>
      <c r="O48" s="47"/>
    </row>
    <row r="49" spans="2:15" ht="15" customHeight="1" x14ac:dyDescent="0.2">
      <c r="B49" s="131">
        <v>4300</v>
      </c>
      <c r="C49" s="132">
        <v>0.12613200415052006</v>
      </c>
      <c r="D49" s="132">
        <v>10721220.352794206</v>
      </c>
      <c r="E49" s="143">
        <v>12</v>
      </c>
      <c r="F49" s="157">
        <v>30000</v>
      </c>
      <c r="G49" s="7"/>
      <c r="H49" s="152"/>
      <c r="I49" s="152"/>
      <c r="J49" s="152"/>
      <c r="K49" s="20"/>
      <c r="L49" s="20"/>
      <c r="M49" s="20"/>
      <c r="N49" s="20"/>
      <c r="O49" s="47"/>
    </row>
    <row r="50" spans="2:15" ht="15" customHeight="1" x14ac:dyDescent="0.2">
      <c r="B50" s="131">
        <v>4400</v>
      </c>
      <c r="C50" s="132">
        <v>0.1203003334769619</v>
      </c>
      <c r="D50" s="132">
        <v>10225528.34554176</v>
      </c>
      <c r="E50" s="143">
        <v>13</v>
      </c>
      <c r="F50" s="157">
        <v>40000</v>
      </c>
      <c r="G50" s="7"/>
      <c r="H50" s="152"/>
      <c r="I50" s="152"/>
      <c r="J50" s="152"/>
      <c r="K50" s="20"/>
      <c r="L50" s="20"/>
      <c r="M50" s="20"/>
      <c r="N50" s="20"/>
      <c r="O50" s="47"/>
    </row>
    <row r="51" spans="2:15" ht="15" customHeight="1" x14ac:dyDescent="0.2">
      <c r="B51" s="131">
        <v>4500</v>
      </c>
      <c r="C51" s="132">
        <v>0.11446866280402901</v>
      </c>
      <c r="D51" s="132">
        <v>9729836.3383424655</v>
      </c>
      <c r="E51" s="143">
        <v>14</v>
      </c>
      <c r="F51" s="157">
        <v>50000</v>
      </c>
      <c r="G51" s="7"/>
      <c r="H51" s="152"/>
      <c r="I51" s="152"/>
      <c r="J51" s="152"/>
      <c r="K51" s="20"/>
      <c r="L51" s="20"/>
      <c r="M51" s="20"/>
      <c r="N51" s="20"/>
      <c r="O51" s="47"/>
    </row>
    <row r="52" spans="2:15" ht="15" customHeight="1" x14ac:dyDescent="0.2">
      <c r="B52" s="131">
        <v>4600</v>
      </c>
      <c r="C52" s="132">
        <v>0.10863699213223299</v>
      </c>
      <c r="D52" s="132">
        <v>9234144.3312398046</v>
      </c>
      <c r="E52" s="143">
        <v>15</v>
      </c>
      <c r="F52" s="157">
        <v>100000</v>
      </c>
      <c r="G52" s="20"/>
      <c r="H52" s="20"/>
      <c r="I52" s="20"/>
      <c r="J52" s="20"/>
      <c r="K52" s="20"/>
      <c r="L52" s="20"/>
      <c r="M52" s="20"/>
      <c r="N52" s="145"/>
      <c r="O52" s="47"/>
    </row>
    <row r="53" spans="2:15" ht="15" customHeight="1" x14ac:dyDescent="0.2">
      <c r="B53" s="131">
        <v>4700</v>
      </c>
      <c r="C53" s="132">
        <v>0.10280532145679899</v>
      </c>
      <c r="D53" s="132">
        <v>8738452.3238279149</v>
      </c>
      <c r="E53" s="143"/>
      <c r="F53" s="47"/>
      <c r="G53" s="47"/>
      <c r="H53" s="47"/>
      <c r="I53" s="47"/>
      <c r="J53" s="47"/>
      <c r="K53" s="47"/>
      <c r="L53" s="47"/>
      <c r="M53" s="47"/>
      <c r="N53" s="47"/>
      <c r="O53" s="47"/>
    </row>
    <row r="54" spans="2:15" ht="15" customHeight="1" x14ac:dyDescent="0.2">
      <c r="B54" s="131">
        <v>4800</v>
      </c>
      <c r="C54" s="132">
        <v>9.6973650785002974E-2</v>
      </c>
      <c r="D54" s="132">
        <v>8242760.3167252531</v>
      </c>
      <c r="E54" s="47"/>
      <c r="F54" s="140" t="s">
        <v>121</v>
      </c>
      <c r="G54" s="134"/>
      <c r="H54" s="134"/>
      <c r="I54" s="46"/>
      <c r="J54" s="20"/>
      <c r="K54" s="135" t="s">
        <v>103</v>
      </c>
      <c r="L54" s="141">
        <v>1</v>
      </c>
      <c r="M54" s="135" t="s">
        <v>104</v>
      </c>
      <c r="N54" s="142">
        <v>28</v>
      </c>
      <c r="O54" s="47"/>
    </row>
    <row r="55" spans="2:15" ht="15" customHeight="1" x14ac:dyDescent="0.2">
      <c r="B55" s="131">
        <v>4900</v>
      </c>
      <c r="C55" s="132">
        <v>9.1141980108659482E-2</v>
      </c>
      <c r="D55" s="132">
        <v>7747068.3092360562</v>
      </c>
      <c r="E55" s="47"/>
      <c r="F55" s="20"/>
      <c r="G55" s="145"/>
      <c r="H55" s="145"/>
      <c r="I55" s="145"/>
      <c r="J55" s="20"/>
      <c r="K55" s="145"/>
      <c r="L55" s="145"/>
      <c r="M55" s="145"/>
      <c r="N55" s="145"/>
      <c r="O55" s="47"/>
    </row>
    <row r="56" spans="2:15" ht="15" customHeight="1" x14ac:dyDescent="0.25">
      <c r="B56" s="131">
        <v>5000</v>
      </c>
      <c r="C56" s="132">
        <v>8.5310309437772958E-2</v>
      </c>
      <c r="D56" s="132">
        <v>7251376.3022107016</v>
      </c>
      <c r="E56" s="47"/>
      <c r="F56" s="146" t="s">
        <v>110</v>
      </c>
      <c r="G56" s="153" t="s">
        <v>99</v>
      </c>
      <c r="H56" s="153" t="s">
        <v>100</v>
      </c>
      <c r="I56" s="153" t="s">
        <v>101</v>
      </c>
      <c r="J56" s="153" t="s">
        <v>102</v>
      </c>
      <c r="K56" s="154" t="s">
        <v>105</v>
      </c>
      <c r="L56" s="153" t="s">
        <v>106</v>
      </c>
      <c r="M56" s="154" t="s">
        <v>107</v>
      </c>
      <c r="N56" s="153" t="s">
        <v>108</v>
      </c>
      <c r="O56" s="47"/>
    </row>
    <row r="57" spans="2:15" ht="15" customHeight="1" x14ac:dyDescent="0.2">
      <c r="B57" s="131">
        <v>6000</v>
      </c>
      <c r="C57" s="132">
        <v>2.6993602699803887E-2</v>
      </c>
      <c r="D57" s="132">
        <v>2294456.2294833306</v>
      </c>
      <c r="E57" s="143">
        <v>1</v>
      </c>
      <c r="F57" s="148" t="s">
        <v>48</v>
      </c>
      <c r="G57" s="131"/>
      <c r="H57" s="131"/>
      <c r="I57" s="149"/>
      <c r="J57" s="149"/>
      <c r="K57" s="149"/>
      <c r="L57" s="149"/>
      <c r="M57" s="149"/>
      <c r="N57" s="149"/>
      <c r="O57" s="47"/>
    </row>
    <row r="58" spans="2:15" ht="15" customHeight="1" x14ac:dyDescent="0.2">
      <c r="B58" s="131">
        <v>7000</v>
      </c>
      <c r="C58" s="132">
        <v>0</v>
      </c>
      <c r="D58" s="132">
        <v>0</v>
      </c>
      <c r="E58" s="143">
        <v>2</v>
      </c>
      <c r="F58" s="148" t="s">
        <v>50</v>
      </c>
      <c r="G58" s="131"/>
      <c r="H58" s="131"/>
      <c r="I58" s="149"/>
      <c r="J58" s="149"/>
      <c r="K58" s="149"/>
      <c r="L58" s="149"/>
      <c r="M58" s="149"/>
      <c r="N58" s="149"/>
      <c r="O58" s="47"/>
    </row>
    <row r="59" spans="2:15" ht="15" customHeight="1" x14ac:dyDescent="0.2">
      <c r="B59" s="131">
        <v>8000</v>
      </c>
      <c r="C59" s="132">
        <v>0</v>
      </c>
      <c r="D59" s="132">
        <v>0</v>
      </c>
      <c r="E59" s="143">
        <v>3</v>
      </c>
      <c r="F59" s="148" t="s">
        <v>51</v>
      </c>
      <c r="G59" s="131"/>
      <c r="H59" s="131"/>
      <c r="I59" s="149"/>
      <c r="J59" s="149"/>
      <c r="K59" s="149"/>
      <c r="L59" s="149"/>
      <c r="M59" s="149"/>
      <c r="N59" s="149"/>
      <c r="O59" s="47"/>
    </row>
    <row r="60" spans="2:15" ht="15" customHeight="1" x14ac:dyDescent="0.2">
      <c r="B60" s="131">
        <v>9000</v>
      </c>
      <c r="C60" s="132">
        <v>0</v>
      </c>
      <c r="D60" s="132">
        <v>0</v>
      </c>
      <c r="E60" s="143">
        <v>4</v>
      </c>
      <c r="F60" s="148" t="s">
        <v>52</v>
      </c>
      <c r="G60" s="131"/>
      <c r="H60" s="131"/>
      <c r="I60" s="149"/>
      <c r="J60" s="149"/>
      <c r="K60" s="149"/>
      <c r="L60" s="149"/>
      <c r="M60" s="149"/>
      <c r="N60" s="149"/>
      <c r="O60" s="47"/>
    </row>
    <row r="61" spans="2:15" ht="15" customHeight="1" x14ac:dyDescent="0.2">
      <c r="B61" s="131">
        <v>10000</v>
      </c>
      <c r="C61" s="132">
        <v>0</v>
      </c>
      <c r="D61" s="132">
        <v>0</v>
      </c>
      <c r="E61" s="143">
        <v>5</v>
      </c>
      <c r="F61" s="148" t="s">
        <v>53</v>
      </c>
      <c r="G61" s="131"/>
      <c r="H61" s="131"/>
      <c r="I61" s="149"/>
      <c r="J61" s="149"/>
      <c r="K61" s="149"/>
      <c r="L61" s="149"/>
      <c r="M61" s="149"/>
      <c r="N61" s="149"/>
      <c r="O61" s="47"/>
    </row>
    <row r="62" spans="2:15" ht="15" customHeight="1" x14ac:dyDescent="0.2">
      <c r="B62" s="131">
        <v>11000</v>
      </c>
      <c r="C62" s="132">
        <v>0</v>
      </c>
      <c r="D62" s="132">
        <v>0</v>
      </c>
      <c r="E62" s="143">
        <v>6</v>
      </c>
      <c r="F62" s="148" t="s">
        <v>54</v>
      </c>
      <c r="G62" s="131"/>
      <c r="H62" s="131"/>
      <c r="I62" s="149"/>
      <c r="J62" s="149"/>
      <c r="K62" s="149"/>
      <c r="L62" s="149"/>
      <c r="M62" s="149"/>
      <c r="N62" s="149"/>
      <c r="O62" s="47"/>
    </row>
    <row r="63" spans="2:15" ht="15" customHeight="1" x14ac:dyDescent="0.2">
      <c r="B63" s="131">
        <v>12000</v>
      </c>
      <c r="C63" s="132">
        <v>0</v>
      </c>
      <c r="D63" s="132">
        <v>0</v>
      </c>
      <c r="E63" s="143">
        <v>7</v>
      </c>
      <c r="F63" s="148" t="s">
        <v>55</v>
      </c>
      <c r="G63" s="131"/>
      <c r="H63" s="131"/>
      <c r="I63" s="149"/>
      <c r="J63" s="149"/>
      <c r="K63" s="149"/>
      <c r="L63" s="149"/>
      <c r="M63" s="149"/>
      <c r="N63" s="149"/>
      <c r="O63" s="47"/>
    </row>
    <row r="64" spans="2:15" ht="15" customHeight="1" x14ac:dyDescent="0.2">
      <c r="B64" s="131">
        <v>13000</v>
      </c>
      <c r="C64" s="132">
        <v>0</v>
      </c>
      <c r="D64" s="132">
        <v>0</v>
      </c>
      <c r="E64" s="143">
        <v>8</v>
      </c>
      <c r="F64" s="148" t="s">
        <v>56</v>
      </c>
      <c r="G64" s="131"/>
      <c r="H64" s="131"/>
      <c r="I64" s="149"/>
      <c r="J64" s="149"/>
      <c r="K64" s="149"/>
      <c r="L64" s="149"/>
      <c r="M64" s="149"/>
      <c r="N64" s="149"/>
      <c r="O64" s="47"/>
    </row>
    <row r="65" spans="2:18" ht="15" customHeight="1" x14ac:dyDescent="0.2">
      <c r="B65" s="131">
        <v>14000</v>
      </c>
      <c r="C65" s="132">
        <v>0</v>
      </c>
      <c r="D65" s="132">
        <v>0</v>
      </c>
      <c r="E65" s="143">
        <v>9</v>
      </c>
      <c r="F65" s="20"/>
      <c r="G65" s="149"/>
      <c r="H65" s="149"/>
      <c r="I65" s="149"/>
      <c r="J65" s="149"/>
      <c r="K65" s="149"/>
      <c r="L65" s="149"/>
      <c r="M65" s="149"/>
      <c r="N65" s="149"/>
      <c r="O65" s="47"/>
    </row>
    <row r="66" spans="2:18" ht="15" customHeight="1" x14ac:dyDescent="0.25">
      <c r="B66" s="131">
        <v>15000</v>
      </c>
      <c r="C66" s="132">
        <v>0</v>
      </c>
      <c r="D66" s="132">
        <v>0</v>
      </c>
      <c r="E66" s="143">
        <v>10</v>
      </c>
      <c r="F66" s="146" t="s">
        <v>58</v>
      </c>
      <c r="G66" s="153" t="s">
        <v>99</v>
      </c>
      <c r="H66" s="153" t="s">
        <v>100</v>
      </c>
      <c r="I66" s="153" t="s">
        <v>101</v>
      </c>
      <c r="J66" s="153" t="s">
        <v>102</v>
      </c>
      <c r="K66" s="154" t="s">
        <v>105</v>
      </c>
      <c r="L66" s="153" t="s">
        <v>106</v>
      </c>
      <c r="M66" s="154" t="s">
        <v>107</v>
      </c>
      <c r="N66" s="153" t="s">
        <v>108</v>
      </c>
      <c r="O66" s="47"/>
    </row>
    <row r="67" spans="2:18" ht="15" customHeight="1" x14ac:dyDescent="0.2">
      <c r="B67" s="131">
        <v>16000</v>
      </c>
      <c r="C67" s="132">
        <v>0</v>
      </c>
      <c r="D67" s="132">
        <v>0</v>
      </c>
      <c r="E67" s="143">
        <v>11</v>
      </c>
      <c r="F67" s="148" t="s">
        <v>48</v>
      </c>
      <c r="G67" s="131"/>
      <c r="H67" s="131"/>
      <c r="I67" s="149"/>
      <c r="J67" s="149"/>
      <c r="K67" s="149"/>
      <c r="L67" s="149"/>
      <c r="M67" s="149"/>
      <c r="N67" s="149"/>
      <c r="O67" s="47"/>
    </row>
    <row r="68" spans="2:18" ht="15" customHeight="1" x14ac:dyDescent="0.2">
      <c r="B68" s="131">
        <v>17000</v>
      </c>
      <c r="C68" s="132">
        <v>0</v>
      </c>
      <c r="D68" s="132">
        <v>0</v>
      </c>
      <c r="E68" s="143">
        <v>12</v>
      </c>
      <c r="F68" s="148" t="s">
        <v>50</v>
      </c>
      <c r="G68" s="131"/>
      <c r="H68" s="131"/>
      <c r="I68" s="149"/>
      <c r="J68" s="149"/>
      <c r="K68" s="149"/>
      <c r="L68" s="149"/>
      <c r="M68" s="149"/>
      <c r="N68" s="149"/>
      <c r="O68" s="47"/>
    </row>
    <row r="69" spans="2:18" ht="15" customHeight="1" x14ac:dyDescent="0.2">
      <c r="B69" s="131">
        <v>18000</v>
      </c>
      <c r="C69" s="132">
        <v>0</v>
      </c>
      <c r="D69" s="132">
        <v>0</v>
      </c>
      <c r="E69" s="143">
        <v>13</v>
      </c>
      <c r="F69" s="148" t="s">
        <v>51</v>
      </c>
      <c r="G69" s="131"/>
      <c r="H69" s="131"/>
      <c r="I69" s="149"/>
      <c r="J69" s="149"/>
      <c r="K69" s="149"/>
      <c r="L69" s="149"/>
      <c r="M69" s="149"/>
      <c r="N69" s="149"/>
      <c r="O69" s="47"/>
    </row>
    <row r="70" spans="2:18" ht="15" customHeight="1" x14ac:dyDescent="0.2">
      <c r="B70" s="131">
        <v>19000</v>
      </c>
      <c r="C70" s="132">
        <v>0</v>
      </c>
      <c r="D70" s="132">
        <v>0</v>
      </c>
      <c r="E70" s="143">
        <v>14</v>
      </c>
      <c r="F70" s="148" t="s">
        <v>52</v>
      </c>
      <c r="G70" s="131"/>
      <c r="H70" s="131"/>
      <c r="I70" s="149"/>
      <c r="J70" s="149"/>
      <c r="K70" s="149"/>
      <c r="L70" s="149"/>
      <c r="M70" s="149"/>
      <c r="N70" s="149"/>
      <c r="O70" s="47"/>
      <c r="P70" s="128"/>
    </row>
    <row r="71" spans="2:18" ht="15" customHeight="1" x14ac:dyDescent="0.2">
      <c r="B71" s="131">
        <v>20000</v>
      </c>
      <c r="C71" s="132">
        <v>0</v>
      </c>
      <c r="D71" s="132">
        <v>0</v>
      </c>
      <c r="E71" s="143">
        <v>15</v>
      </c>
      <c r="F71" s="148" t="s">
        <v>53</v>
      </c>
      <c r="G71" s="131"/>
      <c r="H71" s="131"/>
      <c r="I71" s="149"/>
      <c r="J71" s="149"/>
      <c r="K71" s="149"/>
      <c r="L71" s="149"/>
      <c r="M71" s="149"/>
      <c r="N71" s="149"/>
      <c r="O71" s="47"/>
      <c r="P71" s="128"/>
    </row>
    <row r="72" spans="2:18" ht="15" customHeight="1" x14ac:dyDescent="0.2">
      <c r="B72" s="131">
        <v>21000</v>
      </c>
      <c r="C72" s="132">
        <v>0</v>
      </c>
      <c r="D72" s="132">
        <v>0</v>
      </c>
      <c r="E72" s="143">
        <v>16</v>
      </c>
      <c r="F72" s="148" t="s">
        <v>54</v>
      </c>
      <c r="G72" s="131"/>
      <c r="H72" s="131"/>
      <c r="I72" s="149"/>
      <c r="J72" s="149"/>
      <c r="K72" s="149"/>
      <c r="L72" s="149"/>
      <c r="M72" s="149"/>
      <c r="N72" s="149"/>
      <c r="O72" s="47"/>
      <c r="P72" s="128"/>
    </row>
    <row r="73" spans="2:18" ht="15" customHeight="1" x14ac:dyDescent="0.2">
      <c r="B73" s="131">
        <v>22000</v>
      </c>
      <c r="C73" s="132">
        <v>0</v>
      </c>
      <c r="D73" s="132">
        <v>0</v>
      </c>
      <c r="E73" s="143">
        <v>17</v>
      </c>
      <c r="F73" s="148" t="s">
        <v>55</v>
      </c>
      <c r="G73" s="131"/>
      <c r="H73" s="131"/>
      <c r="I73" s="149"/>
      <c r="J73" s="149"/>
      <c r="K73" s="149"/>
      <c r="L73" s="149"/>
      <c r="M73" s="149"/>
      <c r="N73" s="149"/>
      <c r="O73" s="47"/>
      <c r="P73" s="128"/>
    </row>
    <row r="74" spans="2:18" ht="15" customHeight="1" x14ac:dyDescent="0.2">
      <c r="B74" s="131">
        <v>23000</v>
      </c>
      <c r="C74" s="132">
        <v>0</v>
      </c>
      <c r="D74" s="132">
        <v>0</v>
      </c>
      <c r="E74" s="143">
        <v>18</v>
      </c>
      <c r="F74" s="148" t="s">
        <v>56</v>
      </c>
      <c r="G74" s="131"/>
      <c r="H74" s="131"/>
      <c r="I74" s="149"/>
      <c r="J74" s="149"/>
      <c r="K74" s="149"/>
      <c r="L74" s="149"/>
      <c r="M74" s="149"/>
      <c r="N74" s="149"/>
      <c r="O74" s="47"/>
      <c r="P74" s="128"/>
      <c r="Q74" s="129"/>
      <c r="R74" s="129"/>
    </row>
    <row r="75" spans="2:18" ht="15" customHeight="1" x14ac:dyDescent="0.2">
      <c r="B75" s="131">
        <v>24000</v>
      </c>
      <c r="C75" s="132">
        <v>0</v>
      </c>
      <c r="D75" s="132">
        <v>0</v>
      </c>
      <c r="E75" s="143">
        <v>19</v>
      </c>
      <c r="F75" s="20"/>
      <c r="G75" s="131"/>
      <c r="H75" s="149"/>
      <c r="I75" s="149"/>
      <c r="J75" s="149"/>
      <c r="K75" s="149"/>
      <c r="L75" s="20"/>
      <c r="M75" s="20"/>
      <c r="N75" s="150"/>
      <c r="O75" s="47"/>
      <c r="P75" s="128"/>
    </row>
    <row r="76" spans="2:18" ht="15" customHeight="1" x14ac:dyDescent="0.25">
      <c r="B76" s="131">
        <v>25000</v>
      </c>
      <c r="C76" s="132">
        <v>0</v>
      </c>
      <c r="D76" s="132">
        <v>0</v>
      </c>
      <c r="E76" s="143">
        <v>20</v>
      </c>
      <c r="F76" s="146" t="s">
        <v>57</v>
      </c>
      <c r="G76" s="153" t="s">
        <v>99</v>
      </c>
      <c r="H76" s="153" t="s">
        <v>100</v>
      </c>
      <c r="I76" s="153" t="s">
        <v>101</v>
      </c>
      <c r="J76" s="153" t="s">
        <v>102</v>
      </c>
      <c r="K76" s="154" t="s">
        <v>105</v>
      </c>
      <c r="L76" s="153" t="s">
        <v>106</v>
      </c>
      <c r="M76" s="154" t="s">
        <v>107</v>
      </c>
      <c r="N76" s="153" t="s">
        <v>108</v>
      </c>
      <c r="O76" s="47"/>
      <c r="P76" s="128"/>
    </row>
    <row r="77" spans="2:18" ht="15" customHeight="1" x14ac:dyDescent="0.2">
      <c r="B77" s="131">
        <v>27500</v>
      </c>
      <c r="C77" s="132">
        <v>0</v>
      </c>
      <c r="D77" s="132">
        <v>0</v>
      </c>
      <c r="E77" s="143">
        <v>21</v>
      </c>
      <c r="F77" s="148" t="s">
        <v>48</v>
      </c>
      <c r="G77" s="131"/>
      <c r="H77" s="131"/>
      <c r="I77" s="149"/>
      <c r="J77" s="149"/>
      <c r="K77" s="149"/>
      <c r="L77" s="149"/>
      <c r="M77" s="149"/>
      <c r="N77" s="149"/>
      <c r="O77" s="47"/>
      <c r="P77" s="128"/>
    </row>
    <row r="78" spans="2:18" ht="15" customHeight="1" x14ac:dyDescent="0.2">
      <c r="B78" s="131">
        <v>30000</v>
      </c>
      <c r="C78" s="132">
        <v>0</v>
      </c>
      <c r="D78" s="132">
        <v>0</v>
      </c>
      <c r="E78" s="143">
        <v>22</v>
      </c>
      <c r="F78" s="148" t="s">
        <v>50</v>
      </c>
      <c r="G78" s="131"/>
      <c r="H78" s="131"/>
      <c r="I78" s="149"/>
      <c r="J78" s="149"/>
      <c r="K78" s="149"/>
      <c r="L78" s="149"/>
      <c r="M78" s="149"/>
      <c r="N78" s="149"/>
      <c r="O78" s="47"/>
      <c r="P78" s="128"/>
    </row>
    <row r="79" spans="2:18" ht="15" customHeight="1" x14ac:dyDescent="0.2">
      <c r="B79" s="131">
        <v>32500</v>
      </c>
      <c r="C79" s="132">
        <v>0</v>
      </c>
      <c r="D79" s="132">
        <v>0</v>
      </c>
      <c r="E79" s="143">
        <v>23</v>
      </c>
      <c r="F79" s="148" t="s">
        <v>51</v>
      </c>
      <c r="G79" s="131"/>
      <c r="H79" s="131"/>
      <c r="I79" s="149"/>
      <c r="J79" s="149"/>
      <c r="K79" s="149"/>
      <c r="L79" s="149"/>
      <c r="M79" s="149"/>
      <c r="N79" s="149"/>
      <c r="O79" s="47"/>
      <c r="P79" s="128"/>
    </row>
    <row r="80" spans="2:18" ht="15" customHeight="1" x14ac:dyDescent="0.2">
      <c r="B80" s="131">
        <v>35000</v>
      </c>
      <c r="C80" s="132">
        <v>0</v>
      </c>
      <c r="D80" s="132">
        <v>0</v>
      </c>
      <c r="E80" s="143">
        <v>24</v>
      </c>
      <c r="F80" s="148" t="s">
        <v>52</v>
      </c>
      <c r="G80" s="131"/>
      <c r="H80" s="131"/>
      <c r="I80" s="149"/>
      <c r="J80" s="149"/>
      <c r="K80" s="149"/>
      <c r="L80" s="149"/>
      <c r="M80" s="149"/>
      <c r="N80" s="149"/>
      <c r="O80" s="47"/>
      <c r="P80" s="128"/>
    </row>
    <row r="81" spans="2:16" ht="15" customHeight="1" x14ac:dyDescent="0.2">
      <c r="B81" s="131">
        <v>37500</v>
      </c>
      <c r="C81" s="132">
        <v>0</v>
      </c>
      <c r="D81" s="132">
        <v>0</v>
      </c>
      <c r="E81" s="143">
        <v>25</v>
      </c>
      <c r="F81" s="148" t="s">
        <v>53</v>
      </c>
      <c r="G81" s="131"/>
      <c r="H81" s="131"/>
      <c r="I81" s="149"/>
      <c r="J81" s="149"/>
      <c r="K81" s="149"/>
      <c r="L81" s="149"/>
      <c r="M81" s="149"/>
      <c r="N81" s="149"/>
      <c r="O81" s="47"/>
      <c r="P81" s="128"/>
    </row>
    <row r="82" spans="2:16" ht="15" customHeight="1" x14ac:dyDescent="0.2">
      <c r="B82" s="131">
        <v>40000</v>
      </c>
      <c r="C82" s="132">
        <v>0</v>
      </c>
      <c r="D82" s="132">
        <v>0</v>
      </c>
      <c r="E82" s="143">
        <v>26</v>
      </c>
      <c r="F82" s="148" t="s">
        <v>54</v>
      </c>
      <c r="G82" s="131"/>
      <c r="H82" s="131"/>
      <c r="I82" s="149"/>
      <c r="J82" s="149"/>
      <c r="K82" s="149"/>
      <c r="L82" s="149"/>
      <c r="M82" s="149"/>
      <c r="N82" s="149"/>
      <c r="O82" s="47"/>
      <c r="P82" s="128"/>
    </row>
    <row r="83" spans="2:16" ht="15" customHeight="1" x14ac:dyDescent="0.2">
      <c r="B83" s="131">
        <v>42500</v>
      </c>
      <c r="C83" s="132">
        <v>0</v>
      </c>
      <c r="D83" s="132">
        <v>0</v>
      </c>
      <c r="E83" s="143">
        <v>27</v>
      </c>
      <c r="F83" s="148" t="s">
        <v>55</v>
      </c>
      <c r="G83" s="131"/>
      <c r="H83" s="131"/>
      <c r="I83" s="149"/>
      <c r="J83" s="149"/>
      <c r="K83" s="149"/>
      <c r="L83" s="149"/>
      <c r="M83" s="149"/>
      <c r="N83" s="149"/>
      <c r="P83" s="128"/>
    </row>
    <row r="84" spans="2:16" ht="15" customHeight="1" x14ac:dyDescent="0.2">
      <c r="B84" s="131">
        <v>45000</v>
      </c>
      <c r="C84" s="132">
        <v>0</v>
      </c>
      <c r="D84" s="132">
        <v>0</v>
      </c>
      <c r="E84" s="143">
        <v>28</v>
      </c>
      <c r="F84" s="148" t="s">
        <v>56</v>
      </c>
      <c r="G84" s="131"/>
      <c r="H84" s="131"/>
      <c r="I84" s="149"/>
      <c r="J84" s="149"/>
      <c r="K84" s="149"/>
      <c r="L84" s="149"/>
      <c r="M84" s="149"/>
      <c r="N84" s="149"/>
      <c r="P84" s="128"/>
    </row>
    <row r="85" spans="2:16" ht="15" customHeight="1" x14ac:dyDescent="0.2">
      <c r="B85" s="131">
        <v>47500</v>
      </c>
      <c r="C85" s="132">
        <v>0</v>
      </c>
      <c r="D85" s="132">
        <v>0</v>
      </c>
      <c r="E85" s="144">
        <v>29</v>
      </c>
      <c r="F85" s="20"/>
      <c r="G85" s="20"/>
      <c r="H85" s="20"/>
      <c r="I85" s="20"/>
      <c r="J85" s="20"/>
      <c r="K85" s="20"/>
      <c r="L85" s="20"/>
      <c r="M85" s="20"/>
      <c r="N85" s="20"/>
      <c r="P85" s="128"/>
    </row>
    <row r="86" spans="2:16" ht="15" customHeight="1" x14ac:dyDescent="0.25">
      <c r="B86" s="131">
        <v>50000</v>
      </c>
      <c r="C86" s="132">
        <v>0</v>
      </c>
      <c r="D86" s="132">
        <v>0</v>
      </c>
      <c r="E86" s="144">
        <v>30</v>
      </c>
      <c r="F86" s="146" t="s">
        <v>59</v>
      </c>
      <c r="G86" s="153" t="s">
        <v>99</v>
      </c>
      <c r="H86" s="153" t="s">
        <v>100</v>
      </c>
      <c r="I86" s="153" t="s">
        <v>101</v>
      </c>
      <c r="J86" s="153" t="s">
        <v>102</v>
      </c>
      <c r="K86" s="154" t="s">
        <v>105</v>
      </c>
      <c r="L86" s="153" t="s">
        <v>106</v>
      </c>
      <c r="M86" s="154" t="s">
        <v>107</v>
      </c>
      <c r="N86" s="153" t="s">
        <v>108</v>
      </c>
      <c r="P86" s="128"/>
    </row>
    <row r="87" spans="2:16" ht="15" customHeight="1" x14ac:dyDescent="0.2">
      <c r="B87" s="131">
        <v>52500</v>
      </c>
      <c r="C87" s="132">
        <v>0</v>
      </c>
      <c r="D87" s="132">
        <v>0</v>
      </c>
      <c r="E87" s="144">
        <v>31</v>
      </c>
      <c r="F87" s="91" t="s">
        <v>60</v>
      </c>
      <c r="G87" s="20"/>
      <c r="H87" s="20"/>
      <c r="I87" s="20"/>
      <c r="J87" s="20"/>
      <c r="K87" s="20"/>
      <c r="L87" s="20"/>
      <c r="M87" s="20"/>
      <c r="N87" s="20"/>
      <c r="P87" s="128"/>
    </row>
    <row r="88" spans="2:16" ht="15" customHeight="1" x14ac:dyDescent="0.2">
      <c r="B88" s="131">
        <v>55000</v>
      </c>
      <c r="C88" s="132">
        <v>0</v>
      </c>
      <c r="D88" s="132">
        <v>0</v>
      </c>
      <c r="E88" s="144">
        <v>32</v>
      </c>
      <c r="F88" s="148" t="s">
        <v>61</v>
      </c>
      <c r="G88" s="20"/>
      <c r="H88" s="20"/>
      <c r="I88" s="20"/>
      <c r="J88" s="20"/>
      <c r="K88" s="20"/>
      <c r="L88" s="20"/>
      <c r="M88" s="20"/>
      <c r="N88" s="20"/>
      <c r="P88" s="128"/>
    </row>
    <row r="89" spans="2:16" ht="15" customHeight="1" x14ac:dyDescent="0.2">
      <c r="B89" s="131">
        <v>57500</v>
      </c>
      <c r="C89" s="132">
        <v>0</v>
      </c>
      <c r="D89" s="132">
        <v>0</v>
      </c>
      <c r="E89" s="47"/>
      <c r="F89" s="47"/>
      <c r="G89" s="47"/>
      <c r="H89" s="47"/>
      <c r="I89" s="47"/>
      <c r="J89" s="47"/>
      <c r="K89" s="47"/>
      <c r="L89" s="47"/>
      <c r="M89" s="47"/>
      <c r="N89" s="47"/>
      <c r="P89" s="128"/>
    </row>
    <row r="90" spans="2:16" ht="15" customHeight="1" x14ac:dyDescent="0.2">
      <c r="B90" s="131">
        <v>60000</v>
      </c>
      <c r="C90" s="132">
        <v>0</v>
      </c>
      <c r="D90" s="132">
        <v>0</v>
      </c>
      <c r="E90" s="47"/>
      <c r="F90" s="134" t="s">
        <v>122</v>
      </c>
      <c r="G90" s="46"/>
      <c r="H90" s="46"/>
      <c r="I90" s="46"/>
      <c r="J90" s="20"/>
      <c r="K90" s="135" t="s">
        <v>103</v>
      </c>
      <c r="L90" s="141">
        <v>1</v>
      </c>
      <c r="M90" s="135" t="s">
        <v>104</v>
      </c>
      <c r="N90" s="142">
        <v>4</v>
      </c>
      <c r="P90" s="128"/>
    </row>
    <row r="91" spans="2:16" ht="15" customHeight="1" x14ac:dyDescent="0.2">
      <c r="B91" s="131">
        <v>62500</v>
      </c>
      <c r="C91" s="132">
        <v>0</v>
      </c>
      <c r="D91" s="132">
        <v>0</v>
      </c>
      <c r="E91" s="47"/>
      <c r="F91" s="20"/>
      <c r="G91" s="145"/>
      <c r="H91" s="145"/>
      <c r="I91" s="145"/>
      <c r="J91" s="20"/>
      <c r="K91" s="145"/>
      <c r="L91" s="145"/>
      <c r="M91" s="145"/>
      <c r="N91" s="145"/>
      <c r="P91" s="128"/>
    </row>
    <row r="92" spans="2:16" ht="15" customHeight="1" x14ac:dyDescent="0.25">
      <c r="B92" s="131">
        <v>65000</v>
      </c>
      <c r="C92" s="132">
        <v>0</v>
      </c>
      <c r="D92" s="132">
        <v>0</v>
      </c>
      <c r="E92" s="47"/>
      <c r="F92" s="146" t="s">
        <v>109</v>
      </c>
      <c r="G92" s="153" t="s">
        <v>99</v>
      </c>
      <c r="H92" s="153" t="s">
        <v>100</v>
      </c>
      <c r="I92" s="153" t="s">
        <v>101</v>
      </c>
      <c r="J92" s="153" t="s">
        <v>102</v>
      </c>
      <c r="K92" s="154" t="s">
        <v>105</v>
      </c>
      <c r="L92" s="153" t="s">
        <v>106</v>
      </c>
      <c r="M92" s="154" t="s">
        <v>107</v>
      </c>
      <c r="N92" s="153" t="s">
        <v>108</v>
      </c>
      <c r="P92" s="128"/>
    </row>
    <row r="93" spans="2:16" ht="15" customHeight="1" x14ac:dyDescent="0.2">
      <c r="B93" s="131">
        <v>67500</v>
      </c>
      <c r="C93" s="132">
        <v>0</v>
      </c>
      <c r="D93" s="132">
        <v>0</v>
      </c>
      <c r="E93" s="47"/>
      <c r="F93" s="148" t="s">
        <v>110</v>
      </c>
      <c r="G93" s="151"/>
      <c r="H93" s="151"/>
      <c r="I93" s="151"/>
      <c r="J93" s="151"/>
      <c r="K93" s="147"/>
      <c r="L93" s="147"/>
      <c r="M93" s="147"/>
      <c r="N93" s="147"/>
      <c r="P93" s="128"/>
    </row>
    <row r="94" spans="2:16" ht="15" customHeight="1" x14ac:dyDescent="0.2">
      <c r="B94" s="131">
        <v>70000</v>
      </c>
      <c r="C94" s="132">
        <v>0</v>
      </c>
      <c r="D94" s="132">
        <v>0</v>
      </c>
      <c r="E94" s="47"/>
      <c r="F94" s="148" t="s">
        <v>58</v>
      </c>
      <c r="G94" s="151"/>
      <c r="H94" s="151"/>
      <c r="I94" s="151"/>
      <c r="J94" s="151"/>
      <c r="K94" s="147"/>
      <c r="L94" s="147"/>
      <c r="M94" s="147"/>
      <c r="N94" s="147"/>
      <c r="P94" s="128"/>
    </row>
    <row r="95" spans="2:16" ht="15" customHeight="1" x14ac:dyDescent="0.2">
      <c r="B95" s="131">
        <v>72500</v>
      </c>
      <c r="C95" s="132">
        <v>0</v>
      </c>
      <c r="D95" s="132">
        <v>0</v>
      </c>
      <c r="E95" s="47"/>
      <c r="F95" s="148" t="s">
        <v>57</v>
      </c>
      <c r="G95" s="151"/>
      <c r="H95" s="151"/>
      <c r="I95" s="151"/>
      <c r="J95" s="151"/>
      <c r="K95" s="147"/>
      <c r="L95" s="147"/>
      <c r="M95" s="147"/>
      <c r="N95" s="147"/>
      <c r="P95" s="128"/>
    </row>
    <row r="96" spans="2:16" ht="15" customHeight="1" x14ac:dyDescent="0.2">
      <c r="B96" s="131">
        <v>75000</v>
      </c>
      <c r="C96" s="132">
        <v>0</v>
      </c>
      <c r="D96" s="132">
        <v>0</v>
      </c>
      <c r="E96" s="47"/>
      <c r="F96" s="148" t="s">
        <v>111</v>
      </c>
      <c r="G96" s="151"/>
      <c r="H96" s="151"/>
      <c r="I96" s="151"/>
      <c r="J96" s="151"/>
      <c r="K96" s="147"/>
      <c r="L96" s="147"/>
      <c r="M96" s="147"/>
      <c r="N96" s="147"/>
      <c r="P96" s="128"/>
    </row>
    <row r="97" spans="2:16" ht="15" customHeight="1" x14ac:dyDescent="0.2">
      <c r="B97" s="131">
        <v>77500</v>
      </c>
      <c r="C97" s="132">
        <v>0</v>
      </c>
      <c r="D97" s="132">
        <v>0</v>
      </c>
      <c r="E97" s="47"/>
      <c r="F97" s="47"/>
      <c r="G97" s="47"/>
      <c r="H97" s="47"/>
      <c r="I97" s="47"/>
      <c r="J97" s="47"/>
      <c r="K97" s="47"/>
      <c r="L97" s="47"/>
      <c r="M97" s="47"/>
      <c r="N97" s="47"/>
      <c r="P97" s="128"/>
    </row>
    <row r="98" spans="2:16" ht="15" customHeight="1" x14ac:dyDescent="0.2">
      <c r="B98" s="131">
        <v>80000</v>
      </c>
      <c r="C98" s="132">
        <v>0</v>
      </c>
      <c r="D98" s="132">
        <v>0</v>
      </c>
      <c r="F98" s="140" t="s">
        <v>117</v>
      </c>
      <c r="G98" s="134"/>
      <c r="H98" s="134"/>
      <c r="I98" s="46"/>
      <c r="J98" s="20"/>
      <c r="K98" s="135" t="s">
        <v>103</v>
      </c>
      <c r="L98" s="141">
        <v>1</v>
      </c>
      <c r="M98" s="135" t="s">
        <v>104</v>
      </c>
      <c r="N98" s="142">
        <v>28</v>
      </c>
      <c r="P98" s="128"/>
    </row>
    <row r="99" spans="2:16" ht="15" customHeight="1" x14ac:dyDescent="0.2">
      <c r="B99" s="131">
        <v>82500</v>
      </c>
      <c r="C99" s="132">
        <v>0</v>
      </c>
      <c r="D99" s="132">
        <v>0</v>
      </c>
      <c r="F99" s="20"/>
      <c r="G99" s="145"/>
      <c r="H99" s="145"/>
      <c r="I99" s="145"/>
      <c r="J99" s="20"/>
      <c r="K99" s="145"/>
      <c r="L99" s="145"/>
      <c r="M99" s="145"/>
      <c r="N99" s="145"/>
      <c r="P99" s="128"/>
    </row>
    <row r="100" spans="2:16" ht="15" customHeight="1" x14ac:dyDescent="0.25">
      <c r="B100" s="131">
        <v>85000</v>
      </c>
      <c r="C100" s="132">
        <v>0</v>
      </c>
      <c r="D100" s="132">
        <v>0</v>
      </c>
      <c r="F100" s="146" t="s">
        <v>110</v>
      </c>
      <c r="G100" s="153" t="s">
        <v>99</v>
      </c>
      <c r="H100" s="153" t="s">
        <v>100</v>
      </c>
      <c r="I100" s="153" t="s">
        <v>101</v>
      </c>
      <c r="J100" s="153" t="s">
        <v>102</v>
      </c>
      <c r="K100" s="154" t="s">
        <v>105</v>
      </c>
      <c r="L100" s="153" t="s">
        <v>106</v>
      </c>
      <c r="M100" s="154" t="s">
        <v>107</v>
      </c>
      <c r="N100" s="153" t="s">
        <v>108</v>
      </c>
      <c r="P100" s="128"/>
    </row>
    <row r="101" spans="2:16" ht="15" customHeight="1" x14ac:dyDescent="0.2">
      <c r="B101" s="131">
        <v>87500</v>
      </c>
      <c r="C101" s="132">
        <v>0</v>
      </c>
      <c r="D101" s="132">
        <v>0</v>
      </c>
      <c r="F101" s="148" t="s">
        <v>48</v>
      </c>
      <c r="G101" s="131"/>
      <c r="H101" s="131"/>
      <c r="I101" s="149"/>
      <c r="J101" s="149"/>
      <c r="K101" s="149"/>
      <c r="L101" s="149"/>
      <c r="M101" s="149"/>
      <c r="N101" s="149"/>
      <c r="P101" s="128"/>
    </row>
    <row r="102" spans="2:16" ht="15" customHeight="1" x14ac:dyDescent="0.2">
      <c r="B102" s="131">
        <v>90000</v>
      </c>
      <c r="C102" s="132">
        <v>0</v>
      </c>
      <c r="D102" s="132">
        <v>0</v>
      </c>
      <c r="F102" s="148" t="s">
        <v>50</v>
      </c>
      <c r="G102" s="131"/>
      <c r="H102" s="131"/>
      <c r="I102" s="149"/>
      <c r="J102" s="149"/>
      <c r="K102" s="149"/>
      <c r="L102" s="149"/>
      <c r="M102" s="149"/>
      <c r="N102" s="149"/>
      <c r="P102" s="128"/>
    </row>
    <row r="103" spans="2:16" ht="15" customHeight="1" x14ac:dyDescent="0.2">
      <c r="B103" s="131">
        <v>92500</v>
      </c>
      <c r="C103" s="132">
        <v>0</v>
      </c>
      <c r="D103" s="132">
        <v>0</v>
      </c>
      <c r="F103" s="148" t="s">
        <v>51</v>
      </c>
      <c r="G103" s="131"/>
      <c r="H103" s="131"/>
      <c r="I103" s="149"/>
      <c r="J103" s="149"/>
      <c r="K103" s="149"/>
      <c r="L103" s="149"/>
      <c r="M103" s="149"/>
      <c r="N103" s="149"/>
      <c r="P103" s="128"/>
    </row>
    <row r="104" spans="2:16" ht="15" customHeight="1" x14ac:dyDescent="0.2">
      <c r="B104" s="131">
        <v>95000</v>
      </c>
      <c r="C104" s="132">
        <v>0</v>
      </c>
      <c r="D104" s="132">
        <v>0</v>
      </c>
      <c r="F104" s="148" t="s">
        <v>52</v>
      </c>
      <c r="G104" s="131"/>
      <c r="H104" s="131"/>
      <c r="I104" s="149"/>
      <c r="J104" s="149"/>
      <c r="K104" s="149"/>
      <c r="L104" s="149"/>
      <c r="M104" s="149"/>
      <c r="N104" s="149"/>
      <c r="P104" s="128"/>
    </row>
    <row r="105" spans="2:16" ht="15" customHeight="1" x14ac:dyDescent="0.2">
      <c r="B105" s="131">
        <v>97500</v>
      </c>
      <c r="C105" s="132">
        <v>0</v>
      </c>
      <c r="D105" s="132">
        <v>0</v>
      </c>
      <c r="F105" s="148" t="s">
        <v>53</v>
      </c>
      <c r="G105" s="131"/>
      <c r="H105" s="131"/>
      <c r="I105" s="149"/>
      <c r="J105" s="149"/>
      <c r="K105" s="149"/>
      <c r="L105" s="149"/>
      <c r="M105" s="149"/>
      <c r="N105" s="149"/>
      <c r="P105" s="128"/>
    </row>
    <row r="106" spans="2:16" ht="15" customHeight="1" x14ac:dyDescent="0.2">
      <c r="B106" s="131">
        <v>100000</v>
      </c>
      <c r="C106" s="132">
        <v>0</v>
      </c>
      <c r="D106" s="132">
        <v>0</v>
      </c>
      <c r="F106" s="148" t="s">
        <v>54</v>
      </c>
      <c r="G106" s="131"/>
      <c r="H106" s="131"/>
      <c r="I106" s="149"/>
      <c r="J106" s="149"/>
      <c r="K106" s="149"/>
      <c r="L106" s="149"/>
      <c r="M106" s="149"/>
      <c r="N106" s="149"/>
      <c r="P106" s="128"/>
    </row>
    <row r="107" spans="2:16" ht="15" customHeight="1" x14ac:dyDescent="0.2">
      <c r="B107" s="131">
        <v>102500</v>
      </c>
      <c r="C107" s="132">
        <v>0</v>
      </c>
      <c r="D107" s="132">
        <v>0</v>
      </c>
      <c r="F107" s="148" t="s">
        <v>55</v>
      </c>
      <c r="G107" s="131"/>
      <c r="H107" s="131"/>
      <c r="I107" s="149"/>
      <c r="J107" s="149"/>
      <c r="K107" s="149"/>
      <c r="L107" s="149"/>
      <c r="M107" s="149"/>
      <c r="N107" s="149"/>
      <c r="P107" s="128"/>
    </row>
    <row r="108" spans="2:16" ht="15" customHeight="1" x14ac:dyDescent="0.2">
      <c r="B108" s="131">
        <v>105000</v>
      </c>
      <c r="C108" s="132">
        <v>0</v>
      </c>
      <c r="D108" s="132">
        <v>0</v>
      </c>
      <c r="F108" s="148" t="s">
        <v>56</v>
      </c>
      <c r="G108" s="131"/>
      <c r="H108" s="131"/>
      <c r="I108" s="149"/>
      <c r="J108" s="149"/>
      <c r="K108" s="149"/>
      <c r="L108" s="149"/>
      <c r="M108" s="149"/>
      <c r="N108" s="149"/>
      <c r="P108" s="128"/>
    </row>
    <row r="109" spans="2:16" ht="15" customHeight="1" x14ac:dyDescent="0.2">
      <c r="B109" s="131">
        <v>107500</v>
      </c>
      <c r="C109" s="132">
        <v>0</v>
      </c>
      <c r="D109" s="132">
        <v>0</v>
      </c>
      <c r="F109" s="20"/>
      <c r="G109" s="149"/>
      <c r="H109" s="149"/>
      <c r="I109" s="149"/>
      <c r="J109" s="149"/>
      <c r="K109" s="149"/>
      <c r="L109" s="149"/>
      <c r="M109" s="149"/>
      <c r="N109" s="149"/>
      <c r="P109" s="128"/>
    </row>
    <row r="110" spans="2:16" ht="15" customHeight="1" x14ac:dyDescent="0.25">
      <c r="B110" s="131">
        <v>110000</v>
      </c>
      <c r="C110" s="132">
        <v>0</v>
      </c>
      <c r="D110" s="132">
        <v>0</v>
      </c>
      <c r="F110" s="146" t="s">
        <v>58</v>
      </c>
      <c r="G110" s="153" t="s">
        <v>99</v>
      </c>
      <c r="H110" s="153" t="s">
        <v>100</v>
      </c>
      <c r="I110" s="153" t="s">
        <v>101</v>
      </c>
      <c r="J110" s="153" t="s">
        <v>102</v>
      </c>
      <c r="K110" s="154" t="s">
        <v>105</v>
      </c>
      <c r="L110" s="153" t="s">
        <v>106</v>
      </c>
      <c r="M110" s="154" t="s">
        <v>107</v>
      </c>
      <c r="N110" s="153" t="s">
        <v>108</v>
      </c>
      <c r="P110" s="128"/>
    </row>
    <row r="111" spans="2:16" ht="15" customHeight="1" x14ac:dyDescent="0.2">
      <c r="B111" s="131">
        <v>112500</v>
      </c>
      <c r="C111" s="132">
        <v>0</v>
      </c>
      <c r="D111" s="132">
        <v>0</v>
      </c>
      <c r="F111" s="148" t="s">
        <v>48</v>
      </c>
      <c r="G111" s="131"/>
      <c r="H111" s="131"/>
      <c r="I111" s="149"/>
      <c r="J111" s="149"/>
      <c r="K111" s="149"/>
      <c r="L111" s="149"/>
      <c r="M111" s="149"/>
      <c r="N111" s="149"/>
      <c r="P111" s="128"/>
    </row>
    <row r="112" spans="2:16" ht="15" customHeight="1" x14ac:dyDescent="0.2">
      <c r="B112" s="131">
        <v>115000</v>
      </c>
      <c r="C112" s="132">
        <v>0</v>
      </c>
      <c r="D112" s="132">
        <v>0</v>
      </c>
      <c r="F112" s="148" t="s">
        <v>50</v>
      </c>
      <c r="G112" s="131"/>
      <c r="H112" s="131"/>
      <c r="I112" s="149"/>
      <c r="J112" s="149"/>
      <c r="K112" s="149"/>
      <c r="L112" s="149"/>
      <c r="M112" s="149"/>
      <c r="N112" s="149"/>
      <c r="P112" s="128"/>
    </row>
    <row r="113" spans="2:16" ht="15" customHeight="1" x14ac:dyDescent="0.2">
      <c r="B113" s="131">
        <v>117500</v>
      </c>
      <c r="C113" s="132">
        <v>0</v>
      </c>
      <c r="D113" s="132">
        <v>0</v>
      </c>
      <c r="F113" s="148" t="s">
        <v>51</v>
      </c>
      <c r="G113" s="131"/>
      <c r="H113" s="131"/>
      <c r="I113" s="149"/>
      <c r="J113" s="149"/>
      <c r="K113" s="149"/>
      <c r="L113" s="149"/>
      <c r="M113" s="149"/>
      <c r="N113" s="149"/>
      <c r="P113" s="128"/>
    </row>
    <row r="114" spans="2:16" ht="15" customHeight="1" x14ac:dyDescent="0.2">
      <c r="B114" s="131">
        <v>120000</v>
      </c>
      <c r="C114" s="132">
        <v>0</v>
      </c>
      <c r="D114" s="132">
        <v>0</v>
      </c>
      <c r="F114" s="148" t="s">
        <v>52</v>
      </c>
      <c r="G114" s="131"/>
      <c r="H114" s="131"/>
      <c r="I114" s="149"/>
      <c r="J114" s="149"/>
      <c r="K114" s="149"/>
      <c r="L114" s="149"/>
      <c r="M114" s="149"/>
      <c r="N114" s="149"/>
    </row>
    <row r="115" spans="2:16" ht="15" customHeight="1" x14ac:dyDescent="0.2">
      <c r="B115" s="131">
        <v>122500</v>
      </c>
      <c r="C115" s="132">
        <v>0</v>
      </c>
      <c r="D115" s="132">
        <v>0</v>
      </c>
      <c r="F115" s="148" t="s">
        <v>53</v>
      </c>
      <c r="G115" s="131"/>
      <c r="H115" s="131"/>
      <c r="I115" s="149"/>
      <c r="J115" s="149"/>
      <c r="K115" s="149"/>
      <c r="L115" s="149"/>
      <c r="M115" s="149"/>
      <c r="N115" s="149"/>
    </row>
    <row r="116" spans="2:16" ht="15" customHeight="1" x14ac:dyDescent="0.2">
      <c r="B116" s="131">
        <v>125000</v>
      </c>
      <c r="C116" s="132">
        <v>0</v>
      </c>
      <c r="D116" s="132">
        <v>0</v>
      </c>
      <c r="F116" s="148" t="s">
        <v>54</v>
      </c>
      <c r="G116" s="131"/>
      <c r="H116" s="131"/>
      <c r="I116" s="149"/>
      <c r="J116" s="149"/>
      <c r="K116" s="149"/>
      <c r="L116" s="149"/>
      <c r="M116" s="149"/>
      <c r="N116" s="149"/>
    </row>
    <row r="117" spans="2:16" ht="15" customHeight="1" x14ac:dyDescent="0.2">
      <c r="B117" s="131">
        <v>127500</v>
      </c>
      <c r="C117" s="132">
        <v>7.5596540700644255E-3</v>
      </c>
      <c r="D117" s="132">
        <v>642570.59595547616</v>
      </c>
      <c r="F117" s="148" t="s">
        <v>55</v>
      </c>
      <c r="G117" s="131"/>
      <c r="H117" s="131"/>
      <c r="I117" s="149"/>
      <c r="J117" s="149"/>
      <c r="K117" s="149"/>
      <c r="L117" s="149"/>
      <c r="M117" s="149"/>
      <c r="N117" s="149"/>
    </row>
    <row r="118" spans="2:16" ht="15" customHeight="1" x14ac:dyDescent="0.2">
      <c r="B118" s="131">
        <v>130000</v>
      </c>
      <c r="C118" s="132">
        <v>4.3957052286714315E-2</v>
      </c>
      <c r="D118" s="132">
        <v>3736349.4443707168</v>
      </c>
      <c r="F118" s="148" t="s">
        <v>56</v>
      </c>
      <c r="G118" s="131"/>
      <c r="H118" s="131"/>
      <c r="I118" s="149"/>
      <c r="J118" s="149"/>
      <c r="K118" s="149"/>
      <c r="L118" s="149"/>
      <c r="M118" s="149"/>
      <c r="N118" s="149"/>
    </row>
    <row r="119" spans="2:16" ht="15" customHeight="1" x14ac:dyDescent="0.2">
      <c r="B119" s="131">
        <v>132500</v>
      </c>
      <c r="C119" s="132">
        <v>8.0354450736194849E-2</v>
      </c>
      <c r="D119" s="132">
        <v>6830128.3125765622</v>
      </c>
      <c r="F119" s="20"/>
      <c r="G119" s="131"/>
      <c r="H119" s="149"/>
      <c r="I119" s="149"/>
      <c r="J119" s="149"/>
      <c r="K119" s="149"/>
      <c r="L119" s="20"/>
      <c r="M119" s="20"/>
      <c r="N119" s="150"/>
    </row>
    <row r="120" spans="2:16" ht="15" customHeight="1" x14ac:dyDescent="0.25">
      <c r="B120" s="131">
        <v>135000</v>
      </c>
      <c r="C120" s="132">
        <v>0.11675184918567538</v>
      </c>
      <c r="D120" s="132">
        <v>9923907.1807824075</v>
      </c>
      <c r="F120" s="146" t="s">
        <v>57</v>
      </c>
      <c r="G120" s="153" t="s">
        <v>99</v>
      </c>
      <c r="H120" s="153" t="s">
        <v>100</v>
      </c>
      <c r="I120" s="153" t="s">
        <v>101</v>
      </c>
      <c r="J120" s="153" t="s">
        <v>102</v>
      </c>
      <c r="K120" s="154" t="s">
        <v>105</v>
      </c>
      <c r="L120" s="153" t="s">
        <v>106</v>
      </c>
      <c r="M120" s="154" t="s">
        <v>107</v>
      </c>
      <c r="N120" s="153" t="s">
        <v>108</v>
      </c>
    </row>
    <row r="121" spans="2:16" ht="15" customHeight="1" x14ac:dyDescent="0.2">
      <c r="B121" s="131">
        <v>137500</v>
      </c>
      <c r="C121" s="132">
        <v>0.15314924716949463</v>
      </c>
      <c r="D121" s="132">
        <v>13017686.009407043</v>
      </c>
      <c r="F121" s="148" t="s">
        <v>48</v>
      </c>
      <c r="G121" s="131"/>
      <c r="H121" s="131"/>
      <c r="I121" s="149"/>
      <c r="J121" s="149"/>
      <c r="K121" s="149"/>
      <c r="L121" s="149"/>
      <c r="M121" s="149"/>
      <c r="N121" s="149"/>
    </row>
    <row r="122" spans="2:16" ht="15" customHeight="1" x14ac:dyDescent="0.2">
      <c r="B122" s="131">
        <v>140000</v>
      </c>
      <c r="C122" s="132">
        <v>0.18954664561897516</v>
      </c>
      <c r="D122" s="132">
        <v>16111464.877612889</v>
      </c>
      <c r="F122" s="148" t="s">
        <v>50</v>
      </c>
      <c r="G122" s="131"/>
      <c r="H122" s="131"/>
      <c r="I122" s="149"/>
      <c r="J122" s="149"/>
      <c r="K122" s="149"/>
      <c r="L122" s="149"/>
      <c r="M122" s="149"/>
      <c r="N122" s="149"/>
    </row>
    <row r="123" spans="2:16" ht="15" customHeight="1" x14ac:dyDescent="0.2">
      <c r="B123" s="131">
        <v>142500</v>
      </c>
      <c r="C123" s="132">
        <v>0.2259440440684557</v>
      </c>
      <c r="D123" s="132">
        <v>19205243.745818734</v>
      </c>
      <c r="F123" s="148" t="s">
        <v>51</v>
      </c>
      <c r="G123" s="131"/>
      <c r="H123" s="131"/>
      <c r="I123" s="149"/>
      <c r="J123" s="149"/>
      <c r="K123" s="149"/>
      <c r="L123" s="149"/>
      <c r="M123" s="149"/>
      <c r="N123" s="149"/>
    </row>
    <row r="124" spans="2:16" ht="15" customHeight="1" x14ac:dyDescent="0.2">
      <c r="B124" s="131">
        <v>145000</v>
      </c>
      <c r="C124" s="132">
        <v>0.26234144251793623</v>
      </c>
      <c r="D124" s="132">
        <v>22299022.61402458</v>
      </c>
      <c r="F124" s="148" t="s">
        <v>52</v>
      </c>
      <c r="G124" s="131"/>
      <c r="H124" s="131"/>
      <c r="I124" s="149"/>
      <c r="J124" s="149"/>
      <c r="K124" s="149"/>
      <c r="L124" s="149"/>
      <c r="M124" s="149"/>
      <c r="N124" s="149"/>
    </row>
    <row r="125" spans="2:16" ht="15" customHeight="1" x14ac:dyDescent="0.2">
      <c r="B125" s="131">
        <v>147500</v>
      </c>
      <c r="C125" s="132">
        <v>0.29873884050175548</v>
      </c>
      <c r="D125" s="132">
        <v>25392801.442649215</v>
      </c>
      <c r="F125" s="148" t="s">
        <v>53</v>
      </c>
      <c r="G125" s="131"/>
      <c r="H125" s="131"/>
      <c r="I125" s="149"/>
      <c r="J125" s="149"/>
      <c r="K125" s="149"/>
      <c r="L125" s="149"/>
      <c r="M125" s="149"/>
      <c r="N125" s="149"/>
    </row>
    <row r="126" spans="2:16" ht="15" customHeight="1" x14ac:dyDescent="0.2">
      <c r="B126" s="131">
        <v>150000</v>
      </c>
      <c r="C126" s="132">
        <v>0.3351362394168973</v>
      </c>
      <c r="D126" s="132">
        <v>28486580.35043627</v>
      </c>
      <c r="F126" s="148" t="s">
        <v>54</v>
      </c>
      <c r="G126" s="131"/>
      <c r="H126" s="131"/>
      <c r="I126" s="149"/>
      <c r="J126" s="149"/>
      <c r="K126" s="149"/>
      <c r="L126" s="149"/>
      <c r="M126" s="149"/>
      <c r="N126" s="149"/>
    </row>
    <row r="127" spans="2:16" ht="15" customHeight="1" x14ac:dyDescent="0.2">
      <c r="B127" s="131">
        <v>152500</v>
      </c>
      <c r="C127" s="132">
        <v>0.37153363740071654</v>
      </c>
      <c r="D127" s="132">
        <v>31580359.179060906</v>
      </c>
      <c r="F127" s="148" t="s">
        <v>55</v>
      </c>
      <c r="G127" s="131"/>
      <c r="H127" s="131"/>
      <c r="I127" s="149"/>
      <c r="J127" s="149"/>
      <c r="K127" s="149"/>
      <c r="L127" s="149"/>
      <c r="M127" s="149"/>
      <c r="N127" s="149"/>
    </row>
    <row r="128" spans="2:16" ht="15" customHeight="1" x14ac:dyDescent="0.2">
      <c r="B128" s="131">
        <v>155000</v>
      </c>
      <c r="C128" s="132">
        <v>0.40793103585019708</v>
      </c>
      <c r="D128" s="132">
        <v>34674138.047266752</v>
      </c>
      <c r="F128" s="148" t="s">
        <v>56</v>
      </c>
      <c r="G128" s="131"/>
      <c r="H128" s="131"/>
      <c r="I128" s="149"/>
      <c r="J128" s="149"/>
      <c r="K128" s="149"/>
      <c r="L128" s="149"/>
      <c r="M128" s="149"/>
      <c r="N128" s="149"/>
    </row>
    <row r="129" spans="2:14" ht="15" customHeight="1" x14ac:dyDescent="0.2">
      <c r="B129" s="131">
        <v>157500</v>
      </c>
      <c r="C129" s="132">
        <v>0.4443284347653389</v>
      </c>
      <c r="D129" s="132">
        <v>37767916.955053806</v>
      </c>
      <c r="F129" s="20"/>
      <c r="G129" s="20"/>
      <c r="H129" s="20"/>
      <c r="I129" s="20"/>
      <c r="J129" s="20"/>
      <c r="K129" s="20"/>
      <c r="L129" s="20"/>
      <c r="M129" s="20"/>
      <c r="N129" s="20"/>
    </row>
    <row r="130" spans="2:14" ht="15" customHeight="1" x14ac:dyDescent="0.25">
      <c r="B130" s="131">
        <v>160000</v>
      </c>
      <c r="C130" s="132">
        <v>0.48072583274915814</v>
      </c>
      <c r="D130" s="132">
        <v>40861695.783678442</v>
      </c>
      <c r="F130" s="146" t="s">
        <v>59</v>
      </c>
      <c r="G130" s="153" t="s">
        <v>99</v>
      </c>
      <c r="H130" s="153" t="s">
        <v>100</v>
      </c>
      <c r="I130" s="153" t="s">
        <v>101</v>
      </c>
      <c r="J130" s="153" t="s">
        <v>102</v>
      </c>
      <c r="K130" s="154" t="s">
        <v>105</v>
      </c>
      <c r="L130" s="153" t="s">
        <v>106</v>
      </c>
      <c r="M130" s="154" t="s">
        <v>107</v>
      </c>
      <c r="N130" s="153" t="s">
        <v>108</v>
      </c>
    </row>
    <row r="131" spans="2:14" ht="15" customHeight="1" x14ac:dyDescent="0.2">
      <c r="B131" s="131">
        <v>162500</v>
      </c>
      <c r="C131" s="132">
        <v>0.51712323166429996</v>
      </c>
      <c r="D131" s="132">
        <v>43955474.691465497</v>
      </c>
      <c r="F131" s="91" t="s">
        <v>60</v>
      </c>
      <c r="G131" s="20"/>
      <c r="H131" s="20"/>
      <c r="I131" s="20"/>
      <c r="J131" s="20"/>
      <c r="K131" s="20"/>
      <c r="L131" s="20"/>
      <c r="M131" s="20"/>
      <c r="N131" s="20"/>
    </row>
    <row r="132" spans="2:14" ht="15" customHeight="1" x14ac:dyDescent="0.2">
      <c r="B132" s="131">
        <v>165000</v>
      </c>
      <c r="C132" s="132">
        <v>0.55352062918245792</v>
      </c>
      <c r="D132" s="132">
        <v>47049253.480508924</v>
      </c>
      <c r="F132" s="148" t="s">
        <v>61</v>
      </c>
      <c r="G132" s="20"/>
      <c r="H132" s="20"/>
      <c r="I132" s="20"/>
      <c r="J132" s="20"/>
      <c r="K132" s="20"/>
      <c r="L132" s="20"/>
      <c r="M132" s="20"/>
      <c r="N132" s="20"/>
    </row>
    <row r="133" spans="2:14" ht="15" customHeight="1" x14ac:dyDescent="0.2">
      <c r="B133" s="131">
        <v>167500</v>
      </c>
      <c r="C133" s="132">
        <v>0.58991802763193846</v>
      </c>
      <c r="D133" s="132">
        <v>50143032.348714769</v>
      </c>
      <c r="F133" s="47"/>
      <c r="G133" s="47"/>
      <c r="H133" s="47"/>
      <c r="I133" s="47"/>
      <c r="J133" s="47"/>
      <c r="K133" s="47"/>
      <c r="L133" s="47"/>
      <c r="M133" s="47"/>
      <c r="N133" s="47"/>
    </row>
    <row r="134" spans="2:14" ht="15" customHeight="1" x14ac:dyDescent="0.2">
      <c r="B134" s="131">
        <v>170000</v>
      </c>
      <c r="C134" s="132">
        <v>0.62631542654708028</v>
      </c>
      <c r="D134" s="132">
        <v>53236811.256501824</v>
      </c>
      <c r="F134" s="134" t="s">
        <v>118</v>
      </c>
      <c r="G134" s="46"/>
      <c r="H134" s="46"/>
      <c r="I134" s="46"/>
      <c r="J134" s="20"/>
      <c r="K134" s="135" t="s">
        <v>103</v>
      </c>
      <c r="L134" s="141">
        <v>1</v>
      </c>
      <c r="M134" s="135" t="s">
        <v>104</v>
      </c>
      <c r="N134" s="142">
        <v>4</v>
      </c>
    </row>
    <row r="135" spans="2:14" ht="15" customHeight="1" x14ac:dyDescent="0.2">
      <c r="B135" s="131">
        <v>172500</v>
      </c>
      <c r="C135" s="132">
        <v>0.66271282453089952</v>
      </c>
      <c r="D135" s="132">
        <v>56330590.08512646</v>
      </c>
      <c r="F135" s="20"/>
      <c r="G135" s="145"/>
      <c r="H135" s="145"/>
      <c r="I135" s="145"/>
      <c r="J135" s="20"/>
      <c r="K135" s="145"/>
      <c r="L135" s="145"/>
      <c r="M135" s="145"/>
      <c r="N135" s="145"/>
    </row>
    <row r="136" spans="2:14" ht="15" customHeight="1" x14ac:dyDescent="0.25">
      <c r="B136" s="131">
        <v>175000</v>
      </c>
      <c r="C136" s="132">
        <v>0.69911022298038006</v>
      </c>
      <c r="D136" s="132">
        <v>59424368.953332305</v>
      </c>
      <c r="F136" s="146" t="s">
        <v>109</v>
      </c>
      <c r="G136" s="153" t="s">
        <v>99</v>
      </c>
      <c r="H136" s="153" t="s">
        <v>100</v>
      </c>
      <c r="I136" s="153" t="s">
        <v>101</v>
      </c>
      <c r="J136" s="153" t="s">
        <v>102</v>
      </c>
      <c r="K136" s="154" t="s">
        <v>105</v>
      </c>
      <c r="L136" s="153" t="s">
        <v>106</v>
      </c>
      <c r="M136" s="154" t="s">
        <v>107</v>
      </c>
      <c r="N136" s="153" t="s">
        <v>108</v>
      </c>
    </row>
    <row r="137" spans="2:14" ht="15" customHeight="1" x14ac:dyDescent="0.2">
      <c r="B137" s="131">
        <v>177500</v>
      </c>
      <c r="C137" s="132">
        <v>0.7355076209641993</v>
      </c>
      <c r="D137" s="132">
        <v>62518147.781956941</v>
      </c>
      <c r="F137" s="148" t="s">
        <v>110</v>
      </c>
      <c r="G137" s="151"/>
      <c r="H137" s="151"/>
      <c r="I137" s="151"/>
      <c r="J137" s="151"/>
      <c r="K137" s="147"/>
      <c r="L137" s="147"/>
      <c r="M137" s="147"/>
      <c r="N137" s="147"/>
    </row>
    <row r="138" spans="2:14" ht="15" customHeight="1" x14ac:dyDescent="0.2">
      <c r="B138" s="131">
        <v>180000</v>
      </c>
      <c r="C138" s="132">
        <v>0.77190501987934113</v>
      </c>
      <c r="D138" s="132">
        <v>65611926.689743996</v>
      </c>
      <c r="F138" s="148" t="s">
        <v>58</v>
      </c>
      <c r="G138" s="151"/>
      <c r="H138" s="151"/>
      <c r="I138" s="151"/>
      <c r="J138" s="151"/>
      <c r="K138" s="147"/>
      <c r="L138" s="147"/>
      <c r="M138" s="147"/>
      <c r="N138" s="147"/>
    </row>
    <row r="139" spans="2:14" ht="15" customHeight="1" x14ac:dyDescent="0.2">
      <c r="B139" s="131">
        <v>182500</v>
      </c>
      <c r="C139" s="132">
        <v>0.80830241832882166</v>
      </c>
      <c r="D139" s="132">
        <v>68705705.557949841</v>
      </c>
      <c r="F139" s="148" t="s">
        <v>57</v>
      </c>
      <c r="G139" s="151"/>
      <c r="H139" s="151"/>
      <c r="I139" s="151"/>
      <c r="J139" s="151"/>
      <c r="K139" s="147"/>
      <c r="L139" s="147"/>
      <c r="M139" s="147"/>
      <c r="N139" s="147"/>
    </row>
    <row r="140" spans="2:14" ht="15" customHeight="1" x14ac:dyDescent="0.2">
      <c r="B140" s="131">
        <v>185000</v>
      </c>
      <c r="C140" s="132">
        <v>0.84469981677830219</v>
      </c>
      <c r="D140" s="132">
        <v>71799484.426155686</v>
      </c>
      <c r="F140" s="148" t="s">
        <v>111</v>
      </c>
      <c r="G140" s="151"/>
      <c r="H140" s="151"/>
      <c r="I140" s="151"/>
      <c r="J140" s="151"/>
      <c r="K140" s="147"/>
      <c r="L140" s="147"/>
      <c r="M140" s="147"/>
      <c r="N140" s="147"/>
    </row>
    <row r="141" spans="2:14" ht="15" customHeight="1" x14ac:dyDescent="0.2">
      <c r="B141" s="131">
        <v>187500</v>
      </c>
      <c r="C141" s="132">
        <v>0.88109721476212144</v>
      </c>
      <c r="D141" s="132">
        <v>74893263.254780322</v>
      </c>
    </row>
    <row r="142" spans="2:14" ht="15" customHeight="1" x14ac:dyDescent="0.2">
      <c r="B142" s="131">
        <v>190000</v>
      </c>
      <c r="C142" s="132">
        <v>0.91749461321160197</v>
      </c>
      <c r="D142" s="132">
        <v>77987042.122986168</v>
      </c>
    </row>
    <row r="143" spans="2:14" ht="15" customHeight="1" x14ac:dyDescent="0.2">
      <c r="B143" s="131">
        <v>192500</v>
      </c>
      <c r="C143" s="132">
        <v>0.95389201166108251</v>
      </c>
      <c r="D143" s="132">
        <v>81080820.991192013</v>
      </c>
    </row>
    <row r="144" spans="2:14" ht="15" customHeight="1" x14ac:dyDescent="0.2">
      <c r="B144" s="131">
        <v>195000</v>
      </c>
      <c r="C144" s="132">
        <v>0.99028940964490175</v>
      </c>
      <c r="D144" s="132">
        <v>84174599.819816649</v>
      </c>
    </row>
    <row r="145" spans="2:15" ht="15" customHeight="1" x14ac:dyDescent="0.2">
      <c r="B145" s="131">
        <v>197500</v>
      </c>
      <c r="C145" s="132">
        <v>1.0266868080943823</v>
      </c>
      <c r="D145" s="132">
        <v>87268378.688022494</v>
      </c>
    </row>
    <row r="146" spans="2:15" ht="15" customHeight="1" x14ac:dyDescent="0.2">
      <c r="B146" s="131">
        <v>200000</v>
      </c>
      <c r="C146" s="132">
        <v>1.0630842065438628</v>
      </c>
      <c r="D146" s="132">
        <v>90362157.55622834</v>
      </c>
    </row>
    <row r="147" spans="2:15" x14ac:dyDescent="0.2">
      <c r="B147" s="131">
        <v>250000</v>
      </c>
      <c r="C147" s="132">
        <v>1.7910321741364896</v>
      </c>
      <c r="D147" s="132">
        <v>152237734.80160162</v>
      </c>
    </row>
    <row r="148" spans="2:15" x14ac:dyDescent="0.2">
      <c r="B148" s="131">
        <v>300000</v>
      </c>
      <c r="C148" s="132">
        <v>2.5189801417291164</v>
      </c>
      <c r="D148" s="132">
        <v>214113312.0469749</v>
      </c>
    </row>
    <row r="149" spans="2:15" x14ac:dyDescent="0.2">
      <c r="B149" s="131">
        <v>350000</v>
      </c>
      <c r="C149" s="132">
        <v>3.246928108856082</v>
      </c>
      <c r="D149" s="132">
        <v>275988889.25276697</v>
      </c>
    </row>
    <row r="150" spans="2:15" x14ac:dyDescent="0.2">
      <c r="B150" s="131">
        <v>400000</v>
      </c>
      <c r="C150" s="132">
        <v>3.9748760759830475</v>
      </c>
      <c r="D150" s="132">
        <v>337864466.45855904</v>
      </c>
      <c r="O150" s="47"/>
    </row>
    <row r="151" spans="2:15" x14ac:dyDescent="0.2">
      <c r="B151" s="131">
        <v>450000</v>
      </c>
      <c r="C151" s="132">
        <v>4.7028240440413356</v>
      </c>
      <c r="D151" s="132">
        <v>399740043.74351352</v>
      </c>
      <c r="O151" s="47"/>
    </row>
    <row r="152" spans="2:15" x14ac:dyDescent="0.2">
      <c r="B152" s="131">
        <v>500000</v>
      </c>
      <c r="C152" s="132">
        <v>5.4307720102369785</v>
      </c>
      <c r="D152" s="132">
        <v>461615620.87014318</v>
      </c>
      <c r="O152" s="47"/>
    </row>
    <row r="153" spans="2:15" x14ac:dyDescent="0.2">
      <c r="B153" s="131">
        <v>550000</v>
      </c>
      <c r="C153" s="132">
        <v>6.1587199792265892</v>
      </c>
      <c r="D153" s="132">
        <v>523491198.23426008</v>
      </c>
      <c r="O153" s="47"/>
    </row>
    <row r="154" spans="2:15" x14ac:dyDescent="0.2">
      <c r="B154" s="131">
        <v>600000</v>
      </c>
      <c r="C154" s="132">
        <v>6.8866679463535547</v>
      </c>
      <c r="D154" s="132">
        <v>585366775.44005215</v>
      </c>
      <c r="O154" s="47"/>
    </row>
    <row r="155" spans="2:15" x14ac:dyDescent="0.2">
      <c r="B155" s="47"/>
      <c r="C155" s="47"/>
      <c r="D155" s="47"/>
      <c r="O155" s="47"/>
    </row>
    <row r="156" spans="2:15" x14ac:dyDescent="0.2">
      <c r="B156" s="47"/>
      <c r="C156" s="47"/>
      <c r="D156" s="47"/>
      <c r="O156" s="47"/>
    </row>
    <row r="157" spans="2:15" x14ac:dyDescent="0.2">
      <c r="B157" s="47"/>
      <c r="C157" s="47"/>
      <c r="D157" s="47"/>
      <c r="O157" s="47"/>
    </row>
    <row r="158" spans="2:15" x14ac:dyDescent="0.2">
      <c r="B158" s="47"/>
      <c r="C158" s="47"/>
      <c r="D158" s="47"/>
      <c r="O158" s="47"/>
    </row>
    <row r="159" spans="2:15" x14ac:dyDescent="0.2">
      <c r="B159" s="47"/>
      <c r="C159" s="47"/>
      <c r="D159" s="47"/>
      <c r="O159" s="47"/>
    </row>
    <row r="160" spans="2:15" x14ac:dyDescent="0.2">
      <c r="B160" s="47"/>
      <c r="C160" s="47"/>
      <c r="D160" s="47"/>
      <c r="O160" s="47"/>
    </row>
    <row r="161" spans="2:15" x14ac:dyDescent="0.2">
      <c r="B161" s="47"/>
      <c r="C161" s="47"/>
      <c r="D161" s="47"/>
      <c r="O161" s="47"/>
    </row>
    <row r="162" spans="2:15" x14ac:dyDescent="0.2">
      <c r="O162" s="47"/>
    </row>
    <row r="163" spans="2:15" x14ac:dyDescent="0.2">
      <c r="O163" s="47"/>
    </row>
    <row r="164" spans="2:15" x14ac:dyDescent="0.2">
      <c r="O164" s="47"/>
    </row>
    <row r="165" spans="2:15" x14ac:dyDescent="0.2">
      <c r="O165" s="47"/>
    </row>
    <row r="166" spans="2:15" x14ac:dyDescent="0.2">
      <c r="O166" s="47"/>
    </row>
    <row r="167" spans="2:15" x14ac:dyDescent="0.2">
      <c r="O167" s="47"/>
    </row>
    <row r="168" spans="2:15" x14ac:dyDescent="0.2">
      <c r="O168" s="47"/>
    </row>
    <row r="169" spans="2:15" x14ac:dyDescent="0.2">
      <c r="O169" s="47"/>
    </row>
    <row r="170" spans="2:15" x14ac:dyDescent="0.2">
      <c r="O170" s="47"/>
    </row>
    <row r="171" spans="2:15" x14ac:dyDescent="0.2">
      <c r="O171" s="47"/>
    </row>
    <row r="172" spans="2:15" x14ac:dyDescent="0.2">
      <c r="O172" s="47"/>
    </row>
    <row r="173" spans="2:15" x14ac:dyDescent="0.2">
      <c r="O173" s="47"/>
    </row>
    <row r="174" spans="2:15" x14ac:dyDescent="0.2">
      <c r="O174" s="47"/>
    </row>
    <row r="175" spans="2:15" x14ac:dyDescent="0.2">
      <c r="O175" s="47"/>
    </row>
    <row r="176" spans="2:15" x14ac:dyDescent="0.2">
      <c r="O176" s="47"/>
    </row>
    <row r="177" spans="15:15" x14ac:dyDescent="0.2">
      <c r="O177" s="47"/>
    </row>
    <row r="178" spans="15:15" x14ac:dyDescent="0.2">
      <c r="O178" s="47"/>
    </row>
    <row r="179" spans="15:15" x14ac:dyDescent="0.2">
      <c r="O179" s="47"/>
    </row>
    <row r="180" spans="15:15" x14ac:dyDescent="0.2">
      <c r="O180" s="47"/>
    </row>
    <row r="181" spans="15:15" x14ac:dyDescent="0.2">
      <c r="O181" s="47"/>
    </row>
    <row r="182" spans="15:15" x14ac:dyDescent="0.2">
      <c r="O182" s="47"/>
    </row>
    <row r="183" spans="15:15" x14ac:dyDescent="0.2">
      <c r="O183" s="47"/>
    </row>
    <row r="184" spans="15:15" x14ac:dyDescent="0.2">
      <c r="O184" s="47"/>
    </row>
    <row r="185" spans="15:15" x14ac:dyDescent="0.2">
      <c r="O185" s="47"/>
    </row>
    <row r="186" spans="15:15" x14ac:dyDescent="0.2">
      <c r="O186" s="47"/>
    </row>
    <row r="187" spans="15:15" x14ac:dyDescent="0.2">
      <c r="O187" s="47"/>
    </row>
    <row r="188" spans="15:15" x14ac:dyDescent="0.2">
      <c r="O188" s="47"/>
    </row>
    <row r="189" spans="15:15" x14ac:dyDescent="0.2">
      <c r="O189" s="47"/>
    </row>
    <row r="190" spans="15:15" x14ac:dyDescent="0.2">
      <c r="O190" s="47"/>
    </row>
    <row r="191" spans="15:15" x14ac:dyDescent="0.2">
      <c r="O191" s="47"/>
    </row>
    <row r="192" spans="15:15" x14ac:dyDescent="0.2">
      <c r="O192" s="47"/>
    </row>
    <row r="193" spans="15:15" x14ac:dyDescent="0.2">
      <c r="O193" s="47"/>
    </row>
    <row r="194" spans="15:15" x14ac:dyDescent="0.2">
      <c r="O194" s="47"/>
    </row>
    <row r="195" spans="15:15" x14ac:dyDescent="0.2">
      <c r="O195" s="47"/>
    </row>
    <row r="196" spans="15:15" x14ac:dyDescent="0.2">
      <c r="O196" s="47"/>
    </row>
    <row r="197" spans="15:15" x14ac:dyDescent="0.2">
      <c r="O197" s="47"/>
    </row>
    <row r="198" spans="15:15" x14ac:dyDescent="0.2">
      <c r="O198" s="47"/>
    </row>
    <row r="199" spans="15:15" x14ac:dyDescent="0.2">
      <c r="O199" s="47"/>
    </row>
    <row r="200" spans="15:15" x14ac:dyDescent="0.2">
      <c r="O200" s="47"/>
    </row>
    <row r="201" spans="15:15" x14ac:dyDescent="0.2">
      <c r="O201" s="47"/>
    </row>
    <row r="202" spans="15:15" x14ac:dyDescent="0.2">
      <c r="O202" s="47"/>
    </row>
    <row r="203" spans="15:15" x14ac:dyDescent="0.2">
      <c r="O203" s="47"/>
    </row>
    <row r="204" spans="15:15" x14ac:dyDescent="0.2">
      <c r="O204" s="47"/>
    </row>
    <row r="205" spans="15:15" x14ac:dyDescent="0.2">
      <c r="O205" s="47"/>
    </row>
    <row r="215" spans="15:15" x14ac:dyDescent="0.2">
      <c r="O215" s="47"/>
    </row>
    <row r="237" spans="7:12" x14ac:dyDescent="0.2">
      <c r="G237">
        <v>12.265415678072527</v>
      </c>
      <c r="H237">
        <v>4.3121101597682641</v>
      </c>
      <c r="I237">
        <v>3.4779940672535758E-3</v>
      </c>
      <c r="J237">
        <v>0</v>
      </c>
      <c r="K237" t="e">
        <v>#DIV/0!</v>
      </c>
      <c r="L237" t="e">
        <v>#DIV/0!</v>
      </c>
    </row>
  </sheetData>
  <sortState ref="F94:F96">
    <sortCondition ref="F93"/>
  </sortState>
  <mergeCells count="1">
    <mergeCell ref="N8:N15"/>
  </mergeCells>
  <pageMargins left="0.7" right="0.7" top="0.75" bottom="0.75" header="0.3" footer="0.3"/>
  <pageSetup orientation="portrait" horizontalDpi="4294967292" verticalDpi="4294967292"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11F75-5FDF-4AFA-88D3-E8BC17F2D98A}">
  <sheetPr codeName="Sheet03"/>
  <dimension ref="A1:BJ10018"/>
  <sheetViews>
    <sheetView showGridLines="0" zoomScale="80" zoomScaleNormal="80" workbookViewId="0">
      <pane xSplit="2" ySplit="15" topLeftCell="C16" activePane="bottomRight" state="frozen"/>
      <selection activeCell="X6" sqref="Q6:X6"/>
      <selection pane="topRight" activeCell="X6" sqref="Q6:X6"/>
      <selection pane="bottomLeft" activeCell="X6" sqref="Q6:X6"/>
      <selection pane="bottomRight"/>
    </sheetView>
  </sheetViews>
  <sheetFormatPr defaultColWidth="8.625" defaultRowHeight="14.25" x14ac:dyDescent="0.2"/>
  <cols>
    <col min="1" max="1" width="2.625" customWidth="1"/>
    <col min="2" max="2" width="8.625" customWidth="1"/>
    <col min="3" max="8" width="12.625" customWidth="1"/>
    <col min="9" max="13" width="8.625" customWidth="1"/>
    <col min="14" max="16" width="12.625" customWidth="1"/>
    <col min="17" max="21" width="8.625" customWidth="1"/>
    <col min="22" max="23" width="8.625" hidden="1" customWidth="1"/>
    <col min="24" max="31" width="12.625" customWidth="1"/>
    <col min="32" max="33" width="12.625" hidden="1" customWidth="1"/>
    <col min="34" max="41" width="12.625" customWidth="1"/>
    <col min="42" max="43" width="12.625" hidden="1" customWidth="1"/>
    <col min="44" max="51" width="12.625" customWidth="1"/>
    <col min="52" max="53" width="12.625" hidden="1" customWidth="1"/>
    <col min="54" max="55" width="8.625" customWidth="1"/>
    <col min="57" max="62" width="12.625" customWidth="1"/>
  </cols>
  <sheetData>
    <row r="1" spans="1:62" s="4" customFormat="1" ht="30" customHeight="1" thickBot="1" x14ac:dyDescent="0.25">
      <c r="A1" s="3" t="s">
        <v>0</v>
      </c>
      <c r="AZ1" s="4">
        <f>COUNTIF(AZ16:AZ115,"&lt;0")</f>
        <v>0</v>
      </c>
      <c r="BA1" s="177"/>
    </row>
    <row r="2" spans="1:62" s="36" customFormat="1" ht="15" customHeight="1" x14ac:dyDescent="0.2">
      <c r="A2"/>
      <c r="R2" s="36" t="str">
        <f>VOI_Parameters!B19</f>
        <v>Screening/Testing Costs</v>
      </c>
      <c r="X2" s="36" t="str">
        <f>VOI_Parameters!B25</f>
        <v>Adherence: Patients Who Use Recommendation</v>
      </c>
      <c r="AH2" s="36" t="str">
        <f>VOI_Parameters!B35</f>
        <v>Penetrance</v>
      </c>
      <c r="AR2" s="36" t="str">
        <f>VOI_Parameters!B45</f>
        <v>Prevalence</v>
      </c>
      <c r="AZ2"/>
      <c r="BA2"/>
      <c r="BB2" s="36" t="str">
        <f>VOI_Parameters!B55</f>
        <v>Avoidance of Screening</v>
      </c>
      <c r="BE2" s="36" t="s">
        <v>147</v>
      </c>
    </row>
    <row r="3" spans="1:62" s="36" customFormat="1" ht="15.75" customHeight="1" x14ac:dyDescent="0.25">
      <c r="A3"/>
      <c r="B3" s="180"/>
      <c r="C3" s="181" t="s">
        <v>148</v>
      </c>
      <c r="D3" s="181"/>
      <c r="E3" s="181"/>
      <c r="F3" s="181"/>
      <c r="G3" s="181"/>
      <c r="H3" s="182"/>
      <c r="R3" s="495" t="s">
        <v>42</v>
      </c>
      <c r="S3" s="493" t="s">
        <v>44</v>
      </c>
      <c r="T3" s="493" t="s">
        <v>45</v>
      </c>
      <c r="U3" s="488" t="s">
        <v>46</v>
      </c>
      <c r="V3"/>
      <c r="W3"/>
      <c r="X3" s="495" t="s">
        <v>48</v>
      </c>
      <c r="Y3" s="493" t="s">
        <v>50</v>
      </c>
      <c r="Z3" s="493" t="s">
        <v>51</v>
      </c>
      <c r="AA3" s="493" t="s">
        <v>52</v>
      </c>
      <c r="AB3" s="493" t="s">
        <v>53</v>
      </c>
      <c r="AC3" s="493" t="s">
        <v>54</v>
      </c>
      <c r="AD3" s="493" t="s">
        <v>55</v>
      </c>
      <c r="AE3" s="488" t="s">
        <v>56</v>
      </c>
      <c r="AF3" s="197"/>
      <c r="AG3" s="197"/>
      <c r="AH3" s="495" t="s">
        <v>48</v>
      </c>
      <c r="AI3" s="493" t="s">
        <v>50</v>
      </c>
      <c r="AJ3" s="493" t="s">
        <v>51</v>
      </c>
      <c r="AK3" s="493" t="s">
        <v>52</v>
      </c>
      <c r="AL3" s="493" t="s">
        <v>53</v>
      </c>
      <c r="AM3" s="493" t="s">
        <v>54</v>
      </c>
      <c r="AN3" s="493" t="s">
        <v>55</v>
      </c>
      <c r="AO3" s="488" t="s">
        <v>56</v>
      </c>
      <c r="AP3" s="197"/>
      <c r="AQ3" s="197"/>
      <c r="AR3" s="495" t="s">
        <v>48</v>
      </c>
      <c r="AS3" s="493" t="s">
        <v>50</v>
      </c>
      <c r="AT3" s="493" t="s">
        <v>51</v>
      </c>
      <c r="AU3" s="493" t="s">
        <v>52</v>
      </c>
      <c r="AV3" s="493" t="s">
        <v>53</v>
      </c>
      <c r="AW3" s="493" t="s">
        <v>54</v>
      </c>
      <c r="AX3" s="493" t="s">
        <v>55</v>
      </c>
      <c r="AY3" s="488" t="s">
        <v>56</v>
      </c>
      <c r="AZ3"/>
      <c r="BA3"/>
      <c r="BB3" s="495" t="s">
        <v>76</v>
      </c>
      <c r="BC3" s="488" t="s">
        <v>77</v>
      </c>
      <c r="BE3" s="215" t="s">
        <v>26</v>
      </c>
      <c r="BF3" s="216" t="s">
        <v>26</v>
      </c>
      <c r="BG3" s="215" t="s">
        <v>27</v>
      </c>
      <c r="BH3" s="216" t="s">
        <v>27</v>
      </c>
      <c r="BI3" s="215" t="s">
        <v>28</v>
      </c>
      <c r="BJ3" s="216" t="s">
        <v>28</v>
      </c>
    </row>
    <row r="4" spans="1:62" s="36" customFormat="1" ht="15" customHeight="1" x14ac:dyDescent="0.25">
      <c r="A4"/>
      <c r="B4" s="183"/>
      <c r="C4" s="215" t="s">
        <v>124</v>
      </c>
      <c r="D4" s="216" t="s">
        <v>125</v>
      </c>
      <c r="E4" s="220" t="s">
        <v>126</v>
      </c>
      <c r="F4" s="221" t="s">
        <v>127</v>
      </c>
      <c r="G4" s="220" t="s">
        <v>128</v>
      </c>
      <c r="H4" s="221" t="s">
        <v>129</v>
      </c>
      <c r="R4" s="496"/>
      <c r="S4" s="494"/>
      <c r="T4" s="494"/>
      <c r="U4" s="489"/>
      <c r="V4"/>
      <c r="W4"/>
      <c r="X4" s="496"/>
      <c r="Y4" s="494"/>
      <c r="Z4" s="494"/>
      <c r="AA4" s="494"/>
      <c r="AB4" s="494"/>
      <c r="AC4" s="494"/>
      <c r="AD4" s="494"/>
      <c r="AE4" s="489"/>
      <c r="AF4" s="198"/>
      <c r="AG4" s="198"/>
      <c r="AH4" s="496"/>
      <c r="AI4" s="494"/>
      <c r="AJ4" s="494"/>
      <c r="AK4" s="494"/>
      <c r="AL4" s="494"/>
      <c r="AM4" s="494"/>
      <c r="AN4" s="494"/>
      <c r="AO4" s="489"/>
      <c r="AP4" s="198"/>
      <c r="AQ4" s="198"/>
      <c r="AR4" s="496"/>
      <c r="AS4" s="494"/>
      <c r="AT4" s="494"/>
      <c r="AU4" s="494"/>
      <c r="AV4" s="494"/>
      <c r="AW4" s="494"/>
      <c r="AX4" s="494"/>
      <c r="AY4" s="489"/>
      <c r="AZ4"/>
      <c r="BA4"/>
      <c r="BB4" s="496"/>
      <c r="BC4" s="489"/>
      <c r="BE4" s="271" t="s">
        <v>6</v>
      </c>
      <c r="BF4" s="272" t="s">
        <v>7</v>
      </c>
      <c r="BG4" s="271" t="s">
        <v>6</v>
      </c>
      <c r="BH4" s="272" t="s">
        <v>7</v>
      </c>
      <c r="BI4" s="271" t="s">
        <v>6</v>
      </c>
      <c r="BJ4" s="272" t="s">
        <v>7</v>
      </c>
    </row>
    <row r="5" spans="1:62" s="36" customFormat="1" ht="15" customHeight="1" x14ac:dyDescent="0.2">
      <c r="A5"/>
      <c r="B5" s="187" t="s">
        <v>35</v>
      </c>
      <c r="C5" s="210"/>
      <c r="D5" s="211"/>
      <c r="E5" s="222"/>
      <c r="F5" s="211"/>
      <c r="G5" s="222"/>
      <c r="H5" s="211"/>
      <c r="R5" s="188"/>
      <c r="S5" s="189"/>
      <c r="T5" s="189"/>
      <c r="U5" s="190"/>
      <c r="V5"/>
      <c r="W5"/>
      <c r="X5" s="188"/>
      <c r="Y5" s="189"/>
      <c r="Z5" s="189"/>
      <c r="AA5" s="189"/>
      <c r="AB5" s="189"/>
      <c r="AC5" s="189"/>
      <c r="AD5" s="189"/>
      <c r="AE5" s="190"/>
      <c r="AF5" s="189"/>
      <c r="AG5" s="189"/>
      <c r="AH5" s="188"/>
      <c r="AI5" s="189"/>
      <c r="AJ5" s="189"/>
      <c r="AK5" s="189"/>
      <c r="AL5" s="189"/>
      <c r="AM5" s="189"/>
      <c r="AN5" s="189"/>
      <c r="AO5" s="190"/>
      <c r="AP5" s="189"/>
      <c r="AQ5" s="189"/>
      <c r="AR5" s="188"/>
      <c r="AS5" s="189"/>
      <c r="AT5" s="189"/>
      <c r="AU5" s="189"/>
      <c r="AV5" s="189"/>
      <c r="AW5" s="189"/>
      <c r="AX5" s="189"/>
      <c r="AY5" s="190"/>
      <c r="AZ5"/>
      <c r="BA5"/>
      <c r="BB5" s="188"/>
      <c r="BC5" s="190"/>
      <c r="BE5" s="267"/>
      <c r="BF5" s="268"/>
      <c r="BG5" s="267"/>
      <c r="BH5" s="268"/>
      <c r="BI5" s="267"/>
      <c r="BJ5" s="268"/>
    </row>
    <row r="6" spans="1:62" s="36" customFormat="1" ht="15" customHeight="1" x14ac:dyDescent="0.2">
      <c r="A6"/>
      <c r="B6" s="187" t="s">
        <v>78</v>
      </c>
      <c r="C6" s="212">
        <v>56438.78</v>
      </c>
      <c r="D6" s="217">
        <v>11.668249714829788</v>
      </c>
      <c r="E6" s="223">
        <v>57630.29</v>
      </c>
      <c r="F6" s="289">
        <v>11.606475042277401</v>
      </c>
      <c r="G6" s="212">
        <v>-3134.08</v>
      </c>
      <c r="H6" s="217">
        <v>-1.4558959349425749E-2</v>
      </c>
      <c r="R6" s="191">
        <v>-61.393029138310737</v>
      </c>
      <c r="S6" s="113">
        <v>43.409322987508503</v>
      </c>
      <c r="T6" s="113">
        <v>178.05043999136575</v>
      </c>
      <c r="U6" s="192">
        <v>61.950513236368963</v>
      </c>
      <c r="V6">
        <v>0</v>
      </c>
      <c r="W6">
        <v>0</v>
      </c>
      <c r="X6" s="191">
        <v>0.3407896514202296</v>
      </c>
      <c r="Y6" s="113">
        <v>0.25295931726069087</v>
      </c>
      <c r="Z6" s="113">
        <v>0.29384705548016132</v>
      </c>
      <c r="AA6" s="113">
        <v>0.24207798905171457</v>
      </c>
      <c r="AB6" s="113">
        <v>0.32709148445376046</v>
      </c>
      <c r="AC6" s="113">
        <v>0.14887792550459095</v>
      </c>
      <c r="AD6" s="113">
        <v>0.27136590563135177</v>
      </c>
      <c r="AE6" s="192">
        <v>0.3247368365167872</v>
      </c>
      <c r="AF6" s="113">
        <v>0</v>
      </c>
      <c r="AG6" s="113">
        <v>0</v>
      </c>
      <c r="AH6" s="200">
        <v>1.4510130066005544E-3</v>
      </c>
      <c r="AI6" s="114">
        <v>1.0377688965087506E-3</v>
      </c>
      <c r="AJ6" s="114">
        <v>1.0540351272612103E-3</v>
      </c>
      <c r="AK6" s="114">
        <v>2.3589600554014822E-3</v>
      </c>
      <c r="AL6" s="114">
        <v>5.2995439873482209E-3</v>
      </c>
      <c r="AM6" s="114">
        <v>1.7872716432340008E-3</v>
      </c>
      <c r="AN6" s="115">
        <v>1.3315906730497762E-3</v>
      </c>
      <c r="AO6" s="201">
        <v>1.4979288005425584E-3</v>
      </c>
      <c r="AP6" s="113">
        <v>0</v>
      </c>
      <c r="AQ6" s="113">
        <v>0</v>
      </c>
      <c r="AR6" s="191">
        <v>6.1738313047810076E-4</v>
      </c>
      <c r="AS6" s="113">
        <v>3.8949002602369537E-3</v>
      </c>
      <c r="AT6" s="113">
        <v>4.3175406526037114E-3</v>
      </c>
      <c r="AU6" s="113">
        <v>1.6245899604081814E-3</v>
      </c>
      <c r="AV6" s="113">
        <v>1.6268180255281522E-3</v>
      </c>
      <c r="AW6" s="113">
        <v>2.8535413579212215E-3</v>
      </c>
      <c r="AX6" s="113">
        <v>2.4388485426326149E-4</v>
      </c>
      <c r="AY6" s="192">
        <v>2.803202228501888E-4</v>
      </c>
      <c r="AZ6">
        <v>0</v>
      </c>
      <c r="BA6">
        <v>0</v>
      </c>
      <c r="BB6" s="191">
        <v>3.5120812554798438E-2</v>
      </c>
      <c r="BC6" s="192">
        <v>3.5188209578960127E-3</v>
      </c>
      <c r="BD6" s="287">
        <v>0</v>
      </c>
      <c r="BE6" s="448">
        <v>56438.78</v>
      </c>
      <c r="BF6" s="192">
        <v>11.668249714829788</v>
      </c>
      <c r="BG6" s="448">
        <v>57630.29</v>
      </c>
      <c r="BH6" s="192">
        <v>11.606475042277401</v>
      </c>
      <c r="BI6" s="448">
        <v>-3134.08</v>
      </c>
      <c r="BJ6" s="192">
        <v>-1.4558959349425749E-2</v>
      </c>
    </row>
    <row r="7" spans="1:62" s="36" customFormat="1" ht="15" customHeight="1" x14ac:dyDescent="0.2">
      <c r="A7"/>
      <c r="B7" s="187" t="s">
        <v>79</v>
      </c>
      <c r="C7" s="212">
        <v>61513.29</v>
      </c>
      <c r="D7" s="217">
        <v>13.775642325560431</v>
      </c>
      <c r="E7" s="223">
        <v>62814.17</v>
      </c>
      <c r="F7" s="289">
        <v>13.684464090352311</v>
      </c>
      <c r="G7" s="212">
        <v>-2585.4299999999998</v>
      </c>
      <c r="H7" s="217">
        <v>4.3222068887480522E-2</v>
      </c>
      <c r="R7" s="191">
        <v>48.376461894109887</v>
      </c>
      <c r="S7" s="113">
        <v>50.319868654475215</v>
      </c>
      <c r="T7" s="113">
        <v>198.60205913790082</v>
      </c>
      <c r="U7" s="192">
        <v>74.979810913667592</v>
      </c>
      <c r="V7" t="e">
        <v>#NUM!</v>
      </c>
      <c r="W7" t="e">
        <v>#NUM!</v>
      </c>
      <c r="X7" s="191">
        <v>0.46945325845402225</v>
      </c>
      <c r="Y7" s="113">
        <v>0.44929490516480952</v>
      </c>
      <c r="Z7" s="113">
        <v>0.45568613561510313</v>
      </c>
      <c r="AA7" s="113">
        <v>0.4727757724721437</v>
      </c>
      <c r="AB7" s="113">
        <v>0.45033065747066858</v>
      </c>
      <c r="AC7" s="113">
        <v>0.48503782634937304</v>
      </c>
      <c r="AD7" s="113">
        <v>0.46340418689905144</v>
      </c>
      <c r="AE7" s="192">
        <v>0.46916076362773784</v>
      </c>
      <c r="AF7" s="113" t="e">
        <v>#NUM!</v>
      </c>
      <c r="AG7" s="113" t="e">
        <v>#NUM!</v>
      </c>
      <c r="AH7" s="200">
        <v>1.2566853398711565E-2</v>
      </c>
      <c r="AI7" s="114">
        <v>1.4013407549342705E-2</v>
      </c>
      <c r="AJ7" s="114">
        <v>1.6445843488192453E-2</v>
      </c>
      <c r="AK7" s="114">
        <v>1.4069849415439123E-2</v>
      </c>
      <c r="AL7" s="114">
        <v>1.7512925024287328E-2</v>
      </c>
      <c r="AM7" s="114">
        <v>1.3599503355995647E-2</v>
      </c>
      <c r="AN7" s="114">
        <v>1.5606508219656605E-2</v>
      </c>
      <c r="AO7" s="202">
        <v>1.4570831202271831E-2</v>
      </c>
      <c r="AP7" s="113" t="e">
        <v>#NUM!</v>
      </c>
      <c r="AQ7" s="113" t="e">
        <v>#NUM!</v>
      </c>
      <c r="AR7" s="191">
        <v>7.0906335405937092E-4</v>
      </c>
      <c r="AS7" s="113">
        <v>4.122607199224841E-3</v>
      </c>
      <c r="AT7" s="113">
        <v>4.5250791653952127E-3</v>
      </c>
      <c r="AU7" s="113">
        <v>1.7396334035171483E-3</v>
      </c>
      <c r="AV7" s="113">
        <v>1.7302678906358645E-3</v>
      </c>
      <c r="AW7" s="113">
        <v>3.0707627232580805E-3</v>
      </c>
      <c r="AX7" s="113">
        <v>2.8669976041800077E-4</v>
      </c>
      <c r="AY7" s="192">
        <v>3.277311340465769E-4</v>
      </c>
      <c r="AZ7" t="e">
        <v>#NUM!</v>
      </c>
      <c r="BA7" t="e">
        <v>#NUM!</v>
      </c>
      <c r="BB7" s="191">
        <v>3.9786843278211283E-2</v>
      </c>
      <c r="BC7" s="192">
        <v>1.5450082511969707E-2</v>
      </c>
      <c r="BD7" s="287" t="e">
        <v>#NUM!</v>
      </c>
      <c r="BE7" s="448">
        <v>61513.29</v>
      </c>
      <c r="BF7" s="192">
        <v>13.775642325560431</v>
      </c>
      <c r="BG7" s="448">
        <v>62814.17</v>
      </c>
      <c r="BH7" s="192">
        <v>13.684464090352311</v>
      </c>
      <c r="BI7" s="448">
        <v>-2585.4299999999998</v>
      </c>
      <c r="BJ7" s="192">
        <v>4.3222068887480522E-2</v>
      </c>
    </row>
    <row r="8" spans="1:62" s="36" customFormat="1" ht="15" customHeight="1" x14ac:dyDescent="0.2">
      <c r="A8"/>
      <c r="B8" s="187" t="s">
        <v>80</v>
      </c>
      <c r="C8" s="212">
        <v>70293.55</v>
      </c>
      <c r="D8" s="217">
        <v>16.249633106012279</v>
      </c>
      <c r="E8" s="223">
        <v>71968.490000000005</v>
      </c>
      <c r="F8" s="289">
        <v>16.124950030967707</v>
      </c>
      <c r="G8" s="212">
        <v>-1674.94</v>
      </c>
      <c r="H8" s="217">
        <v>0.12468307504454805</v>
      </c>
      <c r="R8" s="191">
        <v>249.41636990460421</v>
      </c>
      <c r="S8" s="113">
        <v>62.478957628913626</v>
      </c>
      <c r="T8" s="113">
        <v>249.29320975127072</v>
      </c>
      <c r="U8" s="192">
        <v>95.027079485086546</v>
      </c>
      <c r="V8" t="e">
        <v>#DIV/0!</v>
      </c>
      <c r="W8" t="e">
        <v>#DIV/0!</v>
      </c>
      <c r="X8" s="191">
        <v>0.75212994076046336</v>
      </c>
      <c r="Y8" s="113">
        <v>0.74855010019746593</v>
      </c>
      <c r="Z8" s="113">
        <v>0.74456058113347046</v>
      </c>
      <c r="AA8" s="113">
        <v>0.75183251070142565</v>
      </c>
      <c r="AB8" s="113">
        <v>0.74572783586991453</v>
      </c>
      <c r="AC8" s="113">
        <v>0.75574201166644894</v>
      </c>
      <c r="AD8" s="113">
        <v>0.74726944399865081</v>
      </c>
      <c r="AE8" s="192">
        <v>0.75105981878299277</v>
      </c>
      <c r="AF8" s="113" t="e">
        <v>#DIV/0!</v>
      </c>
      <c r="AG8" s="113" t="e">
        <v>#DIV/0!</v>
      </c>
      <c r="AH8" s="200">
        <v>0.12461980717770516</v>
      </c>
      <c r="AI8" s="114">
        <v>0.12418065433697489</v>
      </c>
      <c r="AJ8" s="114">
        <v>0.12705034945028545</v>
      </c>
      <c r="AK8" s="114">
        <v>0.12159878160627813</v>
      </c>
      <c r="AL8" s="114">
        <v>0.1262584112246817</v>
      </c>
      <c r="AM8" s="114">
        <v>0.12249494937946359</v>
      </c>
      <c r="AN8" s="114">
        <v>0.12512470696874228</v>
      </c>
      <c r="AO8" s="202">
        <v>0.12707441222523422</v>
      </c>
      <c r="AP8" s="113" t="e">
        <v>#DIV/0!</v>
      </c>
      <c r="AQ8" s="113" t="e">
        <v>#DIV/0!</v>
      </c>
      <c r="AR8" s="191">
        <v>8.871575361249608E-4</v>
      </c>
      <c r="AS8" s="113">
        <v>4.5073412275113646E-3</v>
      </c>
      <c r="AT8" s="113">
        <v>4.9396466961722681E-3</v>
      </c>
      <c r="AU8" s="113">
        <v>2.0033516460896098E-3</v>
      </c>
      <c r="AV8" s="113">
        <v>2.0012931827859395E-3</v>
      </c>
      <c r="AW8" s="113">
        <v>3.4187565049700898E-3</v>
      </c>
      <c r="AX8" s="113">
        <v>3.9986105803429932E-4</v>
      </c>
      <c r="AY8" s="192">
        <v>4.5129452088804221E-4</v>
      </c>
      <c r="AZ8" t="e">
        <v>#DIV/0!</v>
      </c>
      <c r="BA8" t="e">
        <v>#DIV/0!</v>
      </c>
      <c r="BB8" s="191">
        <v>5.0079783477572054E-2</v>
      </c>
      <c r="BC8" s="192">
        <v>4.9667531138936828E-2</v>
      </c>
      <c r="BD8" s="287" t="e">
        <v>#DIV/0!</v>
      </c>
      <c r="BE8" s="448">
        <v>70293.55</v>
      </c>
      <c r="BF8" s="192">
        <v>16.249633106012279</v>
      </c>
      <c r="BG8" s="448">
        <v>71968.490000000005</v>
      </c>
      <c r="BH8" s="192">
        <v>16.124950030967707</v>
      </c>
      <c r="BI8" s="448">
        <v>-1674.94</v>
      </c>
      <c r="BJ8" s="192">
        <v>0.12468307504454805</v>
      </c>
    </row>
    <row r="9" spans="1:62" s="36" customFormat="1" ht="15" customHeight="1" x14ac:dyDescent="0.2">
      <c r="A9"/>
      <c r="B9" s="187" t="s">
        <v>81</v>
      </c>
      <c r="C9" s="213">
        <v>78668.36</v>
      </c>
      <c r="D9" s="217">
        <v>18.375274750971027</v>
      </c>
      <c r="E9" s="223">
        <v>80561.47</v>
      </c>
      <c r="F9" s="289">
        <v>18.284736786892825</v>
      </c>
      <c r="G9" s="212">
        <v>-642.83000000000004</v>
      </c>
      <c r="H9" s="217">
        <v>0.20171524991668127</v>
      </c>
      <c r="Q9" s="116"/>
      <c r="R9" s="191">
        <v>454.98269344184229</v>
      </c>
      <c r="S9" s="113">
        <v>74.207328219722925</v>
      </c>
      <c r="T9" s="113">
        <v>297.31606441888232</v>
      </c>
      <c r="U9" s="192">
        <v>113.54891351766783</v>
      </c>
      <c r="V9" t="e">
        <v>#NUM!</v>
      </c>
      <c r="W9" t="e">
        <v>#NUM!</v>
      </c>
      <c r="X9" s="191">
        <v>0.94971743765439542</v>
      </c>
      <c r="Y9" s="113">
        <v>0.94615791810730743</v>
      </c>
      <c r="Z9" s="113">
        <v>0.94024058604993088</v>
      </c>
      <c r="AA9" s="113">
        <v>0.94269570712006368</v>
      </c>
      <c r="AB9" s="113">
        <v>0.94415521533075641</v>
      </c>
      <c r="AC9" s="113">
        <v>0.94098267930745505</v>
      </c>
      <c r="AD9" s="113">
        <v>0.9498259429133924</v>
      </c>
      <c r="AE9" s="192">
        <v>0.94519070823373674</v>
      </c>
      <c r="AF9" s="113" t="e">
        <v>#NUM!</v>
      </c>
      <c r="AG9" s="113" t="e">
        <v>#NUM!</v>
      </c>
      <c r="AH9" s="200">
        <v>0.32456297711570731</v>
      </c>
      <c r="AI9" s="114">
        <v>0.33278692349209016</v>
      </c>
      <c r="AJ9" s="114">
        <v>0.33805302949471777</v>
      </c>
      <c r="AK9" s="114">
        <v>0.31755401980065673</v>
      </c>
      <c r="AL9" s="114">
        <v>0.33888285831350029</v>
      </c>
      <c r="AM9" s="114">
        <v>0.32437427242816108</v>
      </c>
      <c r="AN9" s="114">
        <v>0.3365647899368272</v>
      </c>
      <c r="AO9" s="202">
        <v>0.3264305073738254</v>
      </c>
      <c r="AP9" s="113" t="e">
        <v>#NUM!</v>
      </c>
      <c r="AQ9" s="113" t="e">
        <v>#NUM!</v>
      </c>
      <c r="AR9" s="191">
        <v>1.0921819871157284E-3</v>
      </c>
      <c r="AS9" s="113">
        <v>4.9211349168912207E-3</v>
      </c>
      <c r="AT9" s="113">
        <v>5.387559684751889E-3</v>
      </c>
      <c r="AU9" s="113">
        <v>2.2703568154881977E-3</v>
      </c>
      <c r="AV9" s="113">
        <v>2.2852256165285076E-3</v>
      </c>
      <c r="AW9" s="113">
        <v>3.7635860647380948E-3</v>
      </c>
      <c r="AX9" s="113">
        <v>5.4293740815099516E-4</v>
      </c>
      <c r="AY9" s="192">
        <v>5.8122773895589726E-4</v>
      </c>
      <c r="AZ9" t="e">
        <v>#NUM!</v>
      </c>
      <c r="BA9" t="e">
        <v>#NUM!</v>
      </c>
      <c r="BB9" s="191">
        <v>6.0538700805104505E-2</v>
      </c>
      <c r="BC9" s="192">
        <v>0.1027786801700999</v>
      </c>
      <c r="BD9" s="287" t="e">
        <v>#NUM!</v>
      </c>
      <c r="BE9" s="448">
        <v>78668.36</v>
      </c>
      <c r="BF9" s="192">
        <v>18.375274750971027</v>
      </c>
      <c r="BG9" s="448">
        <v>80561.47</v>
      </c>
      <c r="BH9" s="192">
        <v>18.284736786892825</v>
      </c>
      <c r="BI9" s="448">
        <v>-642.83000000000004</v>
      </c>
      <c r="BJ9" s="192">
        <v>0.20171524991668127</v>
      </c>
    </row>
    <row r="10" spans="1:62" s="36" customFormat="1" ht="15" customHeight="1" x14ac:dyDescent="0.2">
      <c r="A10"/>
      <c r="B10" s="187" t="s">
        <v>82</v>
      </c>
      <c r="C10" s="214">
        <v>85574.47</v>
      </c>
      <c r="D10" s="218">
        <v>20.123359084164186</v>
      </c>
      <c r="E10" s="224">
        <v>87519.73</v>
      </c>
      <c r="F10" s="290">
        <v>20.035209873166028</v>
      </c>
      <c r="G10" s="214">
        <v>376.89</v>
      </c>
      <c r="H10" s="218">
        <v>0.25242367693568113</v>
      </c>
      <c r="R10" s="193">
        <v>573.23792182488205</v>
      </c>
      <c r="S10" s="194">
        <v>82.113259424581358</v>
      </c>
      <c r="T10" s="194">
        <v>338.15684422944258</v>
      </c>
      <c r="U10" s="196">
        <v>127.44065144606569</v>
      </c>
      <c r="V10">
        <v>0</v>
      </c>
      <c r="W10">
        <v>0</v>
      </c>
      <c r="X10" s="193">
        <v>0.98562206046595047</v>
      </c>
      <c r="Y10" s="194">
        <v>0.99006129379902352</v>
      </c>
      <c r="Z10" s="194">
        <v>0.9908167136605851</v>
      </c>
      <c r="AA10" s="194">
        <v>0.97974254881113942</v>
      </c>
      <c r="AB10" s="194">
        <v>0.98762504119275341</v>
      </c>
      <c r="AC10" s="194">
        <v>0.9883185907323816</v>
      </c>
      <c r="AD10" s="194">
        <v>0.98653435657183475</v>
      </c>
      <c r="AE10" s="196">
        <v>0.98855123485761409</v>
      </c>
      <c r="AF10" s="194">
        <v>0</v>
      </c>
      <c r="AG10" s="194">
        <v>0</v>
      </c>
      <c r="AH10" s="203">
        <v>0.49396618516611901</v>
      </c>
      <c r="AI10" s="195">
        <v>0.54197733322688579</v>
      </c>
      <c r="AJ10" s="195">
        <v>0.48214767607389142</v>
      </c>
      <c r="AK10" s="195">
        <v>0.54123600100520353</v>
      </c>
      <c r="AL10" s="195">
        <v>0.51890921317838912</v>
      </c>
      <c r="AM10" s="195">
        <v>0.51677652029583832</v>
      </c>
      <c r="AN10" s="195">
        <v>0.41838675925947988</v>
      </c>
      <c r="AO10" s="204">
        <v>0.54221724820820327</v>
      </c>
      <c r="AP10" s="194">
        <v>0</v>
      </c>
      <c r="AQ10" s="194">
        <v>0</v>
      </c>
      <c r="AR10" s="193">
        <v>1.2924034226263759E-3</v>
      </c>
      <c r="AS10" s="194">
        <v>5.1752147138751647E-3</v>
      </c>
      <c r="AT10" s="194">
        <v>5.6029714623275773E-3</v>
      </c>
      <c r="AU10" s="194">
        <v>2.6022962975084107E-3</v>
      </c>
      <c r="AV10" s="194">
        <v>2.4654918573948637E-3</v>
      </c>
      <c r="AW10" s="194">
        <v>3.8998068826988641E-3</v>
      </c>
      <c r="AX10" s="194">
        <v>6.8745885355925296E-4</v>
      </c>
      <c r="AY10" s="196">
        <v>6.9414266184197881E-4</v>
      </c>
      <c r="AZ10">
        <v>0</v>
      </c>
      <c r="BA10">
        <v>0</v>
      </c>
      <c r="BB10" s="193">
        <v>7.1835233482729799E-2</v>
      </c>
      <c r="BC10" s="196">
        <v>0.16367804458292012</v>
      </c>
      <c r="BD10" s="287">
        <v>0</v>
      </c>
      <c r="BE10" s="448">
        <v>85574.47</v>
      </c>
      <c r="BF10" s="192">
        <v>20.123359084164186</v>
      </c>
      <c r="BG10" s="448">
        <v>87519.73</v>
      </c>
      <c r="BH10" s="192">
        <v>20.035209873166028</v>
      </c>
      <c r="BI10" s="448">
        <v>376.89</v>
      </c>
      <c r="BJ10" s="192">
        <v>0.25242367693568113</v>
      </c>
    </row>
    <row r="11" spans="1:62" s="36" customFormat="1" ht="15" customHeight="1" x14ac:dyDescent="0.2">
      <c r="A11"/>
      <c r="B11" s="185"/>
      <c r="C11" s="482"/>
      <c r="D11" s="485"/>
      <c r="E11" s="482"/>
      <c r="F11" s="485"/>
      <c r="G11" s="490"/>
      <c r="H11" s="485"/>
      <c r="R11" s="476"/>
      <c r="S11" s="468"/>
      <c r="T11" s="468"/>
      <c r="U11" s="479"/>
      <c r="V11"/>
      <c r="W11"/>
      <c r="X11" s="476"/>
      <c r="Y11" s="468"/>
      <c r="Z11" s="468"/>
      <c r="AA11" s="468"/>
      <c r="AB11" s="468"/>
      <c r="AC11" s="468"/>
      <c r="AD11" s="468"/>
      <c r="AE11" s="479"/>
      <c r="AF11" s="199"/>
      <c r="AG11" s="199"/>
      <c r="AH11" s="476"/>
      <c r="AI11" s="468"/>
      <c r="AJ11" s="468"/>
      <c r="AK11" s="468"/>
      <c r="AL11" s="468"/>
      <c r="AM11" s="468"/>
      <c r="AN11" s="468"/>
      <c r="AO11" s="479"/>
      <c r="AP11" s="199"/>
      <c r="AQ11" s="199"/>
      <c r="AR11" s="476"/>
      <c r="AS11" s="468"/>
      <c r="AT11" s="468"/>
      <c r="AU11" s="468"/>
      <c r="AV11" s="468"/>
      <c r="AW11" s="468"/>
      <c r="AX11" s="468"/>
      <c r="AY11" s="479"/>
      <c r="AZ11"/>
      <c r="BA11"/>
      <c r="BB11" s="476"/>
      <c r="BC11" s="479"/>
      <c r="BE11" s="470"/>
      <c r="BF11" s="473"/>
      <c r="BG11" s="470"/>
      <c r="BH11" s="473"/>
      <c r="BI11" s="470"/>
      <c r="BJ11" s="473"/>
    </row>
    <row r="12" spans="1:62" s="36" customFormat="1" ht="15" customHeight="1" x14ac:dyDescent="0.2">
      <c r="A12"/>
      <c r="B12" s="184" t="s">
        <v>83</v>
      </c>
      <c r="C12" s="483"/>
      <c r="D12" s="486"/>
      <c r="E12" s="483"/>
      <c r="F12" s="486"/>
      <c r="G12" s="491"/>
      <c r="H12" s="486"/>
      <c r="L12" s="36">
        <f ca="1">G15/H15</f>
        <v>-13433.814257288128</v>
      </c>
      <c r="O12" s="36" t="s">
        <v>84</v>
      </c>
      <c r="P12">
        <f>outer</f>
        <v>1000</v>
      </c>
      <c r="R12" s="477"/>
      <c r="S12" s="463"/>
      <c r="T12" s="463"/>
      <c r="U12" s="480"/>
      <c r="V12"/>
      <c r="W12"/>
      <c r="X12" s="477"/>
      <c r="Y12" s="463"/>
      <c r="Z12" s="463"/>
      <c r="AA12" s="463"/>
      <c r="AB12" s="463"/>
      <c r="AC12" s="463"/>
      <c r="AD12" s="463"/>
      <c r="AE12" s="480"/>
      <c r="AF12" s="75"/>
      <c r="AG12" s="75"/>
      <c r="AH12" s="477"/>
      <c r="AI12" s="463"/>
      <c r="AJ12" s="463"/>
      <c r="AK12" s="463"/>
      <c r="AL12" s="463"/>
      <c r="AM12" s="463"/>
      <c r="AN12" s="463"/>
      <c r="AO12" s="480"/>
      <c r="AP12" s="75"/>
      <c r="AQ12" s="75"/>
      <c r="AR12" s="477"/>
      <c r="AS12" s="463"/>
      <c r="AT12" s="463"/>
      <c r="AU12" s="463"/>
      <c r="AV12" s="463"/>
      <c r="AW12" s="463"/>
      <c r="AX12" s="463"/>
      <c r="AY12" s="480"/>
      <c r="AZ12"/>
      <c r="BA12"/>
      <c r="BB12" s="477"/>
      <c r="BC12" s="480"/>
      <c r="BE12" s="471"/>
      <c r="BF12" s="474"/>
      <c r="BG12" s="471"/>
      <c r="BH12" s="474"/>
      <c r="BI12" s="471"/>
      <c r="BJ12" s="474"/>
    </row>
    <row r="13" spans="1:62" s="36" customFormat="1" ht="15" customHeight="1" x14ac:dyDescent="0.2">
      <c r="A13"/>
      <c r="B13" s="186"/>
      <c r="C13" s="484"/>
      <c r="D13" s="487"/>
      <c r="E13" s="484"/>
      <c r="F13" s="487"/>
      <c r="G13" s="492"/>
      <c r="H13" s="487"/>
      <c r="R13" s="478"/>
      <c r="S13" s="469"/>
      <c r="T13" s="469"/>
      <c r="U13" s="481"/>
      <c r="V13"/>
      <c r="W13"/>
      <c r="X13" s="478"/>
      <c r="Y13" s="469"/>
      <c r="Z13" s="469"/>
      <c r="AA13" s="469"/>
      <c r="AB13" s="469"/>
      <c r="AC13" s="469"/>
      <c r="AD13" s="469"/>
      <c r="AE13" s="481"/>
      <c r="AF13" s="127"/>
      <c r="AG13" s="127"/>
      <c r="AH13" s="478"/>
      <c r="AI13" s="469"/>
      <c r="AJ13" s="469"/>
      <c r="AK13" s="469"/>
      <c r="AL13" s="469"/>
      <c r="AM13" s="469"/>
      <c r="AN13" s="469"/>
      <c r="AO13" s="481"/>
      <c r="AP13" s="127"/>
      <c r="AQ13" s="127"/>
      <c r="AR13" s="478"/>
      <c r="AS13" s="469"/>
      <c r="AT13" s="469"/>
      <c r="AU13" s="469"/>
      <c r="AV13" s="469"/>
      <c r="AW13" s="469"/>
      <c r="AX13" s="469"/>
      <c r="AY13" s="481"/>
      <c r="AZ13"/>
      <c r="BA13"/>
      <c r="BB13" s="478"/>
      <c r="BC13" s="481"/>
      <c r="BE13" s="472"/>
      <c r="BF13" s="475"/>
      <c r="BG13" s="472"/>
      <c r="BH13" s="475"/>
      <c r="BI13" s="472"/>
      <c r="BJ13" s="475"/>
    </row>
    <row r="14" spans="1:62" s="36" customFormat="1" ht="15" customHeight="1" x14ac:dyDescent="0.2">
      <c r="A14"/>
      <c r="C14" s="117"/>
      <c r="D14" s="64"/>
      <c r="E14" s="64"/>
      <c r="F14" s="64"/>
      <c r="G14" s="64"/>
      <c r="H14" s="64"/>
      <c r="J14" s="286">
        <v>100000</v>
      </c>
      <c r="L14" s="119" t="s">
        <v>85</v>
      </c>
      <c r="M14" s="119"/>
      <c r="N14" s="119" t="s">
        <v>86</v>
      </c>
      <c r="O14" s="119" t="s">
        <v>87</v>
      </c>
      <c r="P14" s="119" t="s">
        <v>88</v>
      </c>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s="37"/>
      <c r="BB14" s="37"/>
      <c r="BC14" s="37"/>
    </row>
    <row r="15" spans="1:62" s="36" customFormat="1" ht="15" customHeight="1" x14ac:dyDescent="0.2">
      <c r="A15"/>
      <c r="B15" s="178" t="s">
        <v>89</v>
      </c>
      <c r="C15" s="219">
        <f ca="1">over_test_cost</f>
        <v>70343.496645943873</v>
      </c>
      <c r="D15" s="179">
        <f ca="1">over_test_qalys</f>
        <v>16.204166848329301</v>
      </c>
      <c r="E15" s="225">
        <f ca="1">over_notest_cost</f>
        <v>72098.395696782725</v>
      </c>
      <c r="F15" s="179">
        <f ca="1">over_notest_qalys</f>
        <v>16.073533878628474</v>
      </c>
      <c r="G15" s="225">
        <f ca="1">C15-E15</f>
        <v>-1754.8990508388524</v>
      </c>
      <c r="H15" s="179">
        <f ca="1">D15-F15</f>
        <v>0.13063296970082661</v>
      </c>
      <c r="J15" s="119" t="s">
        <v>90</v>
      </c>
      <c r="L15" s="119" t="e">
        <f>AVERAGE(K16:K10015)</f>
        <v>#DIV/0!</v>
      </c>
      <c r="M15" s="119"/>
      <c r="N15" s="120" t="e">
        <f>AVERAGE(N16:N10014)</f>
        <v>#DIV/0!</v>
      </c>
      <c r="O15" s="120" t="e">
        <f>AVERAGE(O16:O10014)</f>
        <v>#DIV/0!</v>
      </c>
      <c r="P15" s="120" t="e">
        <f>AVERAGE(P16:P10014)</f>
        <v>#DIV/0!</v>
      </c>
      <c r="R15" s="206">
        <f>cost_assay</f>
        <v>250</v>
      </c>
      <c r="S15" s="207">
        <f>cost_couns</f>
        <v>62.5</v>
      </c>
      <c r="T15" s="207">
        <f>boc_cost_postc</f>
        <v>250</v>
      </c>
      <c r="U15" s="208">
        <f>cost_review</f>
        <v>95</v>
      </c>
      <c r="V15"/>
      <c r="W15"/>
      <c r="X15" s="206">
        <f>ppn_util_arvc</f>
        <v>0.75</v>
      </c>
      <c r="Y15" s="207">
        <f>ppn_util_fh</f>
        <v>0.75</v>
      </c>
      <c r="Z15" s="207">
        <f>ppn_util_bc</f>
        <v>0.75</v>
      </c>
      <c r="AA15" s="207">
        <f>ppn_util_hc</f>
        <v>0.75</v>
      </c>
      <c r="AB15" s="207">
        <f>ppn_util_LQTS</f>
        <v>0.75</v>
      </c>
      <c r="AC15" s="207">
        <f>ppn_util_ls</f>
        <v>0.75</v>
      </c>
      <c r="AD15" s="207">
        <f>ppn_util_mhyp</f>
        <v>0.75</v>
      </c>
      <c r="AE15" s="208">
        <f>ppn_util_rare</f>
        <v>0.75</v>
      </c>
      <c r="AF15" s="205"/>
      <c r="AG15" s="205"/>
      <c r="AH15" s="206">
        <f>pen_arvc</f>
        <v>0.875</v>
      </c>
      <c r="AI15" s="207">
        <f>pen_fh</f>
        <v>0.875</v>
      </c>
      <c r="AJ15" s="207">
        <f>pen_bc</f>
        <v>0.875</v>
      </c>
      <c r="AK15" s="207">
        <f>pen_hc</f>
        <v>0.875</v>
      </c>
      <c r="AL15" s="207">
        <f>pen_longQT</f>
        <v>0.875</v>
      </c>
      <c r="AM15" s="207">
        <f>pen_ls</f>
        <v>0.875</v>
      </c>
      <c r="AN15" s="207">
        <f>pen_mhyp</f>
        <v>0.875</v>
      </c>
      <c r="AO15" s="208">
        <f>pen_rare</f>
        <v>0.875</v>
      </c>
      <c r="AP15" s="205"/>
      <c r="AQ15" s="205"/>
      <c r="AR15" s="206">
        <f>prev_arvc</f>
        <v>8.8999999999999995E-4</v>
      </c>
      <c r="AS15" s="207">
        <f>prev_fh</f>
        <v>4.4999999999999997E-3</v>
      </c>
      <c r="AT15" s="207">
        <f>prev_bc</f>
        <v>4.9500000000000004E-3</v>
      </c>
      <c r="AU15" s="207">
        <f>prev_hc</f>
        <v>2E-3</v>
      </c>
      <c r="AV15" s="207">
        <f>prev_LQTS</f>
        <v>2E-3</v>
      </c>
      <c r="AW15" s="207">
        <f>prev_ls</f>
        <v>3.4099999999999998E-3</v>
      </c>
      <c r="AX15" s="207">
        <f>prev_mhyp</f>
        <v>4.0000000000000002E-4</v>
      </c>
      <c r="AY15" s="208">
        <f>prev_rare</f>
        <v>4.4999999999999999E-4</v>
      </c>
      <c r="AZ15" s="7"/>
      <c r="BA15" s="209"/>
      <c r="BB15" s="206">
        <f>avoid_loss</f>
        <v>0.05</v>
      </c>
      <c r="BC15" s="208">
        <f>ppn_avoid</f>
        <v>0.05</v>
      </c>
      <c r="BE15" s="269">
        <f ca="1">boc_test_cost</f>
        <v>70343.496645943873</v>
      </c>
      <c r="BF15" s="270">
        <f ca="1">boc_test_qalys</f>
        <v>16.204166848329301</v>
      </c>
      <c r="BG15" s="269">
        <f ca="1">boc_notest_cost</f>
        <v>72098.395696782725</v>
      </c>
      <c r="BH15" s="270">
        <f ca="1">boc_notest_qalys</f>
        <v>16.073533878628474</v>
      </c>
      <c r="BI15" s="269">
        <f ca="1">BE15-BG15</f>
        <v>-1754.8990508388524</v>
      </c>
      <c r="BJ15" s="270">
        <f ca="1">BF15-BH15</f>
        <v>0.13063296970082661</v>
      </c>
    </row>
    <row r="16" spans="1:62" ht="15" customHeight="1" x14ac:dyDescent="0.2">
      <c r="C16" s="121">
        <v>62197.454780731146</v>
      </c>
      <c r="D16">
        <v>18.157622355910643</v>
      </c>
      <c r="E16" s="121">
        <v>64185.224969281902</v>
      </c>
      <c r="F16" s="121">
        <v>18.043659932757233</v>
      </c>
      <c r="G16" s="121">
        <v>-1987.7701885507558</v>
      </c>
      <c r="H16" s="121">
        <v>0.11396242315340999</v>
      </c>
      <c r="J16" s="118">
        <v>0</v>
      </c>
      <c r="L16">
        <v>0.996</v>
      </c>
      <c r="N16" s="121"/>
      <c r="O16" s="121"/>
      <c r="P16" s="121"/>
      <c r="R16">
        <v>174.68946345904959</v>
      </c>
      <c r="S16">
        <v>58.215114759517704</v>
      </c>
      <c r="T16">
        <v>246.97270762265509</v>
      </c>
      <c r="U16">
        <v>96.079119691946318</v>
      </c>
      <c r="X16">
        <v>0.82900435608406253</v>
      </c>
      <c r="Y16">
        <v>0.92427259811654161</v>
      </c>
      <c r="Z16">
        <v>0.5754242641698516</v>
      </c>
      <c r="AA16">
        <v>0.68096772133285144</v>
      </c>
      <c r="AB16">
        <v>0.81431032263061509</v>
      </c>
      <c r="AC16">
        <v>0.47654386067150301</v>
      </c>
      <c r="AD16">
        <v>0.84700140551449554</v>
      </c>
      <c r="AE16">
        <v>0.90916672519021269</v>
      </c>
      <c r="AH16">
        <v>0.18679730434822028</v>
      </c>
      <c r="AI16">
        <v>5.7141237073972784E-2</v>
      </c>
      <c r="AJ16">
        <v>0.24163740504215026</v>
      </c>
      <c r="AK16">
        <v>6.6211670932397659E-2</v>
      </c>
      <c r="AL16">
        <v>3.1162646032669605E-2</v>
      </c>
      <c r="AM16">
        <v>0.11982367167932984</v>
      </c>
      <c r="AN16">
        <v>0.15864056098805568</v>
      </c>
      <c r="AO16">
        <v>6.5159689910944119E-2</v>
      </c>
      <c r="AR16">
        <v>9.5889340073207485E-4</v>
      </c>
      <c r="AS16">
        <v>4.5682909546683748E-3</v>
      </c>
      <c r="AT16">
        <v>5.0291008506455626E-3</v>
      </c>
      <c r="AU16">
        <v>1.9065589330474907E-3</v>
      </c>
      <c r="AV16">
        <v>1.9761284629427078E-3</v>
      </c>
      <c r="AW16">
        <v>3.6500142354513043E-3</v>
      </c>
      <c r="AX16">
        <v>3.8914832481136267E-4</v>
      </c>
      <c r="AY16">
        <v>4.4826321880953035E-4</v>
      </c>
      <c r="AZ16" s="75"/>
      <c r="BA16" s="75"/>
      <c r="BB16" s="36">
        <v>4.6618655983630075E-2</v>
      </c>
      <c r="BC16">
        <v>4.5246121462657614E-2</v>
      </c>
      <c r="BE16">
        <v>62197.454780731146</v>
      </c>
      <c r="BF16">
        <v>18.157622355910643</v>
      </c>
      <c r="BG16">
        <v>64185.224969281902</v>
      </c>
      <c r="BH16">
        <v>18.043659932757233</v>
      </c>
      <c r="BI16">
        <v>-1987.7701885507558</v>
      </c>
      <c r="BJ16">
        <v>0.11396242315340999</v>
      </c>
    </row>
    <row r="17" spans="3:62" ht="15" customHeight="1" x14ac:dyDescent="0.2">
      <c r="C17" s="121">
        <v>71988.722745376188</v>
      </c>
      <c r="D17">
        <v>14.223124769048479</v>
      </c>
      <c r="E17" s="121">
        <v>73566.929559679236</v>
      </c>
      <c r="F17" s="121">
        <v>14.15736610489633</v>
      </c>
      <c r="G17" s="121">
        <v>-1578.2068143030483</v>
      </c>
      <c r="H17" s="121">
        <v>6.5758664152149038E-2</v>
      </c>
      <c r="J17" s="118">
        <v>100</v>
      </c>
      <c r="L17">
        <v>0.996</v>
      </c>
      <c r="N17" s="121"/>
      <c r="O17" s="121"/>
      <c r="P17" s="121"/>
      <c r="R17">
        <v>229.64372027118992</v>
      </c>
      <c r="S17">
        <v>60.783489551481999</v>
      </c>
      <c r="T17">
        <v>254.84499759753143</v>
      </c>
      <c r="U17">
        <v>103.33733017946774</v>
      </c>
      <c r="X17">
        <v>0.82026968890573981</v>
      </c>
      <c r="Y17">
        <v>0.5363214523782095</v>
      </c>
      <c r="Z17">
        <v>0.7172132761338762</v>
      </c>
      <c r="AA17">
        <v>0.6925079149850959</v>
      </c>
      <c r="AB17">
        <v>0.90613818583071093</v>
      </c>
      <c r="AC17">
        <v>0.93838843710417463</v>
      </c>
      <c r="AD17">
        <v>0.79916304610520772</v>
      </c>
      <c r="AE17">
        <v>0.85423787791011885</v>
      </c>
      <c r="AH17">
        <v>0.18883955330639846</v>
      </c>
      <c r="AI17">
        <v>7.2820768464753827E-2</v>
      </c>
      <c r="AJ17">
        <v>3.5754105130629821E-2</v>
      </c>
      <c r="AK17">
        <v>3.3852220646647724E-2</v>
      </c>
      <c r="AL17">
        <v>8.2958793922121021E-2</v>
      </c>
      <c r="AM17">
        <v>0.11061376128067824</v>
      </c>
      <c r="AN17">
        <v>0.12009157814825988</v>
      </c>
      <c r="AO17">
        <v>0.10735170310976483</v>
      </c>
      <c r="AR17">
        <v>8.6361089133929947E-4</v>
      </c>
      <c r="AS17">
        <v>4.4757076503418609E-3</v>
      </c>
      <c r="AT17">
        <v>4.9102203645618146E-3</v>
      </c>
      <c r="AU17">
        <v>1.7781856369303213E-3</v>
      </c>
      <c r="AV17">
        <v>1.9581777032646728E-3</v>
      </c>
      <c r="AW17">
        <v>3.4341372292349126E-3</v>
      </c>
      <c r="AX17">
        <v>3.5295278085618789E-4</v>
      </c>
      <c r="AY17">
        <v>4.0165945263511424E-4</v>
      </c>
      <c r="AZ17" s="75"/>
      <c r="BA17" s="75"/>
      <c r="BB17">
        <v>4.8556334081141343E-2</v>
      </c>
      <c r="BC17">
        <v>3.9890528093703165E-2</v>
      </c>
      <c r="BE17">
        <v>71988.722745376188</v>
      </c>
      <c r="BF17">
        <v>14.223124769048479</v>
      </c>
      <c r="BG17">
        <v>73566.929559679236</v>
      </c>
      <c r="BH17">
        <v>14.15736610489633</v>
      </c>
      <c r="BI17">
        <v>-1578.2068143030483</v>
      </c>
      <c r="BJ17">
        <v>6.5758664152149038E-2</v>
      </c>
    </row>
    <row r="18" spans="3:62" ht="15" customHeight="1" x14ac:dyDescent="0.2">
      <c r="C18" s="121">
        <v>75642.966377543693</v>
      </c>
      <c r="D18">
        <v>14.750708747996926</v>
      </c>
      <c r="E18" s="121">
        <v>77832.369457293185</v>
      </c>
      <c r="F18" s="121">
        <v>14.566309817904973</v>
      </c>
      <c r="G18" s="121">
        <v>-2189.4030797494925</v>
      </c>
      <c r="H18" s="121">
        <v>0.18439893009195352</v>
      </c>
      <c r="J18" s="118">
        <v>200</v>
      </c>
      <c r="L18">
        <v>0.996</v>
      </c>
      <c r="N18" s="121"/>
      <c r="O18" s="121"/>
      <c r="P18" s="121"/>
      <c r="R18">
        <v>282.58108316013352</v>
      </c>
      <c r="S18">
        <v>64.916816070047005</v>
      </c>
      <c r="T18">
        <v>238.02917840829244</v>
      </c>
      <c r="U18">
        <v>92.589859573810912</v>
      </c>
      <c r="X18">
        <v>0.88355988792477813</v>
      </c>
      <c r="Y18">
        <v>0.79050911542548719</v>
      </c>
      <c r="Z18">
        <v>0.7774165271250405</v>
      </c>
      <c r="AA18">
        <v>0.52542384135637599</v>
      </c>
      <c r="AB18">
        <v>0.78590947288703628</v>
      </c>
      <c r="AC18">
        <v>0.54665704185660957</v>
      </c>
      <c r="AD18">
        <v>0.74313388098034783</v>
      </c>
      <c r="AE18">
        <v>0.70079482436052987</v>
      </c>
      <c r="AH18">
        <v>9.2087706419110904E-2</v>
      </c>
      <c r="AI18">
        <v>0.17174012727946553</v>
      </c>
      <c r="AJ18">
        <v>0.16028952067574265</v>
      </c>
      <c r="AK18">
        <v>6.8173277792380027E-2</v>
      </c>
      <c r="AL18">
        <v>6.2494848932294955E-2</v>
      </c>
      <c r="AM18">
        <v>0.11804097059668361</v>
      </c>
      <c r="AN18">
        <v>8.7724238030492563E-2</v>
      </c>
      <c r="AO18">
        <v>0.26182828195514229</v>
      </c>
      <c r="AR18">
        <v>8.875188269080736E-4</v>
      </c>
      <c r="AS18">
        <v>4.35747097622059E-3</v>
      </c>
      <c r="AT18">
        <v>4.8203359201960368E-3</v>
      </c>
      <c r="AU18">
        <v>1.9743290565641426E-3</v>
      </c>
      <c r="AV18">
        <v>1.9940623033388618E-3</v>
      </c>
      <c r="AW18">
        <v>3.2723615125996221E-3</v>
      </c>
      <c r="AX18">
        <v>3.5373071005363765E-4</v>
      </c>
      <c r="AY18">
        <v>5.3204516742288988E-4</v>
      </c>
      <c r="AZ18" s="75"/>
      <c r="BA18" s="75"/>
      <c r="BB18">
        <v>5.9287568631159138E-2</v>
      </c>
      <c r="BC18">
        <v>3.1890381170748897E-2</v>
      </c>
      <c r="BE18">
        <v>75642.966377543693</v>
      </c>
      <c r="BF18">
        <v>14.750708747996926</v>
      </c>
      <c r="BG18">
        <v>77832.369457293185</v>
      </c>
      <c r="BH18">
        <v>14.566309817904973</v>
      </c>
      <c r="BI18">
        <v>-2189.4030797494925</v>
      </c>
      <c r="BJ18">
        <v>0.18439893009195352</v>
      </c>
    </row>
    <row r="19" spans="3:62" ht="15" customHeight="1" x14ac:dyDescent="0.2">
      <c r="C19" s="121">
        <v>69129.642288291259</v>
      </c>
      <c r="D19">
        <v>17.553080470203412</v>
      </c>
      <c r="E19" s="121">
        <v>71298.660054913387</v>
      </c>
      <c r="F19" s="121">
        <v>17.401125807349199</v>
      </c>
      <c r="G19" s="121">
        <v>-2169.017766622128</v>
      </c>
      <c r="H19" s="121">
        <v>0.15195466285421233</v>
      </c>
      <c r="J19" s="118">
        <v>300</v>
      </c>
      <c r="L19">
        <v>0.996</v>
      </c>
      <c r="N19" s="121"/>
      <c r="O19" s="121"/>
      <c r="P19" s="121"/>
      <c r="R19">
        <v>121.32039177882797</v>
      </c>
      <c r="S19">
        <v>60.413497739744479</v>
      </c>
      <c r="T19">
        <v>255.94478420224615</v>
      </c>
      <c r="U19">
        <v>113.54680336075904</v>
      </c>
      <c r="X19">
        <v>0.78691613646972203</v>
      </c>
      <c r="Y19">
        <v>0.78134162738491308</v>
      </c>
      <c r="Z19">
        <v>0.7186786179439727</v>
      </c>
      <c r="AA19">
        <v>0.50135491259352183</v>
      </c>
      <c r="AB19">
        <v>0.70790607887531332</v>
      </c>
      <c r="AC19">
        <v>0.82461057133665183</v>
      </c>
      <c r="AD19">
        <v>0.70694297499578085</v>
      </c>
      <c r="AE19">
        <v>0.64139663725467977</v>
      </c>
      <c r="AH19">
        <v>5.1650481472636955E-2</v>
      </c>
      <c r="AI19">
        <v>0.15146490642995192</v>
      </c>
      <c r="AJ19">
        <v>8.7445671428360239E-2</v>
      </c>
      <c r="AK19">
        <v>0.24412740803836819</v>
      </c>
      <c r="AL19">
        <v>0.25737400073326766</v>
      </c>
      <c r="AM19">
        <v>0.31129654522118888</v>
      </c>
      <c r="AN19">
        <v>9.9177614753012566E-2</v>
      </c>
      <c r="AO19">
        <v>0.1532963778475871</v>
      </c>
      <c r="AR19">
        <v>7.4980592700999728E-4</v>
      </c>
      <c r="AS19">
        <v>4.3404494027967132E-3</v>
      </c>
      <c r="AT19">
        <v>5.269650945478932E-3</v>
      </c>
      <c r="AU19">
        <v>2.1417183693854813E-3</v>
      </c>
      <c r="AV19">
        <v>1.8814263040927387E-3</v>
      </c>
      <c r="AW19">
        <v>3.3603026804651976E-3</v>
      </c>
      <c r="AX19">
        <v>3.9491134570705409E-4</v>
      </c>
      <c r="AY19">
        <v>4.5842213574953661E-4</v>
      </c>
      <c r="AZ19" s="75"/>
      <c r="BA19" s="75"/>
      <c r="BB19">
        <v>5.1561964423669893E-2</v>
      </c>
      <c r="BC19">
        <v>2.6168383595505024E-2</v>
      </c>
      <c r="BE19">
        <v>69129.642288291259</v>
      </c>
      <c r="BF19">
        <v>17.553080470203412</v>
      </c>
      <c r="BG19">
        <v>71298.660054913387</v>
      </c>
      <c r="BH19">
        <v>17.401125807349199</v>
      </c>
      <c r="BI19">
        <v>-2169.017766622128</v>
      </c>
      <c r="BJ19">
        <v>0.15195466285421233</v>
      </c>
    </row>
    <row r="20" spans="3:62" ht="15" customHeight="1" x14ac:dyDescent="0.2">
      <c r="C20" s="121">
        <v>76786.395696248423</v>
      </c>
      <c r="D20">
        <v>15.122086004504562</v>
      </c>
      <c r="E20" s="121">
        <v>78347.923369620621</v>
      </c>
      <c r="F20" s="121">
        <v>15.007423668216575</v>
      </c>
      <c r="G20" s="121">
        <v>-1561.5276733721985</v>
      </c>
      <c r="H20" s="121">
        <v>0.11466233628798683</v>
      </c>
      <c r="J20" s="118">
        <v>400</v>
      </c>
      <c r="L20">
        <v>0.996</v>
      </c>
      <c r="N20" s="121"/>
      <c r="O20" s="121"/>
      <c r="P20" s="121"/>
      <c r="R20">
        <v>209.18768493990885</v>
      </c>
      <c r="S20">
        <v>60.980085031850599</v>
      </c>
      <c r="T20">
        <v>268.93453369216377</v>
      </c>
      <c r="U20">
        <v>108.06645228860108</v>
      </c>
      <c r="X20">
        <v>0.56859782657969671</v>
      </c>
      <c r="Y20">
        <v>0.92477419568623731</v>
      </c>
      <c r="Z20">
        <v>0.68561533002455366</v>
      </c>
      <c r="AA20">
        <v>0.651025802248968</v>
      </c>
      <c r="AB20">
        <v>0.84657747573401809</v>
      </c>
      <c r="AC20">
        <v>0.76990192466482754</v>
      </c>
      <c r="AD20">
        <v>0.65849528895387743</v>
      </c>
      <c r="AE20">
        <v>0.76926058567167555</v>
      </c>
      <c r="AH20">
        <v>0.13362763959037938</v>
      </c>
      <c r="AI20">
        <v>0.10428635724387469</v>
      </c>
      <c r="AJ20">
        <v>0.11138894156516932</v>
      </c>
      <c r="AK20">
        <v>0.10969135949871034</v>
      </c>
      <c r="AL20">
        <v>0.13022693721717105</v>
      </c>
      <c r="AM20">
        <v>5.7440141590349381E-2</v>
      </c>
      <c r="AN20">
        <v>0.29294945837258657</v>
      </c>
      <c r="AO20">
        <v>3.1477089648978773E-2</v>
      </c>
      <c r="AR20">
        <v>8.1663200137952439E-4</v>
      </c>
      <c r="AS20">
        <v>4.2645210968700921E-3</v>
      </c>
      <c r="AT20">
        <v>4.8519774443934139E-3</v>
      </c>
      <c r="AU20">
        <v>2.4563474240802963E-3</v>
      </c>
      <c r="AV20">
        <v>1.9513144585824821E-3</v>
      </c>
      <c r="AW20">
        <v>3.386664265785357E-3</v>
      </c>
      <c r="AX20">
        <v>4.7877731215306696E-4</v>
      </c>
      <c r="AY20">
        <v>4.812118064366766E-4</v>
      </c>
      <c r="AZ20" s="75"/>
      <c r="BA20" s="75"/>
      <c r="BB20">
        <v>4.8596194619494E-2</v>
      </c>
      <c r="BC20">
        <v>2.9948307882982483E-2</v>
      </c>
      <c r="BE20">
        <v>76786.395696248423</v>
      </c>
      <c r="BF20">
        <v>15.122086004504562</v>
      </c>
      <c r="BG20">
        <v>78347.923369620621</v>
      </c>
      <c r="BH20">
        <v>15.007423668216575</v>
      </c>
      <c r="BI20">
        <v>-1561.5276733721985</v>
      </c>
      <c r="BJ20">
        <v>0.11466233628798683</v>
      </c>
    </row>
    <row r="21" spans="3:62" ht="15" customHeight="1" x14ac:dyDescent="0.2">
      <c r="C21" s="121">
        <v>76139.476772045382</v>
      </c>
      <c r="D21">
        <v>15.203083738075128</v>
      </c>
      <c r="E21" s="121">
        <v>77520.924552973098</v>
      </c>
      <c r="F21" s="121">
        <v>15.095609851013851</v>
      </c>
      <c r="G21" s="121">
        <v>-1381.4477809277159</v>
      </c>
      <c r="H21" s="121">
        <v>0.10747388706127659</v>
      </c>
      <c r="J21" s="118">
        <v>500</v>
      </c>
      <c r="L21">
        <v>0.996</v>
      </c>
      <c r="N21" s="121"/>
      <c r="O21" s="121"/>
      <c r="P21" s="121"/>
      <c r="R21">
        <v>460.04625744086843</v>
      </c>
      <c r="S21">
        <v>64.058417479430062</v>
      </c>
      <c r="T21">
        <v>280.30852551681301</v>
      </c>
      <c r="U21">
        <v>106.05471217620484</v>
      </c>
      <c r="X21">
        <v>0.931272978508348</v>
      </c>
      <c r="Y21">
        <v>0.63930797466280209</v>
      </c>
      <c r="Z21">
        <v>0.85501805386706964</v>
      </c>
      <c r="AA21">
        <v>0.65017888852214256</v>
      </c>
      <c r="AB21">
        <v>0.59846207221832692</v>
      </c>
      <c r="AC21">
        <v>0.77107636784649713</v>
      </c>
      <c r="AD21">
        <v>0.75037045810542757</v>
      </c>
      <c r="AE21">
        <v>0.88579972108598581</v>
      </c>
      <c r="AH21">
        <v>0.17484353990909407</v>
      </c>
      <c r="AI21">
        <v>0.2155487485140789</v>
      </c>
      <c r="AJ21">
        <v>9.879453333627497E-3</v>
      </c>
      <c r="AK21">
        <v>6.551627334953225E-2</v>
      </c>
      <c r="AL21">
        <v>0.15124949110967201</v>
      </c>
      <c r="AM21">
        <v>0.21070454077244738</v>
      </c>
      <c r="AN21">
        <v>0.14867820361874773</v>
      </c>
      <c r="AO21">
        <v>4.9112252463857198E-2</v>
      </c>
      <c r="AR21">
        <v>1.0645979054481058E-3</v>
      </c>
      <c r="AS21">
        <v>4.7314212233747766E-3</v>
      </c>
      <c r="AT21">
        <v>5.4588411206006882E-3</v>
      </c>
      <c r="AU21">
        <v>2.0530333844130944E-3</v>
      </c>
      <c r="AV21">
        <v>1.917440547034605E-3</v>
      </c>
      <c r="AW21">
        <v>3.7606718535323491E-3</v>
      </c>
      <c r="AX21">
        <v>3.1967745654725056E-4</v>
      </c>
      <c r="AY21">
        <v>3.6336333099230172E-4</v>
      </c>
      <c r="BB21">
        <v>6.175179540085185E-2</v>
      </c>
      <c r="BC21">
        <v>6.1114750456837008E-2</v>
      </c>
      <c r="BE21">
        <v>76139.476772045382</v>
      </c>
      <c r="BF21">
        <v>15.203083738075128</v>
      </c>
      <c r="BG21">
        <v>77520.924552973098</v>
      </c>
      <c r="BH21">
        <v>15.095609851013851</v>
      </c>
      <c r="BI21">
        <v>-1381.4477809277159</v>
      </c>
      <c r="BJ21">
        <v>0.10747388706127659</v>
      </c>
    </row>
    <row r="22" spans="3:62" ht="15" customHeight="1" x14ac:dyDescent="0.2">
      <c r="C22" s="121">
        <v>70801.699560499983</v>
      </c>
      <c r="D22">
        <v>14.940744509390985</v>
      </c>
      <c r="E22" s="121">
        <v>72319.768421824454</v>
      </c>
      <c r="F22" s="121">
        <v>14.797781628124074</v>
      </c>
      <c r="G22" s="121">
        <v>-1518.0688613244711</v>
      </c>
      <c r="H22" s="121">
        <v>0.14296288126691081</v>
      </c>
      <c r="J22" s="118">
        <v>600</v>
      </c>
      <c r="L22">
        <v>0.997</v>
      </c>
      <c r="N22" s="118"/>
      <c r="O22" s="122"/>
      <c r="P22" s="121"/>
      <c r="R22">
        <v>174.73867070671906</v>
      </c>
      <c r="S22">
        <v>69.135471062449213</v>
      </c>
      <c r="T22">
        <v>289.09309034970687</v>
      </c>
      <c r="U22">
        <v>107.80925361095925</v>
      </c>
      <c r="X22">
        <v>0.85900464001355537</v>
      </c>
      <c r="Y22">
        <v>0.78620956985994295</v>
      </c>
      <c r="Z22">
        <v>0.74944530337061832</v>
      </c>
      <c r="AA22">
        <v>0.87912994437569547</v>
      </c>
      <c r="AB22">
        <v>0.73652540498608887</v>
      </c>
      <c r="AC22">
        <v>0.84992355877703563</v>
      </c>
      <c r="AD22">
        <v>0.72215815389658222</v>
      </c>
      <c r="AE22">
        <v>0.68359955176620657</v>
      </c>
      <c r="AH22">
        <v>6.912308721493754E-2</v>
      </c>
      <c r="AI22">
        <v>0.21292348737903555</v>
      </c>
      <c r="AJ22">
        <v>0.10992994110396737</v>
      </c>
      <c r="AK22">
        <v>4.7489539600709119E-2</v>
      </c>
      <c r="AL22">
        <v>6.2753497354025356E-2</v>
      </c>
      <c r="AM22">
        <v>7.5733456230820395E-2</v>
      </c>
      <c r="AN22">
        <v>1.8938262966000763E-2</v>
      </c>
      <c r="AO22">
        <v>0.12104925355224205</v>
      </c>
      <c r="AR22">
        <v>1.0290898539163651E-3</v>
      </c>
      <c r="AS22">
        <v>4.5370713634637072E-3</v>
      </c>
      <c r="AT22">
        <v>4.8714088770104432E-3</v>
      </c>
      <c r="AU22">
        <v>2.0083149568772551E-3</v>
      </c>
      <c r="AV22">
        <v>1.9271382689652818E-3</v>
      </c>
      <c r="AW22">
        <v>3.2499306075107364E-3</v>
      </c>
      <c r="AX22">
        <v>3.7552049930826136E-4</v>
      </c>
      <c r="AY22">
        <v>5.1267430033941075E-4</v>
      </c>
      <c r="BB22">
        <v>4.6092097948851052E-2</v>
      </c>
      <c r="BC22">
        <v>5.1929414102747207E-2</v>
      </c>
      <c r="BE22">
        <v>70801.699560499983</v>
      </c>
      <c r="BF22">
        <v>14.940744509390985</v>
      </c>
      <c r="BG22">
        <v>72319.768421824454</v>
      </c>
      <c r="BH22">
        <v>14.797781628124074</v>
      </c>
      <c r="BI22">
        <v>-1518.0688613244711</v>
      </c>
      <c r="BJ22">
        <v>0.14296288126691081</v>
      </c>
    </row>
    <row r="23" spans="3:62" ht="15" customHeight="1" x14ac:dyDescent="0.2">
      <c r="C23" s="121">
        <v>75442.919718390825</v>
      </c>
      <c r="D23">
        <v>15.279035566041392</v>
      </c>
      <c r="E23" s="121">
        <v>77267.327157530148</v>
      </c>
      <c r="F23" s="121">
        <v>15.1243413283875</v>
      </c>
      <c r="G23" s="121">
        <v>-1824.4074391393224</v>
      </c>
      <c r="H23" s="121">
        <v>0.15469423765389223</v>
      </c>
      <c r="J23" s="118">
        <v>700</v>
      </c>
      <c r="L23">
        <v>0.997</v>
      </c>
      <c r="N23" s="118"/>
      <c r="O23" s="122"/>
      <c r="P23" s="121"/>
      <c r="R23">
        <v>494.30826023992893</v>
      </c>
      <c r="S23">
        <v>71.190670376455813</v>
      </c>
      <c r="T23">
        <v>220.69859325585381</v>
      </c>
      <c r="U23">
        <v>112.62307902340392</v>
      </c>
      <c r="X23">
        <v>0.91618312867473095</v>
      </c>
      <c r="Y23">
        <v>0.91714195541337606</v>
      </c>
      <c r="Z23">
        <v>0.51682176655231515</v>
      </c>
      <c r="AA23">
        <v>0.81864641667631355</v>
      </c>
      <c r="AB23">
        <v>0.76106412348030483</v>
      </c>
      <c r="AC23">
        <v>0.75147726444648655</v>
      </c>
      <c r="AD23">
        <v>0.75848659826886433</v>
      </c>
      <c r="AE23">
        <v>0.8802561644195348</v>
      </c>
      <c r="AH23">
        <v>0.16396445226587941</v>
      </c>
      <c r="AI23">
        <v>0.10364824698828345</v>
      </c>
      <c r="AJ23">
        <v>0.11154252759509853</v>
      </c>
      <c r="AK23">
        <v>7.5430600762947053E-2</v>
      </c>
      <c r="AL23">
        <v>0.19709370533765536</v>
      </c>
      <c r="AM23">
        <v>3.5741931346694344E-2</v>
      </c>
      <c r="AN23">
        <v>2.5266130601332426E-2</v>
      </c>
      <c r="AO23">
        <v>1.0833387449816101E-2</v>
      </c>
      <c r="AR23">
        <v>7.8647813287103575E-4</v>
      </c>
      <c r="AS23">
        <v>4.2907271068620056E-3</v>
      </c>
      <c r="AT23">
        <v>4.7717215633808069E-3</v>
      </c>
      <c r="AU23">
        <v>2.111830657320013E-3</v>
      </c>
      <c r="AV23">
        <v>1.936850819286226E-3</v>
      </c>
      <c r="AW23">
        <v>3.6444067407856995E-3</v>
      </c>
      <c r="AX23">
        <v>3.8950639950697754E-4</v>
      </c>
      <c r="AY23">
        <v>5.2622899537591028E-4</v>
      </c>
      <c r="BB23">
        <v>3.5758453269007416E-2</v>
      </c>
      <c r="BC23">
        <v>2.6250558993353441E-2</v>
      </c>
      <c r="BE23">
        <v>75442.919718390825</v>
      </c>
      <c r="BF23">
        <v>15.279035566041392</v>
      </c>
      <c r="BG23">
        <v>77267.327157530148</v>
      </c>
      <c r="BH23">
        <v>15.1243413283875</v>
      </c>
      <c r="BI23">
        <v>-1824.4074391393224</v>
      </c>
      <c r="BJ23">
        <v>0.15469423765389223</v>
      </c>
    </row>
    <row r="24" spans="3:62" ht="15" customHeight="1" x14ac:dyDescent="0.2">
      <c r="C24" s="121">
        <v>76016.555356205354</v>
      </c>
      <c r="D24">
        <v>16.07837681579786</v>
      </c>
      <c r="E24" s="121">
        <v>78602.237095395496</v>
      </c>
      <c r="F24" s="121">
        <v>15.899297629567002</v>
      </c>
      <c r="G24" s="121">
        <v>-2585.6817391901423</v>
      </c>
      <c r="H24" s="121">
        <v>0.17907918623085806</v>
      </c>
      <c r="J24" s="118">
        <v>800</v>
      </c>
      <c r="L24">
        <v>0.997</v>
      </c>
      <c r="N24" s="118"/>
      <c r="O24" s="122"/>
      <c r="P24" s="121"/>
      <c r="R24">
        <v>206.37719950126484</v>
      </c>
      <c r="S24">
        <v>69.665908526723626</v>
      </c>
      <c r="T24">
        <v>284.83124733737122</v>
      </c>
      <c r="U24">
        <v>85.90181452208914</v>
      </c>
      <c r="X24">
        <v>0.7567568291995953</v>
      </c>
      <c r="Y24">
        <v>0.25295931726069087</v>
      </c>
      <c r="Z24">
        <v>0.53795834955205146</v>
      </c>
      <c r="AA24">
        <v>0.80940563021718448</v>
      </c>
      <c r="AB24">
        <v>0.93629101271504944</v>
      </c>
      <c r="AC24">
        <v>0.73808062750345527</v>
      </c>
      <c r="AD24">
        <v>0.90308836779291579</v>
      </c>
      <c r="AE24">
        <v>0.88282871225075366</v>
      </c>
      <c r="AH24">
        <v>0.19745535326357666</v>
      </c>
      <c r="AI24">
        <v>6.5572353714830389E-2</v>
      </c>
      <c r="AJ24">
        <v>8.6529254707649939E-2</v>
      </c>
      <c r="AK24">
        <v>7.2037666559868763E-2</v>
      </c>
      <c r="AL24">
        <v>0.10378344459326971</v>
      </c>
      <c r="AM24">
        <v>0.12834093944386837</v>
      </c>
      <c r="AN24">
        <v>8.0849804210589515E-2</v>
      </c>
      <c r="AO24">
        <v>0.12679601293030773</v>
      </c>
      <c r="AR24">
        <v>1.0579972497076762E-3</v>
      </c>
      <c r="AS24">
        <v>4.7684631129002453E-3</v>
      </c>
      <c r="AT24">
        <v>5.1867716278335418E-3</v>
      </c>
      <c r="AU24">
        <v>2.0508310156630571E-3</v>
      </c>
      <c r="AV24">
        <v>1.8934909045985071E-3</v>
      </c>
      <c r="AW24">
        <v>3.1658180412903695E-3</v>
      </c>
      <c r="AX24">
        <v>5.0925444709115641E-4</v>
      </c>
      <c r="AY24">
        <v>5.3292112230496347E-4</v>
      </c>
      <c r="BB24">
        <v>4.3656084170224908E-2</v>
      </c>
      <c r="BC24">
        <v>3.4872770241827215E-2</v>
      </c>
      <c r="BE24">
        <v>76016.555356205354</v>
      </c>
      <c r="BF24">
        <v>16.07837681579786</v>
      </c>
      <c r="BG24">
        <v>78602.237095395496</v>
      </c>
      <c r="BH24">
        <v>15.899297629567002</v>
      </c>
      <c r="BI24">
        <v>-2585.6817391901423</v>
      </c>
      <c r="BJ24">
        <v>0.17907918623085806</v>
      </c>
    </row>
    <row r="25" spans="3:62" ht="15" customHeight="1" x14ac:dyDescent="0.2">
      <c r="C25" s="121">
        <v>69566.370745559208</v>
      </c>
      <c r="D25">
        <v>15.366788016175176</v>
      </c>
      <c r="E25" s="121">
        <v>72023.24263698225</v>
      </c>
      <c r="F25" s="121">
        <v>15.172095262558985</v>
      </c>
      <c r="G25" s="121">
        <v>-2456.8718914230412</v>
      </c>
      <c r="H25" s="121">
        <v>0.19469275361619154</v>
      </c>
      <c r="J25" s="118">
        <v>900</v>
      </c>
      <c r="L25">
        <v>0.997</v>
      </c>
      <c r="N25" s="118"/>
      <c r="O25" s="122"/>
      <c r="P25" s="121"/>
      <c r="R25">
        <v>244.91226413162062</v>
      </c>
      <c r="S25">
        <v>67.934644371408638</v>
      </c>
      <c r="T25">
        <v>258.80106911891511</v>
      </c>
      <c r="U25">
        <v>92.972834493610023</v>
      </c>
      <c r="X25">
        <v>0.89759544257127954</v>
      </c>
      <c r="Y25">
        <v>0.86423259109996819</v>
      </c>
      <c r="Z25">
        <v>0.75942330616109077</v>
      </c>
      <c r="AA25">
        <v>0.77952608534073509</v>
      </c>
      <c r="AB25">
        <v>0.50733084193065903</v>
      </c>
      <c r="AC25">
        <v>0.82386949579795199</v>
      </c>
      <c r="AD25">
        <v>0.5643087550654402</v>
      </c>
      <c r="AE25">
        <v>0.74775596464614147</v>
      </c>
      <c r="AH25">
        <v>7.9935523252397611E-2</v>
      </c>
      <c r="AI25">
        <v>0.25328831213767522</v>
      </c>
      <c r="AJ25">
        <v>3.3191558104754271E-2</v>
      </c>
      <c r="AK25">
        <v>0.11971809462310434</v>
      </c>
      <c r="AL25">
        <v>0.10080625072976757</v>
      </c>
      <c r="AM25">
        <v>6.6943968700866496E-2</v>
      </c>
      <c r="AN25">
        <v>0.16352224689159733</v>
      </c>
      <c r="AO25">
        <v>0.10748600804109065</v>
      </c>
      <c r="AR25">
        <v>8.7286367199145367E-4</v>
      </c>
      <c r="AS25">
        <v>4.4745324935494867E-3</v>
      </c>
      <c r="AT25">
        <v>4.8913748994893983E-3</v>
      </c>
      <c r="AU25">
        <v>1.8378852245832657E-3</v>
      </c>
      <c r="AV25">
        <v>1.847122208178102E-3</v>
      </c>
      <c r="AW25">
        <v>3.4682509699178743E-3</v>
      </c>
      <c r="AX25">
        <v>3.2018460050705001E-4</v>
      </c>
      <c r="AY25">
        <v>5.3788930016940295E-4</v>
      </c>
      <c r="BB25">
        <v>5.4310963193668238E-2</v>
      </c>
      <c r="BC25">
        <v>5.0340392839902659E-2</v>
      </c>
      <c r="BE25">
        <v>69566.370745559208</v>
      </c>
      <c r="BF25">
        <v>15.366788016175176</v>
      </c>
      <c r="BG25">
        <v>72023.24263698225</v>
      </c>
      <c r="BH25">
        <v>15.172095262558985</v>
      </c>
      <c r="BI25">
        <v>-2456.8718914230412</v>
      </c>
      <c r="BJ25">
        <v>0.19469275361619154</v>
      </c>
    </row>
    <row r="26" spans="3:62" ht="15" customHeight="1" x14ac:dyDescent="0.2">
      <c r="C26" s="121">
        <v>68376.07919012339</v>
      </c>
      <c r="D26">
        <v>16.409807245441499</v>
      </c>
      <c r="E26" s="121">
        <v>70258.776248329901</v>
      </c>
      <c r="F26" s="121">
        <v>16.295689413890869</v>
      </c>
      <c r="G26" s="121">
        <v>-1882.6970582065114</v>
      </c>
      <c r="H26" s="121">
        <v>0.11411783155062949</v>
      </c>
      <c r="J26" s="118">
        <v>1000</v>
      </c>
      <c r="L26">
        <v>0.997</v>
      </c>
      <c r="N26" s="118"/>
      <c r="O26" s="122"/>
      <c r="P26" s="121"/>
      <c r="R26">
        <v>252.50458567444858</v>
      </c>
      <c r="S26">
        <v>50.359638360777232</v>
      </c>
      <c r="T26">
        <v>213.99383804355796</v>
      </c>
      <c r="U26">
        <v>100.47055951135897</v>
      </c>
      <c r="X26">
        <v>0.67581692691489892</v>
      </c>
      <c r="Y26">
        <v>0.81527030967605962</v>
      </c>
      <c r="Z26">
        <v>0.78666957004619487</v>
      </c>
      <c r="AA26">
        <v>0.56657792116007766</v>
      </c>
      <c r="AB26">
        <v>0.89778574815721424</v>
      </c>
      <c r="AC26">
        <v>0.90935879901696293</v>
      </c>
      <c r="AD26">
        <v>0.43526679517596911</v>
      </c>
      <c r="AE26">
        <v>0.7260133242390483</v>
      </c>
      <c r="AH26">
        <v>0.16175520638064889</v>
      </c>
      <c r="AI26">
        <v>0.30024600658353451</v>
      </c>
      <c r="AJ26">
        <v>5.7784995303109987E-2</v>
      </c>
      <c r="AK26">
        <v>0.14747981977444491</v>
      </c>
      <c r="AL26">
        <v>0.27280088945523906</v>
      </c>
      <c r="AM26">
        <v>3.8968849799930205E-2</v>
      </c>
      <c r="AN26">
        <v>5.7725614491988431E-2</v>
      </c>
      <c r="AO26">
        <v>9.6185400318954506E-2</v>
      </c>
      <c r="AR26">
        <v>7.3078262263328003E-4</v>
      </c>
      <c r="AS26">
        <v>4.3876017217618791E-3</v>
      </c>
      <c r="AT26">
        <v>4.6308025874423559E-3</v>
      </c>
      <c r="AU26">
        <v>2.0482202178255804E-3</v>
      </c>
      <c r="AV26">
        <v>1.9041167139197427E-3</v>
      </c>
      <c r="AW26">
        <v>3.5638183219056652E-3</v>
      </c>
      <c r="AX26">
        <v>3.9360147791279472E-4</v>
      </c>
      <c r="AY26">
        <v>4.2787844553240402E-4</v>
      </c>
      <c r="BB26">
        <v>4.5192628860277917E-2</v>
      </c>
      <c r="BC26">
        <v>3.9775268858316899E-2</v>
      </c>
      <c r="BE26">
        <v>68376.07919012339</v>
      </c>
      <c r="BF26">
        <v>16.409807245441499</v>
      </c>
      <c r="BG26">
        <v>70258.776248329901</v>
      </c>
      <c r="BH26">
        <v>16.295689413890869</v>
      </c>
      <c r="BI26">
        <v>-1882.6970582065114</v>
      </c>
      <c r="BJ26">
        <v>0.11411783155062949</v>
      </c>
    </row>
    <row r="27" spans="3:62" ht="15" customHeight="1" x14ac:dyDescent="0.2">
      <c r="C27" s="121">
        <v>73408.284106031686</v>
      </c>
      <c r="D27">
        <v>15.406478427176623</v>
      </c>
      <c r="E27" s="121">
        <v>75376.45851415272</v>
      </c>
      <c r="F27" s="121">
        <v>15.250141261106437</v>
      </c>
      <c r="G27" s="121">
        <v>-1968.1744081210345</v>
      </c>
      <c r="H27" s="121">
        <v>0.15633716607018577</v>
      </c>
      <c r="J27" s="118">
        <v>1100</v>
      </c>
      <c r="L27">
        <v>0.997</v>
      </c>
      <c r="N27" s="121"/>
      <c r="O27" s="121"/>
      <c r="P27" s="121"/>
      <c r="R27">
        <v>321.74071686263943</v>
      </c>
      <c r="S27">
        <v>56.343452452190554</v>
      </c>
      <c r="T27">
        <v>240.043517165753</v>
      </c>
      <c r="U27">
        <v>111.97121184671323</v>
      </c>
      <c r="X27">
        <v>0.78449896403757879</v>
      </c>
      <c r="Y27">
        <v>0.89644559960881354</v>
      </c>
      <c r="Z27">
        <v>0.89223472922329461</v>
      </c>
      <c r="AA27">
        <v>0.91491696736635975</v>
      </c>
      <c r="AB27">
        <v>0.58126603320405701</v>
      </c>
      <c r="AC27">
        <v>0.77935875192615478</v>
      </c>
      <c r="AD27">
        <v>0.79264373285864986</v>
      </c>
      <c r="AE27">
        <v>0.89223207435702856</v>
      </c>
      <c r="AH27">
        <v>3.5053566002491543E-2</v>
      </c>
      <c r="AI27">
        <v>0.10288822339003523</v>
      </c>
      <c r="AJ27">
        <v>0.29576352407476569</v>
      </c>
      <c r="AK27">
        <v>9.6577969822673193E-2</v>
      </c>
      <c r="AL27">
        <v>0.11070501556871615</v>
      </c>
      <c r="AM27">
        <v>9.0989419959147222E-2</v>
      </c>
      <c r="AN27">
        <v>0.15016953725221571</v>
      </c>
      <c r="AO27">
        <v>0.10096231670691524</v>
      </c>
      <c r="AR27">
        <v>7.7592350814526965E-4</v>
      </c>
      <c r="AS27">
        <v>4.9064391105243521E-3</v>
      </c>
      <c r="AT27">
        <v>4.8447429504364699E-3</v>
      </c>
      <c r="AU27">
        <v>1.8934977503003597E-3</v>
      </c>
      <c r="AV27">
        <v>2.1198330812126631E-3</v>
      </c>
      <c r="AW27">
        <v>3.4473220150028627E-3</v>
      </c>
      <c r="AX27">
        <v>4.0921043526231937E-4</v>
      </c>
      <c r="AY27">
        <v>3.3942633170037679E-4</v>
      </c>
      <c r="BB27">
        <v>5.1286241116520581E-2</v>
      </c>
      <c r="BC27">
        <v>6.1741454854665756E-2</v>
      </c>
      <c r="BE27">
        <v>73408.284106031686</v>
      </c>
      <c r="BF27">
        <v>15.406478427176623</v>
      </c>
      <c r="BG27">
        <v>75376.45851415272</v>
      </c>
      <c r="BH27">
        <v>15.250141261106437</v>
      </c>
      <c r="BI27">
        <v>-1968.1744081210345</v>
      </c>
      <c r="BJ27">
        <v>0.15633716607018577</v>
      </c>
    </row>
    <row r="28" spans="3:62" ht="15" customHeight="1" x14ac:dyDescent="0.2">
      <c r="C28" s="121">
        <v>68793.886102252931</v>
      </c>
      <c r="D28">
        <v>15.136737748256195</v>
      </c>
      <c r="E28" s="121">
        <v>70531.474420374245</v>
      </c>
      <c r="F28" s="121">
        <v>15.009684845710352</v>
      </c>
      <c r="G28" s="121">
        <v>-1737.5883181213139</v>
      </c>
      <c r="H28" s="121">
        <v>0.12705290254584334</v>
      </c>
      <c r="J28" s="118">
        <v>1200</v>
      </c>
      <c r="L28">
        <v>0.998</v>
      </c>
      <c r="N28" s="118"/>
      <c r="O28" s="121"/>
      <c r="P28" s="121"/>
      <c r="R28">
        <v>324.32268152125653</v>
      </c>
      <c r="S28">
        <v>60.005952244194425</v>
      </c>
      <c r="T28">
        <v>230.78375336439359</v>
      </c>
      <c r="U28">
        <v>101.66072822869761</v>
      </c>
      <c r="X28">
        <v>0.68442992164206362</v>
      </c>
      <c r="Y28">
        <v>0.81828319469787625</v>
      </c>
      <c r="Z28">
        <v>0.91188486331008067</v>
      </c>
      <c r="AA28">
        <v>0.7950549840405392</v>
      </c>
      <c r="AB28">
        <v>0.79859470108443564</v>
      </c>
      <c r="AC28">
        <v>0.68479354749024823</v>
      </c>
      <c r="AD28">
        <v>0.57956613372437582</v>
      </c>
      <c r="AE28">
        <v>0.67886065986202593</v>
      </c>
      <c r="AH28">
        <v>0.32400619742891157</v>
      </c>
      <c r="AI28">
        <v>0.12821340898673739</v>
      </c>
      <c r="AJ28">
        <v>6.7253875992234757E-2</v>
      </c>
      <c r="AK28">
        <v>0.17043047469609496</v>
      </c>
      <c r="AL28">
        <v>8.5250396122731997E-2</v>
      </c>
      <c r="AM28">
        <v>3.9416615942951871E-2</v>
      </c>
      <c r="AN28">
        <v>2.8182650477984406E-2</v>
      </c>
      <c r="AO28">
        <v>1.0624164366398015E-2</v>
      </c>
      <c r="AR28">
        <v>8.8356306650576343E-4</v>
      </c>
      <c r="AS28">
        <v>4.5575347686555023E-3</v>
      </c>
      <c r="AT28">
        <v>5.152371846648407E-3</v>
      </c>
      <c r="AU28">
        <v>1.979522338791167E-3</v>
      </c>
      <c r="AV28">
        <v>1.9322791331386911E-3</v>
      </c>
      <c r="AW28">
        <v>3.5928913302526455E-3</v>
      </c>
      <c r="AX28">
        <v>3.5203220941375945E-4</v>
      </c>
      <c r="AY28">
        <v>4.829802579867648E-4</v>
      </c>
      <c r="BB28">
        <v>4.6683760166108097E-2</v>
      </c>
      <c r="BC28">
        <v>6.1302516916271865E-2</v>
      </c>
      <c r="BE28">
        <v>68793.886102252931</v>
      </c>
      <c r="BF28">
        <v>15.136737748256195</v>
      </c>
      <c r="BG28">
        <v>70531.474420374245</v>
      </c>
      <c r="BH28">
        <v>15.009684845710352</v>
      </c>
      <c r="BI28">
        <v>-1737.5883181213139</v>
      </c>
      <c r="BJ28">
        <v>0.12705290254584334</v>
      </c>
    </row>
    <row r="29" spans="3:62" ht="15" customHeight="1" x14ac:dyDescent="0.2">
      <c r="C29" s="121">
        <v>72027.207576734392</v>
      </c>
      <c r="D29">
        <v>16.085745822962416</v>
      </c>
      <c r="E29" s="121">
        <v>73856.323281404941</v>
      </c>
      <c r="F29" s="121">
        <v>15.976222118802772</v>
      </c>
      <c r="G29" s="121">
        <v>-1829.1157046705484</v>
      </c>
      <c r="H29" s="121">
        <v>0.10952370415964374</v>
      </c>
      <c r="J29" s="118">
        <v>1300</v>
      </c>
      <c r="L29">
        <v>0.998</v>
      </c>
      <c r="N29" s="118"/>
      <c r="O29" s="121"/>
      <c r="P29" s="121"/>
      <c r="R29">
        <v>156.83469135701347</v>
      </c>
      <c r="S29">
        <v>64.014836997688775</v>
      </c>
      <c r="T29">
        <v>255.23810964185245</v>
      </c>
      <c r="U29">
        <v>96.956629407893502</v>
      </c>
      <c r="X29">
        <v>0.85073526243283026</v>
      </c>
      <c r="Y29">
        <v>0.65472318458607193</v>
      </c>
      <c r="Z29">
        <v>0.86894063165225044</v>
      </c>
      <c r="AA29">
        <v>0.79561565287664937</v>
      </c>
      <c r="AB29">
        <v>0.62125243698661647</v>
      </c>
      <c r="AC29">
        <v>0.93173127927106214</v>
      </c>
      <c r="AD29">
        <v>0.6260414900811524</v>
      </c>
      <c r="AE29">
        <v>0.84645632277935867</v>
      </c>
      <c r="AH29">
        <v>0.11361852687588625</v>
      </c>
      <c r="AI29">
        <v>0.11351860493769406</v>
      </c>
      <c r="AJ29">
        <v>8.3025327481048405E-2</v>
      </c>
      <c r="AK29">
        <v>3.5342391205736012E-2</v>
      </c>
      <c r="AL29">
        <v>0.10439804533269048</v>
      </c>
      <c r="AM29">
        <v>0.15389587393806292</v>
      </c>
      <c r="AN29">
        <v>0.11951386344738302</v>
      </c>
      <c r="AO29">
        <v>0.15643630874816683</v>
      </c>
      <c r="AR29">
        <v>7.3243877273290498E-4</v>
      </c>
      <c r="AS29">
        <v>4.586654388249678E-3</v>
      </c>
      <c r="AT29">
        <v>5.0551044815605461E-3</v>
      </c>
      <c r="AU29">
        <v>2.0002931535170188E-3</v>
      </c>
      <c r="AV29">
        <v>1.9753037603226268E-3</v>
      </c>
      <c r="AW29">
        <v>3.669942979695362E-3</v>
      </c>
      <c r="AX29">
        <v>4.2631760684053166E-4</v>
      </c>
      <c r="AY29">
        <v>4.8504827113560189E-4</v>
      </c>
      <c r="BB29">
        <v>4.5952807716782625E-2</v>
      </c>
      <c r="BC29">
        <v>3.8335126561082504E-2</v>
      </c>
      <c r="BE29">
        <v>72027.207576734392</v>
      </c>
      <c r="BF29">
        <v>16.085745822962416</v>
      </c>
      <c r="BG29">
        <v>73856.323281404941</v>
      </c>
      <c r="BH29">
        <v>15.976222118802772</v>
      </c>
      <c r="BI29">
        <v>-1829.1157046705484</v>
      </c>
      <c r="BJ29">
        <v>0.10952370415964374</v>
      </c>
    </row>
    <row r="30" spans="3:62" x14ac:dyDescent="0.2">
      <c r="C30" s="121">
        <v>65557.308726310192</v>
      </c>
      <c r="D30">
        <v>16.766588961891095</v>
      </c>
      <c r="E30" s="121">
        <v>67039.580944494315</v>
      </c>
      <c r="F30" s="121">
        <v>16.675878548520256</v>
      </c>
      <c r="G30" s="121">
        <v>-1482.2722181841236</v>
      </c>
      <c r="H30" s="121">
        <v>9.0710413370839404E-2</v>
      </c>
      <c r="J30" s="118">
        <v>1400</v>
      </c>
      <c r="L30">
        <v>0.998</v>
      </c>
      <c r="N30" s="118"/>
      <c r="O30" s="121"/>
      <c r="P30" s="121"/>
      <c r="R30">
        <v>393.97473926761842</v>
      </c>
      <c r="S30">
        <v>69.747366264843279</v>
      </c>
      <c r="T30">
        <v>252.13023534178041</v>
      </c>
      <c r="U30">
        <v>89.133634216488275</v>
      </c>
      <c r="X30">
        <v>0.65359587865698854</v>
      </c>
      <c r="Y30">
        <v>0.9141972550882882</v>
      </c>
      <c r="Z30">
        <v>0.68915909069268344</v>
      </c>
      <c r="AA30">
        <v>0.62245349735583433</v>
      </c>
      <c r="AB30">
        <v>0.89816370018388003</v>
      </c>
      <c r="AC30">
        <v>0.70469992050182817</v>
      </c>
      <c r="AD30">
        <v>0.79092097327117306</v>
      </c>
      <c r="AE30">
        <v>0.8413102628837229</v>
      </c>
      <c r="AH30">
        <v>9.2588288555506271E-3</v>
      </c>
      <c r="AI30">
        <v>0.12030097023718</v>
      </c>
      <c r="AJ30">
        <v>4.5992641132078793E-2</v>
      </c>
      <c r="AK30">
        <v>0.13922370422718722</v>
      </c>
      <c r="AL30">
        <v>0.14734218281463007</v>
      </c>
      <c r="AM30">
        <v>8.402883514683035E-2</v>
      </c>
      <c r="AN30">
        <v>9.1465635276792745E-2</v>
      </c>
      <c r="AO30">
        <v>8.7009167389549891E-2</v>
      </c>
      <c r="AR30">
        <v>8.6532431500512582E-4</v>
      </c>
      <c r="AS30">
        <v>4.4471457241499887E-3</v>
      </c>
      <c r="AT30">
        <v>4.7915291374262051E-3</v>
      </c>
      <c r="AU30">
        <v>2.1524876568823625E-3</v>
      </c>
      <c r="AV30">
        <v>1.8657698260530298E-3</v>
      </c>
      <c r="AW30">
        <v>3.2674489550159431E-3</v>
      </c>
      <c r="AX30">
        <v>4.2571378473432731E-4</v>
      </c>
      <c r="AY30">
        <v>4.2488300790979189E-4</v>
      </c>
      <c r="BB30">
        <v>4.4615230023908652E-2</v>
      </c>
      <c r="BC30">
        <v>6.0866328858904861E-2</v>
      </c>
      <c r="BE30">
        <v>65557.308726310192</v>
      </c>
      <c r="BF30">
        <v>16.766588961891095</v>
      </c>
      <c r="BG30">
        <v>67039.580944494315</v>
      </c>
      <c r="BH30">
        <v>16.675878548520256</v>
      </c>
      <c r="BI30">
        <v>-1482.2722181841236</v>
      </c>
      <c r="BJ30">
        <v>9.0710413370839404E-2</v>
      </c>
    </row>
    <row r="31" spans="3:62" x14ac:dyDescent="0.2">
      <c r="C31" s="121">
        <v>58889.047640026372</v>
      </c>
      <c r="D31">
        <v>18.219774078091415</v>
      </c>
      <c r="E31" s="121">
        <v>60194.436354118268</v>
      </c>
      <c r="F31" s="121">
        <v>18.113916964393653</v>
      </c>
      <c r="G31" s="121">
        <v>-1305.388714091896</v>
      </c>
      <c r="H31" s="121">
        <v>0.10585711369776263</v>
      </c>
      <c r="J31" s="118">
        <v>1500</v>
      </c>
      <c r="L31">
        <v>0.998</v>
      </c>
      <c r="N31" s="121"/>
      <c r="O31" s="121"/>
      <c r="P31" s="121"/>
      <c r="R31">
        <v>145.92615964991418</v>
      </c>
      <c r="S31">
        <v>70.464504271819408</v>
      </c>
      <c r="T31">
        <v>278.38075430645665</v>
      </c>
      <c r="U31">
        <v>97.871849892021501</v>
      </c>
      <c r="X31">
        <v>0.74655120474347059</v>
      </c>
      <c r="Y31">
        <v>0.64532912730422254</v>
      </c>
      <c r="Z31">
        <v>0.52269615282155379</v>
      </c>
      <c r="AA31">
        <v>0.76268221633377209</v>
      </c>
      <c r="AB31">
        <v>0.84735183188982544</v>
      </c>
      <c r="AC31">
        <v>0.82737193143616417</v>
      </c>
      <c r="AD31">
        <v>0.75601902886677574</v>
      </c>
      <c r="AE31">
        <v>0.74506250386848827</v>
      </c>
      <c r="AH31">
        <v>3.0213970698369286E-2</v>
      </c>
      <c r="AI31">
        <v>0.18285757176245387</v>
      </c>
      <c r="AJ31">
        <v>7.0816935444617646E-2</v>
      </c>
      <c r="AK31">
        <v>7.6557870330905331E-2</v>
      </c>
      <c r="AL31">
        <v>0.14020925661175909</v>
      </c>
      <c r="AM31">
        <v>0.12850180828529245</v>
      </c>
      <c r="AN31">
        <v>0.41344148699239913</v>
      </c>
      <c r="AO31">
        <v>0.24459734953616863</v>
      </c>
      <c r="AR31">
        <v>7.856144325407721E-4</v>
      </c>
      <c r="AS31">
        <v>4.1521021748527768E-3</v>
      </c>
      <c r="AT31">
        <v>5.0622156613944203E-3</v>
      </c>
      <c r="AU31">
        <v>2.0749922426371858E-3</v>
      </c>
      <c r="AV31">
        <v>2.1738518012989205E-3</v>
      </c>
      <c r="AW31">
        <v>3.563663734031941E-3</v>
      </c>
      <c r="AX31">
        <v>3.7369117430011183E-4</v>
      </c>
      <c r="AY31">
        <v>4.6392922239291146E-4</v>
      </c>
      <c r="BB31">
        <v>4.8939677239977733E-2</v>
      </c>
      <c r="BC31">
        <v>2.6143180717164097E-2</v>
      </c>
      <c r="BE31">
        <v>58889.047640026372</v>
      </c>
      <c r="BF31">
        <v>18.219774078091415</v>
      </c>
      <c r="BG31">
        <v>60194.436354118268</v>
      </c>
      <c r="BH31">
        <v>18.113916964393653</v>
      </c>
      <c r="BI31">
        <v>-1305.388714091896</v>
      </c>
      <c r="BJ31">
        <v>0.10585711369776263</v>
      </c>
    </row>
    <row r="32" spans="3:62" x14ac:dyDescent="0.2">
      <c r="C32" s="121">
        <v>73596.034625686982</v>
      </c>
      <c r="D32">
        <v>15.880581752976836</v>
      </c>
      <c r="E32" s="121">
        <v>75502.267290734584</v>
      </c>
      <c r="F32" s="121">
        <v>15.793268681071325</v>
      </c>
      <c r="G32" s="121">
        <v>-1906.2326650476025</v>
      </c>
      <c r="H32" s="121">
        <v>8.7313071905510853E-2</v>
      </c>
      <c r="J32" s="118">
        <v>1600</v>
      </c>
      <c r="L32">
        <v>0.999</v>
      </c>
      <c r="N32" s="121"/>
      <c r="O32" s="121"/>
      <c r="P32" s="121"/>
      <c r="R32">
        <v>171.62671189596551</v>
      </c>
      <c r="S32">
        <v>63.196182168301206</v>
      </c>
      <c r="T32">
        <v>289.16309198137151</v>
      </c>
      <c r="U32">
        <v>96.308716400915685</v>
      </c>
      <c r="X32">
        <v>0.8033186359679152</v>
      </c>
      <c r="Y32">
        <v>0.93957891183540432</v>
      </c>
      <c r="Z32">
        <v>0.91704160933003265</v>
      </c>
      <c r="AA32">
        <v>0.73384286793062525</v>
      </c>
      <c r="AB32">
        <v>0.90295835286609916</v>
      </c>
      <c r="AC32">
        <v>0.60984609578614735</v>
      </c>
      <c r="AD32">
        <v>0.86047228621853811</v>
      </c>
      <c r="AE32">
        <v>0.95814917738052086</v>
      </c>
      <c r="AH32">
        <v>6.1893643439146939E-2</v>
      </c>
      <c r="AI32">
        <v>0.14841354010730512</v>
      </c>
      <c r="AJ32">
        <v>0.20212791683120268</v>
      </c>
      <c r="AK32">
        <v>0.19589251285255715</v>
      </c>
      <c r="AL32">
        <v>0.10043842798654956</v>
      </c>
      <c r="AM32">
        <v>7.0226641321409433E-2</v>
      </c>
      <c r="AN32">
        <v>0.11400178767159352</v>
      </c>
      <c r="AO32">
        <v>0.21870812550890972</v>
      </c>
      <c r="AR32">
        <v>9.3248781654464707E-4</v>
      </c>
      <c r="AS32">
        <v>4.1792456180930046E-3</v>
      </c>
      <c r="AT32">
        <v>4.6123789184393553E-3</v>
      </c>
      <c r="AU32">
        <v>2.0908056483714965E-3</v>
      </c>
      <c r="AV32">
        <v>2.0053970963537227E-3</v>
      </c>
      <c r="AW32">
        <v>3.6989219454232058E-3</v>
      </c>
      <c r="AX32">
        <v>5.2956278744165086E-4</v>
      </c>
      <c r="AY32">
        <v>4.0565316004409951E-4</v>
      </c>
      <c r="BB32">
        <v>6.4819796794484685E-2</v>
      </c>
      <c r="BC32">
        <v>3.1214725996832299E-2</v>
      </c>
      <c r="BE32">
        <v>73596.034625686982</v>
      </c>
      <c r="BF32">
        <v>15.880581752976836</v>
      </c>
      <c r="BG32">
        <v>75502.267290734584</v>
      </c>
      <c r="BH32">
        <v>15.793268681071325</v>
      </c>
      <c r="BI32">
        <v>-1906.2326650476025</v>
      </c>
      <c r="BJ32">
        <v>8.7313071905510853E-2</v>
      </c>
    </row>
    <row r="33" spans="3:62" x14ac:dyDescent="0.2">
      <c r="C33" s="121">
        <v>75403.568649839493</v>
      </c>
      <c r="D33">
        <v>15.239558537650574</v>
      </c>
      <c r="E33" s="121">
        <v>76640.371704543897</v>
      </c>
      <c r="F33" s="121">
        <v>15.123025019084594</v>
      </c>
      <c r="G33" s="121">
        <v>-1236.8030547044036</v>
      </c>
      <c r="H33" s="121">
        <v>0.11653351856597993</v>
      </c>
      <c r="J33" s="118">
        <v>1700</v>
      </c>
      <c r="L33">
        <v>0.999</v>
      </c>
      <c r="N33" s="121"/>
      <c r="O33" s="121"/>
      <c r="P33" s="121"/>
      <c r="R33">
        <v>48.383271953130901</v>
      </c>
      <c r="S33">
        <v>68.306240024467243</v>
      </c>
      <c r="T33">
        <v>271.80219741021426</v>
      </c>
      <c r="U33">
        <v>103.77708816022198</v>
      </c>
      <c r="X33">
        <v>0.96599569464217816</v>
      </c>
      <c r="Y33">
        <v>0.50048909335953928</v>
      </c>
      <c r="Z33">
        <v>0.63144439749791637</v>
      </c>
      <c r="AA33">
        <v>0.7559563168054938</v>
      </c>
      <c r="AB33">
        <v>0.46163031622428197</v>
      </c>
      <c r="AC33">
        <v>0.8983474117166218</v>
      </c>
      <c r="AD33">
        <v>0.80153981810083164</v>
      </c>
      <c r="AE33">
        <v>0.88330484725478586</v>
      </c>
      <c r="AH33">
        <v>6.9081114743854588E-2</v>
      </c>
      <c r="AI33">
        <v>0.22067093377153058</v>
      </c>
      <c r="AJ33">
        <v>0.27277322376569313</v>
      </c>
      <c r="AK33">
        <v>0.30229539522370297</v>
      </c>
      <c r="AL33">
        <v>9.1893406324110138E-2</v>
      </c>
      <c r="AM33">
        <v>0.10482371890223596</v>
      </c>
      <c r="AN33">
        <v>3.5689306820320787E-2</v>
      </c>
      <c r="AO33">
        <v>0.2310851367945761</v>
      </c>
      <c r="AR33">
        <v>9.2857947842550637E-4</v>
      </c>
      <c r="AS33">
        <v>4.655240380124992E-3</v>
      </c>
      <c r="AT33">
        <v>4.7638807861776688E-3</v>
      </c>
      <c r="AU33">
        <v>2.2792858528561943E-3</v>
      </c>
      <c r="AV33">
        <v>1.943477419796998E-3</v>
      </c>
      <c r="AW33">
        <v>3.1500365352887792E-3</v>
      </c>
      <c r="AX33">
        <v>4.2128412914266278E-4</v>
      </c>
      <c r="AY33">
        <v>5.2239017737865101E-4</v>
      </c>
      <c r="BB33">
        <v>4.6303074859261113E-2</v>
      </c>
      <c r="BC33">
        <v>2.0827559699568059E-2</v>
      </c>
      <c r="BE33">
        <v>75403.568649839493</v>
      </c>
      <c r="BF33">
        <v>15.239558537650574</v>
      </c>
      <c r="BG33">
        <v>76640.371704543897</v>
      </c>
      <c r="BH33">
        <v>15.123025019084594</v>
      </c>
      <c r="BI33">
        <v>-1236.8030547044036</v>
      </c>
      <c r="BJ33">
        <v>0.11653351856597993</v>
      </c>
    </row>
    <row r="34" spans="3:62" x14ac:dyDescent="0.2">
      <c r="C34" s="121">
        <v>56438.776098581933</v>
      </c>
      <c r="D34">
        <v>17.129636907088351</v>
      </c>
      <c r="E34" s="121">
        <v>57630.28801754499</v>
      </c>
      <c r="F34" s="121">
        <v>17.035671434581268</v>
      </c>
      <c r="G34" s="121">
        <v>-1191.5119189630568</v>
      </c>
      <c r="H34" s="121">
        <v>9.3965472507083092E-2</v>
      </c>
      <c r="J34" s="118">
        <v>1800</v>
      </c>
      <c r="L34">
        <v>0.999</v>
      </c>
      <c r="N34" s="121"/>
      <c r="O34" s="121"/>
      <c r="P34" s="121"/>
      <c r="R34">
        <v>164.59957335581191</v>
      </c>
      <c r="S34">
        <v>61.861745157069748</v>
      </c>
      <c r="T34">
        <v>274.3143599227397</v>
      </c>
      <c r="U34">
        <v>79.542080736275068</v>
      </c>
      <c r="X34">
        <v>0.80361318995045017</v>
      </c>
      <c r="Y34">
        <v>0.76894909108297438</v>
      </c>
      <c r="Z34">
        <v>0.78927581853235085</v>
      </c>
      <c r="AA34">
        <v>0.61086004595771759</v>
      </c>
      <c r="AB34">
        <v>0.57385675954254345</v>
      </c>
      <c r="AC34">
        <v>0.64491380247806696</v>
      </c>
      <c r="AD34">
        <v>0.87680726263373143</v>
      </c>
      <c r="AE34">
        <v>0.69490529697796433</v>
      </c>
      <c r="AH34">
        <v>5.542779486853977E-2</v>
      </c>
      <c r="AI34">
        <v>0.1214646973074246</v>
      </c>
      <c r="AJ34">
        <v>6.5289676619414427E-2</v>
      </c>
      <c r="AK34">
        <v>0.24503556599171927</v>
      </c>
      <c r="AL34">
        <v>0.11142274263873175</v>
      </c>
      <c r="AM34">
        <v>0.31783074448236626</v>
      </c>
      <c r="AN34">
        <v>0.15160191742223361</v>
      </c>
      <c r="AO34">
        <v>0.21157784144962155</v>
      </c>
      <c r="AR34">
        <v>9.9681154103248293E-4</v>
      </c>
      <c r="AS34">
        <v>4.732519232767185E-3</v>
      </c>
      <c r="AT34">
        <v>4.9832552876672986E-3</v>
      </c>
      <c r="AU34">
        <v>1.7613932637819036E-3</v>
      </c>
      <c r="AV34">
        <v>2.1970459003991527E-3</v>
      </c>
      <c r="AW34">
        <v>3.2713578160172563E-3</v>
      </c>
      <c r="AX34">
        <v>3.5110031780527463E-4</v>
      </c>
      <c r="AY34">
        <v>3.4162105624007847E-4</v>
      </c>
      <c r="BB34">
        <v>4.650206417924499E-2</v>
      </c>
      <c r="BC34">
        <v>6.208716660356739E-2</v>
      </c>
      <c r="BE34">
        <v>56438.776098581933</v>
      </c>
      <c r="BF34">
        <v>17.129636907088351</v>
      </c>
      <c r="BG34">
        <v>57630.28801754499</v>
      </c>
      <c r="BH34">
        <v>17.035671434581268</v>
      </c>
      <c r="BI34">
        <v>-1191.5119189630568</v>
      </c>
      <c r="BJ34">
        <v>9.3965472507083092E-2</v>
      </c>
    </row>
    <row r="35" spans="3:62" x14ac:dyDescent="0.2">
      <c r="C35" s="121">
        <v>69775.571662616829</v>
      </c>
      <c r="D35">
        <v>15.931156818776849</v>
      </c>
      <c r="E35" s="121">
        <v>70891.756763331941</v>
      </c>
      <c r="F35" s="121">
        <v>15.796144499612815</v>
      </c>
      <c r="G35" s="121">
        <v>-1116.1851007151126</v>
      </c>
      <c r="H35" s="121">
        <v>0.13501231916403356</v>
      </c>
      <c r="J35" s="118">
        <v>1900</v>
      </c>
      <c r="L35">
        <v>0.999</v>
      </c>
      <c r="N35" s="121"/>
      <c r="O35" s="121"/>
      <c r="P35" s="121"/>
      <c r="R35">
        <v>248.37660562629233</v>
      </c>
      <c r="S35">
        <v>59.255332910640696</v>
      </c>
      <c r="T35">
        <v>244.7666181277423</v>
      </c>
      <c r="U35">
        <v>115.81950200126408</v>
      </c>
      <c r="X35">
        <v>0.63248413877678722</v>
      </c>
      <c r="Y35">
        <v>0.92009036279993661</v>
      </c>
      <c r="Z35">
        <v>0.68129766741962627</v>
      </c>
      <c r="AA35">
        <v>0.97974254881113942</v>
      </c>
      <c r="AB35">
        <v>0.91604756177172209</v>
      </c>
      <c r="AC35">
        <v>0.92598482671657012</v>
      </c>
      <c r="AD35">
        <v>0.71045551252989336</v>
      </c>
      <c r="AE35">
        <v>0.62306888189856202</v>
      </c>
      <c r="AH35">
        <v>5.9582391223953257E-2</v>
      </c>
      <c r="AI35">
        <v>1.0174492283479109E-2</v>
      </c>
      <c r="AJ35">
        <v>0.12749281540433688</v>
      </c>
      <c r="AK35">
        <v>0.19760637516590751</v>
      </c>
      <c r="AL35">
        <v>2.850013613730229E-2</v>
      </c>
      <c r="AM35">
        <v>8.1506792337787126E-2</v>
      </c>
      <c r="AN35">
        <v>0.10632281959157364</v>
      </c>
      <c r="AO35">
        <v>1.4979288005425584E-3</v>
      </c>
      <c r="AR35">
        <v>9.5660320698198742E-4</v>
      </c>
      <c r="AS35">
        <v>4.2001904387398686E-3</v>
      </c>
      <c r="AT35">
        <v>5.1333747280636333E-3</v>
      </c>
      <c r="AU35">
        <v>1.7633528175719834E-3</v>
      </c>
      <c r="AV35">
        <v>1.9716986625358812E-3</v>
      </c>
      <c r="AW35">
        <v>3.4668013294129052E-3</v>
      </c>
      <c r="AX35">
        <v>4.9810194552135645E-4</v>
      </c>
      <c r="AY35">
        <v>4.8121549045010426E-4</v>
      </c>
      <c r="BB35">
        <v>5.9342959115669891E-2</v>
      </c>
      <c r="BC35">
        <v>7.7497529784975705E-2</v>
      </c>
      <c r="BE35">
        <v>69775.571662616829</v>
      </c>
      <c r="BF35">
        <v>15.931156818776849</v>
      </c>
      <c r="BG35">
        <v>70891.756763331941</v>
      </c>
      <c r="BH35">
        <v>15.796144499612815</v>
      </c>
      <c r="BI35">
        <v>-1116.1851007151126</v>
      </c>
      <c r="BJ35">
        <v>0.13501231916403356</v>
      </c>
    </row>
    <row r="36" spans="3:62" x14ac:dyDescent="0.2">
      <c r="C36" s="121">
        <v>78292.057858968838</v>
      </c>
      <c r="D36">
        <v>14.495220276862678</v>
      </c>
      <c r="E36" s="121">
        <v>80374.003877861847</v>
      </c>
      <c r="F36" s="121">
        <v>14.338389581661898</v>
      </c>
      <c r="G36" s="121">
        <v>-2081.9460188930098</v>
      </c>
      <c r="H36" s="121">
        <v>0.15683069520077986</v>
      </c>
      <c r="J36" s="118">
        <v>2000</v>
      </c>
      <c r="L36">
        <v>0.999</v>
      </c>
      <c r="N36" s="121"/>
      <c r="O36" s="121"/>
      <c r="P36" s="121"/>
      <c r="R36">
        <v>154.54241275994514</v>
      </c>
      <c r="S36">
        <v>66.702266027290989</v>
      </c>
      <c r="T36">
        <v>272.1737237690669</v>
      </c>
      <c r="U36">
        <v>102.74120221381447</v>
      </c>
      <c r="X36">
        <v>0.55339262289866831</v>
      </c>
      <c r="Y36">
        <v>0.60288655209353914</v>
      </c>
      <c r="Z36">
        <v>0.63514777427226288</v>
      </c>
      <c r="AA36">
        <v>0.81697248160258562</v>
      </c>
      <c r="AB36">
        <v>0.66509618036425788</v>
      </c>
      <c r="AC36">
        <v>0.74553199833250705</v>
      </c>
      <c r="AD36">
        <v>0.91627829583752574</v>
      </c>
      <c r="AE36">
        <v>0.87002094452673828</v>
      </c>
      <c r="AH36">
        <v>0.11449508767924055</v>
      </c>
      <c r="AI36">
        <v>6.5028579419088572E-2</v>
      </c>
      <c r="AJ36">
        <v>0.27865143059754782</v>
      </c>
      <c r="AK36">
        <v>4.4437058892428549E-2</v>
      </c>
      <c r="AL36">
        <v>0.15758427766877758</v>
      </c>
      <c r="AM36">
        <v>6.040556082206483E-2</v>
      </c>
      <c r="AN36">
        <v>5.8901648654388072E-2</v>
      </c>
      <c r="AO36">
        <v>3.1272287926743081E-2</v>
      </c>
      <c r="AR36">
        <v>9.3707233149786795E-4</v>
      </c>
      <c r="AS36">
        <v>4.6430770610587091E-3</v>
      </c>
      <c r="AT36">
        <v>4.7742062094167882E-3</v>
      </c>
      <c r="AU36">
        <v>2.0942034431405965E-3</v>
      </c>
      <c r="AV36">
        <v>1.9506297072045468E-3</v>
      </c>
      <c r="AW36">
        <v>3.4759037399282322E-3</v>
      </c>
      <c r="AX36">
        <v>4.4325548237511558E-4</v>
      </c>
      <c r="AY36">
        <v>4.7333521440506843E-4</v>
      </c>
      <c r="BB36">
        <v>5.8198544341617975E-2</v>
      </c>
      <c r="BC36">
        <v>7.5811600795142264E-2</v>
      </c>
      <c r="BE36">
        <v>78292.057858968838</v>
      </c>
      <c r="BF36">
        <v>14.495220276862678</v>
      </c>
      <c r="BG36">
        <v>80374.003877861847</v>
      </c>
      <c r="BH36">
        <v>14.338389581661898</v>
      </c>
      <c r="BI36">
        <v>-2081.9460188930098</v>
      </c>
      <c r="BJ36">
        <v>0.15683069520077986</v>
      </c>
    </row>
    <row r="37" spans="3:62" x14ac:dyDescent="0.2">
      <c r="C37" s="121">
        <v>77926.065638366141</v>
      </c>
      <c r="D37">
        <v>15.566200294640222</v>
      </c>
      <c r="E37" s="121">
        <v>79946.681792710224</v>
      </c>
      <c r="F37" s="121">
        <v>15.377692491750478</v>
      </c>
      <c r="G37" s="121">
        <v>-2020.616154344083</v>
      </c>
      <c r="H37" s="121">
        <v>0.18850780288974356</v>
      </c>
      <c r="J37" s="118">
        <v>2100</v>
      </c>
      <c r="L37">
        <v>0.999</v>
      </c>
      <c r="N37" s="121"/>
      <c r="O37" s="121"/>
      <c r="P37" s="121"/>
      <c r="R37">
        <v>284.2950399051856</v>
      </c>
      <c r="S37">
        <v>62.241207815469316</v>
      </c>
      <c r="T37">
        <v>254.78437857418146</v>
      </c>
      <c r="U37">
        <v>90.957073553124985</v>
      </c>
      <c r="X37">
        <v>0.81269498712104882</v>
      </c>
      <c r="Y37">
        <v>0.80252676231719988</v>
      </c>
      <c r="Z37">
        <v>0.83039414100623965</v>
      </c>
      <c r="AA37">
        <v>0.68596567254810781</v>
      </c>
      <c r="AB37">
        <v>0.74414763055778299</v>
      </c>
      <c r="AC37">
        <v>0.79896590923952049</v>
      </c>
      <c r="AD37">
        <v>0.82957468646059895</v>
      </c>
      <c r="AE37">
        <v>0.8232396182048366</v>
      </c>
      <c r="AH37">
        <v>6.3769071524874099E-2</v>
      </c>
      <c r="AI37">
        <v>0.10517391708319768</v>
      </c>
      <c r="AJ37">
        <v>0.34082564236690127</v>
      </c>
      <c r="AK37">
        <v>4.5938587389219188E-2</v>
      </c>
      <c r="AL37">
        <v>9.325109449253155E-2</v>
      </c>
      <c r="AM37">
        <v>8.5648032728370072E-2</v>
      </c>
      <c r="AN37">
        <v>8.9364379579746411E-2</v>
      </c>
      <c r="AO37">
        <v>0.22745763401623476</v>
      </c>
      <c r="AR37">
        <v>1.0186650162220534E-3</v>
      </c>
      <c r="AS37">
        <v>4.1407066978968775E-3</v>
      </c>
      <c r="AT37">
        <v>4.505606607075407E-3</v>
      </c>
      <c r="AU37">
        <v>2.0116193274599681E-3</v>
      </c>
      <c r="AV37">
        <v>2.0301786711639513E-3</v>
      </c>
      <c r="AW37">
        <v>3.2805770845055009E-3</v>
      </c>
      <c r="AX37">
        <v>4.274839797633323E-4</v>
      </c>
      <c r="AY37">
        <v>3.9754878314688768E-4</v>
      </c>
      <c r="BB37">
        <v>4.6519578946897795E-2</v>
      </c>
      <c r="BC37">
        <v>2.6371664028965135E-2</v>
      </c>
      <c r="BE37">
        <v>77926.065638366141</v>
      </c>
      <c r="BF37">
        <v>15.566200294640222</v>
      </c>
      <c r="BG37">
        <v>79946.681792710224</v>
      </c>
      <c r="BH37">
        <v>15.377692491750478</v>
      </c>
      <c r="BI37">
        <v>-2020.616154344083</v>
      </c>
      <c r="BJ37">
        <v>0.18850780288974356</v>
      </c>
    </row>
    <row r="38" spans="3:62" x14ac:dyDescent="0.2">
      <c r="C38" s="121">
        <v>67006.260375207989</v>
      </c>
      <c r="D38">
        <v>16.121217310276805</v>
      </c>
      <c r="E38" s="121">
        <v>68391.023287723001</v>
      </c>
      <c r="F38" s="121">
        <v>15.985782102614388</v>
      </c>
      <c r="G38" s="121">
        <v>-1384.7629125150124</v>
      </c>
      <c r="H38" s="121">
        <v>0.13543520766241635</v>
      </c>
      <c r="J38" s="118">
        <v>2200</v>
      </c>
      <c r="L38">
        <v>0.999</v>
      </c>
      <c r="N38" s="121"/>
      <c r="O38" s="121"/>
      <c r="P38" s="121"/>
      <c r="R38">
        <v>207.3028902937192</v>
      </c>
      <c r="S38">
        <v>69.800157179517569</v>
      </c>
      <c r="T38">
        <v>275.13188455020764</v>
      </c>
      <c r="U38">
        <v>88.580897011548757</v>
      </c>
      <c r="X38">
        <v>0.90748212628414449</v>
      </c>
      <c r="Y38">
        <v>0.82550871704709661</v>
      </c>
      <c r="Z38">
        <v>0.78683172007287139</v>
      </c>
      <c r="AA38">
        <v>0.97705126078070237</v>
      </c>
      <c r="AB38">
        <v>0.87929905765633931</v>
      </c>
      <c r="AC38">
        <v>0.81314531675314949</v>
      </c>
      <c r="AD38">
        <v>0.85204478498568448</v>
      </c>
      <c r="AE38">
        <v>0.78868484609277112</v>
      </c>
      <c r="AH38">
        <v>0.14916443889237563</v>
      </c>
      <c r="AI38">
        <v>5.150973615524701E-2</v>
      </c>
      <c r="AJ38">
        <v>0.30103356001479942</v>
      </c>
      <c r="AK38">
        <v>0.1291289719045724</v>
      </c>
      <c r="AL38">
        <v>0.25330091506960484</v>
      </c>
      <c r="AM38">
        <v>0.1184254744583858</v>
      </c>
      <c r="AN38">
        <v>8.1629764629948198E-2</v>
      </c>
      <c r="AO38">
        <v>9.9451979795707635E-2</v>
      </c>
      <c r="AR38">
        <v>8.0042987412307825E-4</v>
      </c>
      <c r="AS38">
        <v>4.2835764366106303E-3</v>
      </c>
      <c r="AT38">
        <v>4.9646054623614377E-3</v>
      </c>
      <c r="AU38">
        <v>2.2702452872864765E-3</v>
      </c>
      <c r="AV38">
        <v>2.2888528642620587E-3</v>
      </c>
      <c r="AW38">
        <v>3.5243728334293234E-3</v>
      </c>
      <c r="AX38">
        <v>4.4372766073530467E-4</v>
      </c>
      <c r="AY38">
        <v>3.7020310208236415E-4</v>
      </c>
      <c r="BB38">
        <v>4.3964510744905427E-2</v>
      </c>
      <c r="BC38">
        <v>6.2888952456572556E-2</v>
      </c>
      <c r="BE38">
        <v>67006.260375207989</v>
      </c>
      <c r="BF38">
        <v>16.121217310276805</v>
      </c>
      <c r="BG38">
        <v>68391.023287723001</v>
      </c>
      <c r="BH38">
        <v>15.985782102614388</v>
      </c>
      <c r="BI38">
        <v>-1384.7629125150124</v>
      </c>
      <c r="BJ38">
        <v>0.13543520766241635</v>
      </c>
    </row>
    <row r="39" spans="3:62" x14ac:dyDescent="0.2">
      <c r="C39" s="121">
        <v>75109.653329748908</v>
      </c>
      <c r="D39">
        <v>14.002601084993174</v>
      </c>
      <c r="E39" s="121">
        <v>77337.034076645432</v>
      </c>
      <c r="F39" s="121">
        <v>13.808796569135598</v>
      </c>
      <c r="G39" s="121">
        <v>-2227.3807468965242</v>
      </c>
      <c r="H39" s="121">
        <v>0.19380451585757541</v>
      </c>
      <c r="J39" s="118">
        <v>2300</v>
      </c>
      <c r="L39">
        <v>0.999</v>
      </c>
      <c r="N39" s="121"/>
      <c r="O39" s="121"/>
      <c r="P39" s="121"/>
      <c r="R39">
        <v>174.54558456046959</v>
      </c>
      <c r="S39">
        <v>66.996818339118164</v>
      </c>
      <c r="T39">
        <v>225.13743911756302</v>
      </c>
      <c r="U39">
        <v>96.794668024837705</v>
      </c>
      <c r="X39">
        <v>0.85814696510127442</v>
      </c>
      <c r="Y39">
        <v>0.71055814712078835</v>
      </c>
      <c r="Z39">
        <v>0.93711077173696933</v>
      </c>
      <c r="AA39">
        <v>0.89625606561287718</v>
      </c>
      <c r="AB39">
        <v>0.79330089997242315</v>
      </c>
      <c r="AC39">
        <v>0.91812167102859676</v>
      </c>
      <c r="AD39">
        <v>0.64055243667908457</v>
      </c>
      <c r="AE39">
        <v>0.61665916397420861</v>
      </c>
      <c r="AH39">
        <v>6.2909372718441547E-2</v>
      </c>
      <c r="AI39">
        <v>7.0424042354805483E-2</v>
      </c>
      <c r="AJ39">
        <v>7.7320042528279842E-2</v>
      </c>
      <c r="AK39">
        <v>0.11407113485730724</v>
      </c>
      <c r="AL39">
        <v>0.11946023862116317</v>
      </c>
      <c r="AM39">
        <v>0.1513711343674109</v>
      </c>
      <c r="AN39">
        <v>0.11898608546951361</v>
      </c>
      <c r="AO39">
        <v>2.6706660987063424E-2</v>
      </c>
      <c r="AR39">
        <v>7.64493139798344E-4</v>
      </c>
      <c r="AS39">
        <v>4.6720255952460432E-3</v>
      </c>
      <c r="AT39">
        <v>5.2402793688639537E-3</v>
      </c>
      <c r="AU39">
        <v>2.0719120585301898E-3</v>
      </c>
      <c r="AV39">
        <v>2.0164288795023744E-3</v>
      </c>
      <c r="AW39">
        <v>3.3315570305429724E-3</v>
      </c>
      <c r="AX39">
        <v>3.2937846390884701E-4</v>
      </c>
      <c r="AY39">
        <v>4.3069448838204137E-4</v>
      </c>
      <c r="BB39">
        <v>4.3863123359246511E-2</v>
      </c>
      <c r="BC39">
        <v>7.9864351929471167E-2</v>
      </c>
      <c r="BE39">
        <v>75109.653329748908</v>
      </c>
      <c r="BF39">
        <v>14.002601084993174</v>
      </c>
      <c r="BG39">
        <v>77337.034076645432</v>
      </c>
      <c r="BH39">
        <v>13.808796569135598</v>
      </c>
      <c r="BI39">
        <v>-2227.3807468965242</v>
      </c>
      <c r="BJ39">
        <v>0.19380451585757541</v>
      </c>
    </row>
    <row r="40" spans="3:62" x14ac:dyDescent="0.2">
      <c r="C40" s="121">
        <v>65066.734307425548</v>
      </c>
      <c r="D40">
        <v>16.860395876608408</v>
      </c>
      <c r="E40" s="121">
        <v>66658.690506032974</v>
      </c>
      <c r="F40" s="121">
        <v>16.712986308173818</v>
      </c>
      <c r="G40" s="121">
        <v>-1591.9561986074259</v>
      </c>
      <c r="H40" s="121">
        <v>0.14740956843458974</v>
      </c>
      <c r="J40" s="118">
        <v>2400</v>
      </c>
      <c r="L40">
        <v>0.999</v>
      </c>
      <c r="N40" s="121"/>
      <c r="O40" s="121"/>
      <c r="P40" s="121"/>
      <c r="R40">
        <v>476.49627426242353</v>
      </c>
      <c r="S40">
        <v>62.289743662932061</v>
      </c>
      <c r="T40">
        <v>250.13439587043851</v>
      </c>
      <c r="U40">
        <v>97.339214103008445</v>
      </c>
      <c r="X40">
        <v>0.85717323214103303</v>
      </c>
      <c r="Y40">
        <v>0.60596826750780597</v>
      </c>
      <c r="Z40">
        <v>0.7547605092652091</v>
      </c>
      <c r="AA40">
        <v>0.54494639129425826</v>
      </c>
      <c r="AB40">
        <v>0.75249049050439731</v>
      </c>
      <c r="AC40">
        <v>0.74781021736717834</v>
      </c>
      <c r="AD40">
        <v>0.79453983872828937</v>
      </c>
      <c r="AE40">
        <v>0.74303336666164088</v>
      </c>
      <c r="AH40">
        <v>2.5183277335464438E-2</v>
      </c>
      <c r="AI40">
        <v>0.18253483543130833</v>
      </c>
      <c r="AJ40">
        <v>3.1295114856058959E-2</v>
      </c>
      <c r="AK40">
        <v>0.13877940245697185</v>
      </c>
      <c r="AL40">
        <v>4.5730201530925441E-2</v>
      </c>
      <c r="AM40">
        <v>0.22064403559334034</v>
      </c>
      <c r="AN40">
        <v>0.13422949871937417</v>
      </c>
      <c r="AO40">
        <v>5.6920081019521396E-2</v>
      </c>
      <c r="AR40">
        <v>8.5536603594408829E-4</v>
      </c>
      <c r="AS40">
        <v>4.6056890131489503E-3</v>
      </c>
      <c r="AT40">
        <v>5.1611190972166154E-3</v>
      </c>
      <c r="AU40">
        <v>1.95068943410665E-3</v>
      </c>
      <c r="AV40">
        <v>1.9553949663449113E-3</v>
      </c>
      <c r="AW40">
        <v>3.4013598792445696E-3</v>
      </c>
      <c r="AX40">
        <v>3.2172723596571496E-4</v>
      </c>
      <c r="AY40">
        <v>4.8170697575300458E-4</v>
      </c>
      <c r="BB40">
        <v>4.314701478862145E-2</v>
      </c>
      <c r="BC40">
        <v>2.6994296576823926E-2</v>
      </c>
      <c r="BE40">
        <v>65066.734307425548</v>
      </c>
      <c r="BF40">
        <v>16.860395876608408</v>
      </c>
      <c r="BG40">
        <v>66658.690506032974</v>
      </c>
      <c r="BH40">
        <v>16.712986308173818</v>
      </c>
      <c r="BI40">
        <v>-1591.9561986074259</v>
      </c>
      <c r="BJ40">
        <v>0.14740956843458974</v>
      </c>
    </row>
    <row r="41" spans="3:62" x14ac:dyDescent="0.2">
      <c r="C41" s="121">
        <v>67068.680658304467</v>
      </c>
      <c r="D41">
        <v>17.49814778051709</v>
      </c>
      <c r="E41" s="121">
        <v>68877.282307440299</v>
      </c>
      <c r="F41" s="121">
        <v>17.387189562132232</v>
      </c>
      <c r="G41" s="121">
        <v>-1808.6016491358314</v>
      </c>
      <c r="H41" s="121">
        <v>0.11095821838485875</v>
      </c>
      <c r="J41" s="118">
        <v>2500</v>
      </c>
      <c r="L41">
        <v>0.999</v>
      </c>
      <c r="N41" s="121"/>
      <c r="O41" s="121"/>
      <c r="P41" s="121"/>
      <c r="R41">
        <v>375.91955260073411</v>
      </c>
      <c r="S41">
        <v>66.048782529769909</v>
      </c>
      <c r="T41">
        <v>236.84937175607632</v>
      </c>
      <c r="U41">
        <v>92.07792022053583</v>
      </c>
      <c r="X41">
        <v>0.9022535479807966</v>
      </c>
      <c r="Y41">
        <v>0.73202323512415657</v>
      </c>
      <c r="Z41">
        <v>0.76270291223037534</v>
      </c>
      <c r="AA41">
        <v>0.73585560261436422</v>
      </c>
      <c r="AB41">
        <v>0.772480723407593</v>
      </c>
      <c r="AC41">
        <v>0.65438253696999704</v>
      </c>
      <c r="AD41">
        <v>0.678621511135022</v>
      </c>
      <c r="AE41">
        <v>0.72564178852242078</v>
      </c>
      <c r="AH41">
        <v>0.15627403478638757</v>
      </c>
      <c r="AI41">
        <v>2.6412824940175827E-2</v>
      </c>
      <c r="AJ41">
        <v>7.5676092909045201E-2</v>
      </c>
      <c r="AK41">
        <v>4.255386096287328E-2</v>
      </c>
      <c r="AL41">
        <v>0.20717429429895828</v>
      </c>
      <c r="AM41">
        <v>2.9043294926771379E-2</v>
      </c>
      <c r="AN41">
        <v>0.13853691322839357</v>
      </c>
      <c r="AO41">
        <v>0.19145311443925295</v>
      </c>
      <c r="AR41">
        <v>6.7694414359276698E-4</v>
      </c>
      <c r="AS41">
        <v>4.7295948861887371E-3</v>
      </c>
      <c r="AT41">
        <v>4.7385393742925301E-3</v>
      </c>
      <c r="AU41">
        <v>2.0594006358465311E-3</v>
      </c>
      <c r="AV41">
        <v>2.0193438263944596E-3</v>
      </c>
      <c r="AW41">
        <v>3.498640148851262E-3</v>
      </c>
      <c r="AX41">
        <v>3.4756004750628483E-4</v>
      </c>
      <c r="AY41">
        <v>4.1066113696623142E-4</v>
      </c>
      <c r="BB41">
        <v>4.2423086610191257E-2</v>
      </c>
      <c r="BC41">
        <v>3.9194871649015917E-2</v>
      </c>
      <c r="BE41">
        <v>67068.680658304467</v>
      </c>
      <c r="BF41">
        <v>17.49814778051709</v>
      </c>
      <c r="BG41">
        <v>68877.282307440299</v>
      </c>
      <c r="BH41">
        <v>17.387189562132232</v>
      </c>
      <c r="BI41">
        <v>-1808.6016491358314</v>
      </c>
      <c r="BJ41">
        <v>0.11095821838485875</v>
      </c>
    </row>
    <row r="42" spans="3:62" x14ac:dyDescent="0.2">
      <c r="C42" s="121">
        <v>66024.26375238222</v>
      </c>
      <c r="D42">
        <v>17.072195595472607</v>
      </c>
      <c r="E42" s="121">
        <v>67831.302510309717</v>
      </c>
      <c r="F42" s="121">
        <v>16.929357936149728</v>
      </c>
      <c r="G42" s="121">
        <v>-1807.0387579274975</v>
      </c>
      <c r="H42" s="121">
        <v>0.14283765932287906</v>
      </c>
      <c r="J42" s="118">
        <v>2600</v>
      </c>
      <c r="L42">
        <v>0.999</v>
      </c>
      <c r="N42" s="121"/>
      <c r="O42" s="121"/>
      <c r="P42" s="121"/>
      <c r="R42">
        <v>292.96308351521787</v>
      </c>
      <c r="S42">
        <v>62.079208904768556</v>
      </c>
      <c r="T42">
        <v>203.94682037994772</v>
      </c>
      <c r="U42">
        <v>82.494492028918401</v>
      </c>
      <c r="X42">
        <v>0.84133395284007784</v>
      </c>
      <c r="Y42">
        <v>0.76415606641099254</v>
      </c>
      <c r="Z42">
        <v>0.74635451433421152</v>
      </c>
      <c r="AA42">
        <v>0.7865620581378876</v>
      </c>
      <c r="AB42">
        <v>0.72508689623749323</v>
      </c>
      <c r="AC42">
        <v>0.74236788095498718</v>
      </c>
      <c r="AD42">
        <v>0.95768990284292221</v>
      </c>
      <c r="AE42">
        <v>0.64401796918798726</v>
      </c>
      <c r="AH42">
        <v>1.9416539880911743E-2</v>
      </c>
      <c r="AI42">
        <v>0.28441051653411165</v>
      </c>
      <c r="AJ42">
        <v>4.7141777374807847E-2</v>
      </c>
      <c r="AK42">
        <v>2.485531103606109E-2</v>
      </c>
      <c r="AL42">
        <v>0.2024764369682418</v>
      </c>
      <c r="AM42">
        <v>9.4255300193861302E-2</v>
      </c>
      <c r="AN42">
        <v>3.2525645775796641E-2</v>
      </c>
      <c r="AO42">
        <v>0.11948904331696242</v>
      </c>
      <c r="AR42">
        <v>8.1771486783572124E-4</v>
      </c>
      <c r="AS42">
        <v>4.4484764326909124E-3</v>
      </c>
      <c r="AT42">
        <v>4.9419149966745202E-3</v>
      </c>
      <c r="AU42">
        <v>1.8120420265600359E-3</v>
      </c>
      <c r="AV42">
        <v>2.0697085750790434E-3</v>
      </c>
      <c r="AW42">
        <v>3.2073704559028846E-3</v>
      </c>
      <c r="AX42">
        <v>4.6671974771350655E-4</v>
      </c>
      <c r="AY42">
        <v>4.1074068272352625E-4</v>
      </c>
      <c r="BB42">
        <v>5.3388062275399495E-2</v>
      </c>
      <c r="BC42">
        <v>1.7841049764846503E-2</v>
      </c>
      <c r="BE42">
        <v>66024.26375238222</v>
      </c>
      <c r="BF42">
        <v>17.072195595472607</v>
      </c>
      <c r="BG42">
        <v>67831.302510309717</v>
      </c>
      <c r="BH42">
        <v>16.929357936149728</v>
      </c>
      <c r="BI42">
        <v>-1807.0387579274975</v>
      </c>
      <c r="BJ42">
        <v>0.14283765932287906</v>
      </c>
    </row>
    <row r="43" spans="3:62" x14ac:dyDescent="0.2">
      <c r="C43" s="121">
        <v>71467.539633457796</v>
      </c>
      <c r="D43">
        <v>14.755200388461072</v>
      </c>
      <c r="E43" s="121">
        <v>72946.674208567201</v>
      </c>
      <c r="F43" s="121">
        <v>14.666511347189335</v>
      </c>
      <c r="G43" s="121">
        <v>-1479.134575109405</v>
      </c>
      <c r="H43" s="121">
        <v>8.8689041271736713E-2</v>
      </c>
      <c r="J43" s="118">
        <v>2700</v>
      </c>
      <c r="L43">
        <v>0.999</v>
      </c>
      <c r="N43" s="121"/>
      <c r="O43" s="121"/>
      <c r="P43" s="121"/>
      <c r="R43">
        <v>275.62673544750476</v>
      </c>
      <c r="S43">
        <v>59.475526020341455</v>
      </c>
      <c r="T43">
        <v>257.14488783820747</v>
      </c>
      <c r="U43">
        <v>99.169357626960206</v>
      </c>
      <c r="X43">
        <v>0.72616924877219213</v>
      </c>
      <c r="Y43">
        <v>0.90347002212745631</v>
      </c>
      <c r="Z43">
        <v>0.62420419561640872</v>
      </c>
      <c r="AA43">
        <v>0.69915584765966077</v>
      </c>
      <c r="AB43">
        <v>0.94410579129675187</v>
      </c>
      <c r="AC43">
        <v>0.72867491209693658</v>
      </c>
      <c r="AD43">
        <v>0.62017041675397155</v>
      </c>
      <c r="AE43">
        <v>0.78977555018443457</v>
      </c>
      <c r="AH43">
        <v>0.37387784472032226</v>
      </c>
      <c r="AI43">
        <v>0.17964476505391114</v>
      </c>
      <c r="AJ43">
        <v>0.17859756137285654</v>
      </c>
      <c r="AK43">
        <v>3.0637568444911389E-2</v>
      </c>
      <c r="AL43">
        <v>8.9000107822166274E-2</v>
      </c>
      <c r="AM43">
        <v>8.8139944158977857E-2</v>
      </c>
      <c r="AN43">
        <v>0.14469117899364492</v>
      </c>
      <c r="AO43">
        <v>0.1281461425839685</v>
      </c>
      <c r="AR43">
        <v>1.1465515123869618E-3</v>
      </c>
      <c r="AS43">
        <v>4.8896744136679438E-3</v>
      </c>
      <c r="AT43">
        <v>4.8516141624242769E-3</v>
      </c>
      <c r="AU43">
        <v>1.9043168546344638E-3</v>
      </c>
      <c r="AV43">
        <v>1.901900407939035E-3</v>
      </c>
      <c r="AW43">
        <v>3.5492681203657117E-3</v>
      </c>
      <c r="AX43">
        <v>3.4204912889553165E-4</v>
      </c>
      <c r="AY43">
        <v>3.2450595835833247E-4</v>
      </c>
      <c r="BB43">
        <v>5.4091569578662013E-2</v>
      </c>
      <c r="BC43">
        <v>3.266570278944627E-2</v>
      </c>
      <c r="BE43">
        <v>71467.539633457796</v>
      </c>
      <c r="BF43">
        <v>14.755200388461072</v>
      </c>
      <c r="BG43">
        <v>72946.674208567201</v>
      </c>
      <c r="BH43">
        <v>14.666511347189335</v>
      </c>
      <c r="BI43">
        <v>-1479.134575109405</v>
      </c>
      <c r="BJ43">
        <v>8.8689041271736713E-2</v>
      </c>
    </row>
    <row r="44" spans="3:62" x14ac:dyDescent="0.2">
      <c r="C44" s="121">
        <v>66057.83510273823</v>
      </c>
      <c r="D44">
        <v>16.35726946687149</v>
      </c>
      <c r="E44" s="121">
        <v>66999.098764290218</v>
      </c>
      <c r="F44" s="121">
        <v>16.270130108297028</v>
      </c>
      <c r="G44" s="121">
        <v>-941.26366155198775</v>
      </c>
      <c r="H44" s="121">
        <v>8.7139358574461312E-2</v>
      </c>
      <c r="J44" s="118">
        <v>2800</v>
      </c>
      <c r="L44">
        <v>0.999</v>
      </c>
      <c r="N44" s="121"/>
      <c r="O44" s="121"/>
      <c r="P44" s="121"/>
      <c r="R44">
        <v>505.13415885810332</v>
      </c>
      <c r="S44">
        <v>53.35545183545365</v>
      </c>
      <c r="T44">
        <v>234.83053458551933</v>
      </c>
      <c r="U44">
        <v>96.777216112975211</v>
      </c>
      <c r="X44">
        <v>0.7260734836926187</v>
      </c>
      <c r="Y44">
        <v>0.8433593430441314</v>
      </c>
      <c r="Z44">
        <v>0.78303253776446724</v>
      </c>
      <c r="AA44">
        <v>0.766599014969926</v>
      </c>
      <c r="AB44">
        <v>0.52149679109232583</v>
      </c>
      <c r="AC44">
        <v>0.88198768122057392</v>
      </c>
      <c r="AD44">
        <v>0.88593618735418356</v>
      </c>
      <c r="AE44">
        <v>0.47314688073086164</v>
      </c>
      <c r="AH44">
        <v>6.5563805231535932E-2</v>
      </c>
      <c r="AI44">
        <v>0.16109026611945121</v>
      </c>
      <c r="AJ44">
        <v>4.4796908493923482E-2</v>
      </c>
      <c r="AK44">
        <v>0.28579846169983569</v>
      </c>
      <c r="AL44">
        <v>8.1820552000002378E-2</v>
      </c>
      <c r="AM44">
        <v>0.20172618005794696</v>
      </c>
      <c r="AN44">
        <v>2.3959377110947866E-2</v>
      </c>
      <c r="AO44">
        <v>0.3749400178042307</v>
      </c>
      <c r="AR44">
        <v>8.1020197866966178E-4</v>
      </c>
      <c r="AS44">
        <v>5.037334484581879E-3</v>
      </c>
      <c r="AT44">
        <v>5.0866544819785364E-3</v>
      </c>
      <c r="AU44">
        <v>1.6963474365425215E-3</v>
      </c>
      <c r="AV44">
        <v>2.0627399354952169E-3</v>
      </c>
      <c r="AW44">
        <v>3.2594929730877091E-3</v>
      </c>
      <c r="AX44">
        <v>3.2671301447116007E-4</v>
      </c>
      <c r="AY44">
        <v>4.889010580226838E-4</v>
      </c>
      <c r="BB44">
        <v>5.1784902115748266E-2</v>
      </c>
      <c r="BC44">
        <v>9.1825867246111526E-2</v>
      </c>
      <c r="BE44">
        <v>66057.83510273823</v>
      </c>
      <c r="BF44">
        <v>16.35726946687149</v>
      </c>
      <c r="BG44">
        <v>66999.098764290218</v>
      </c>
      <c r="BH44">
        <v>16.270130108297028</v>
      </c>
      <c r="BI44">
        <v>-941.26366155198775</v>
      </c>
      <c r="BJ44">
        <v>8.7139358574461312E-2</v>
      </c>
    </row>
    <row r="45" spans="3:62" x14ac:dyDescent="0.2">
      <c r="C45" s="121">
        <v>71837.444383078982</v>
      </c>
      <c r="D45">
        <v>17.102544012561161</v>
      </c>
      <c r="E45" s="121">
        <v>73518.403640624529</v>
      </c>
      <c r="F45" s="121">
        <v>16.954829076296136</v>
      </c>
      <c r="G45" s="121">
        <v>-1680.9592575455463</v>
      </c>
      <c r="H45" s="121">
        <v>0.14771493626502519</v>
      </c>
      <c r="J45" s="118">
        <v>2900</v>
      </c>
      <c r="L45">
        <v>0.999</v>
      </c>
      <c r="N45" s="121"/>
      <c r="O45" s="121"/>
      <c r="P45" s="121"/>
      <c r="R45">
        <v>271.14971167380122</v>
      </c>
      <c r="S45">
        <v>65.243769763601222</v>
      </c>
      <c r="T45">
        <v>220.84729173568937</v>
      </c>
      <c r="U45">
        <v>91.206175738830112</v>
      </c>
      <c r="X45">
        <v>0.64037897264909893</v>
      </c>
      <c r="Y45">
        <v>0.72092369294241843</v>
      </c>
      <c r="Z45">
        <v>0.65207200588527858</v>
      </c>
      <c r="AA45">
        <v>0.77786362583804347</v>
      </c>
      <c r="AB45">
        <v>0.77279860104977094</v>
      </c>
      <c r="AC45">
        <v>0.55634315976103665</v>
      </c>
      <c r="AD45">
        <v>0.8255514991144185</v>
      </c>
      <c r="AE45">
        <v>0.93719993688811143</v>
      </c>
      <c r="AH45">
        <v>0.11448939375497091</v>
      </c>
      <c r="AI45">
        <v>0.12799222577283531</v>
      </c>
      <c r="AJ45">
        <v>0.22683287532055185</v>
      </c>
      <c r="AK45">
        <v>1.7069291936430586E-2</v>
      </c>
      <c r="AL45">
        <v>7.1673217808681855E-2</v>
      </c>
      <c r="AM45">
        <v>2.1580996021610455E-2</v>
      </c>
      <c r="AN45">
        <v>0.1706880905864786</v>
      </c>
      <c r="AO45">
        <v>7.1555403229577319E-2</v>
      </c>
      <c r="AR45">
        <v>8.7755414233305767E-4</v>
      </c>
      <c r="AS45">
        <v>4.8907326592839695E-3</v>
      </c>
      <c r="AT45">
        <v>4.9759373772939597E-3</v>
      </c>
      <c r="AU45">
        <v>2.1515423710214421E-3</v>
      </c>
      <c r="AV45">
        <v>2.1029392847103923E-3</v>
      </c>
      <c r="AW45">
        <v>3.6384479418313243E-3</v>
      </c>
      <c r="AX45">
        <v>3.5649907994789615E-4</v>
      </c>
      <c r="AY45">
        <v>4.300761466835042E-4</v>
      </c>
      <c r="BB45">
        <v>5.8182224324924148E-2</v>
      </c>
      <c r="BC45">
        <v>7.2619615250193337E-2</v>
      </c>
      <c r="BE45">
        <v>71837.444383078982</v>
      </c>
      <c r="BF45">
        <v>17.102544012561161</v>
      </c>
      <c r="BG45">
        <v>73518.403640624529</v>
      </c>
      <c r="BH45">
        <v>16.954829076296136</v>
      </c>
      <c r="BI45">
        <v>-1680.9592575455463</v>
      </c>
      <c r="BJ45">
        <v>0.14771493626502519</v>
      </c>
    </row>
    <row r="46" spans="3:62" x14ac:dyDescent="0.2">
      <c r="C46" s="121">
        <v>64922.928185921992</v>
      </c>
      <c r="D46">
        <v>17.840939469405008</v>
      </c>
      <c r="E46" s="121">
        <v>66898.496441254494</v>
      </c>
      <c r="F46" s="121">
        <v>17.689414037696739</v>
      </c>
      <c r="G46" s="121">
        <v>-1975.5682553325023</v>
      </c>
      <c r="H46" s="121">
        <v>0.1515254317082686</v>
      </c>
      <c r="J46" s="118">
        <v>3000</v>
      </c>
      <c r="L46">
        <v>0.999</v>
      </c>
      <c r="N46" s="121"/>
      <c r="O46" s="121"/>
      <c r="P46" s="121"/>
      <c r="R46">
        <v>337.93119762125389</v>
      </c>
      <c r="S46">
        <v>57.541382484890939</v>
      </c>
      <c r="T46">
        <v>273.41234247793466</v>
      </c>
      <c r="U46">
        <v>103.27369469383875</v>
      </c>
      <c r="X46">
        <v>0.71214880219348142</v>
      </c>
      <c r="Y46">
        <v>0.69532539594139009</v>
      </c>
      <c r="Z46">
        <v>0.84220029317729994</v>
      </c>
      <c r="AA46">
        <v>0.72934977216234009</v>
      </c>
      <c r="AB46">
        <v>0.70635390729731606</v>
      </c>
      <c r="AC46">
        <v>0.8404482393260001</v>
      </c>
      <c r="AD46">
        <v>0.73142289075067624</v>
      </c>
      <c r="AE46">
        <v>0.55259981076441567</v>
      </c>
      <c r="AH46">
        <v>0.13477566516928452</v>
      </c>
      <c r="AI46">
        <v>0.1761003862887458</v>
      </c>
      <c r="AJ46">
        <v>0.21618801492308937</v>
      </c>
      <c r="AK46">
        <v>5.5898945291770419E-2</v>
      </c>
      <c r="AL46">
        <v>0.12226486943612014</v>
      </c>
      <c r="AM46">
        <v>5.4745025647669698E-2</v>
      </c>
      <c r="AN46">
        <v>0.1443284413282947</v>
      </c>
      <c r="AO46">
        <v>3.1467745038334605E-2</v>
      </c>
      <c r="AR46">
        <v>8.4695586599713407E-4</v>
      </c>
      <c r="AS46">
        <v>4.5698767373459903E-3</v>
      </c>
      <c r="AT46">
        <v>4.7431970080773133E-3</v>
      </c>
      <c r="AU46">
        <v>2.0479107234314675E-3</v>
      </c>
      <c r="AV46">
        <v>2.0091807344323476E-3</v>
      </c>
      <c r="AW46">
        <v>3.3732991462344839E-3</v>
      </c>
      <c r="AX46">
        <v>4.4347217616369505E-4</v>
      </c>
      <c r="AY46">
        <v>5.5173780829065322E-4</v>
      </c>
      <c r="BB46">
        <v>4.8567063982638978E-2</v>
      </c>
      <c r="BC46">
        <v>1.6821231105112452E-2</v>
      </c>
      <c r="BE46">
        <v>64922.928185921992</v>
      </c>
      <c r="BF46">
        <v>17.840939469405008</v>
      </c>
      <c r="BG46">
        <v>66898.496441254494</v>
      </c>
      <c r="BH46">
        <v>17.689414037696739</v>
      </c>
      <c r="BI46">
        <v>-1975.5682553325023</v>
      </c>
      <c r="BJ46">
        <v>0.1515254317082686</v>
      </c>
    </row>
    <row r="47" spans="3:62" x14ac:dyDescent="0.2">
      <c r="C47" s="121">
        <v>72660.760550946899</v>
      </c>
      <c r="D47">
        <v>17.272091574934031</v>
      </c>
      <c r="E47" s="121">
        <v>74602.516417226128</v>
      </c>
      <c r="F47" s="121">
        <v>17.153101960193734</v>
      </c>
      <c r="G47" s="121">
        <v>-1941.7558662792289</v>
      </c>
      <c r="H47" s="121">
        <v>0.1189896147402969</v>
      </c>
      <c r="J47" s="118">
        <v>3100</v>
      </c>
      <c r="L47">
        <v>0.999</v>
      </c>
      <c r="N47" s="121"/>
      <c r="O47" s="121"/>
      <c r="P47" s="121"/>
      <c r="R47">
        <v>264.74369768122062</v>
      </c>
      <c r="S47">
        <v>69.416463980408196</v>
      </c>
      <c r="T47">
        <v>296.71143748419172</v>
      </c>
      <c r="U47">
        <v>97.435686111554006</v>
      </c>
      <c r="X47">
        <v>0.71097513141954671</v>
      </c>
      <c r="Y47">
        <v>0.93970555605928463</v>
      </c>
      <c r="Z47">
        <v>0.7261148669623213</v>
      </c>
      <c r="AA47">
        <v>0.50315540538712977</v>
      </c>
      <c r="AB47">
        <v>0.97259394057946214</v>
      </c>
      <c r="AC47">
        <v>0.62452264576561434</v>
      </c>
      <c r="AD47">
        <v>0.73113896031747094</v>
      </c>
      <c r="AE47">
        <v>0.79705646673108266</v>
      </c>
      <c r="AH47">
        <v>1.5132663669109703E-2</v>
      </c>
      <c r="AI47">
        <v>8.9504750302734415E-2</v>
      </c>
      <c r="AJ47">
        <v>0.24244071985759663</v>
      </c>
      <c r="AK47">
        <v>0.16527802913696021</v>
      </c>
      <c r="AL47">
        <v>0.10993330421503034</v>
      </c>
      <c r="AM47">
        <v>0.15604954804066229</v>
      </c>
      <c r="AN47">
        <v>9.6215430447064709E-2</v>
      </c>
      <c r="AO47">
        <v>7.1077015146711497E-2</v>
      </c>
      <c r="AR47">
        <v>8.458681246696244E-4</v>
      </c>
      <c r="AS47">
        <v>4.1981605998941624E-3</v>
      </c>
      <c r="AT47">
        <v>4.3175406526037114E-3</v>
      </c>
      <c r="AU47">
        <v>2.2098392361403763E-3</v>
      </c>
      <c r="AV47">
        <v>2.0437422310709552E-3</v>
      </c>
      <c r="AW47">
        <v>3.5327909867277629E-3</v>
      </c>
      <c r="AX47">
        <v>4.1111214500733073E-4</v>
      </c>
      <c r="AY47">
        <v>3.4891925853584117E-4</v>
      </c>
      <c r="BB47">
        <v>3.8818421841218899E-2</v>
      </c>
      <c r="BC47">
        <v>4.0051969170882766E-2</v>
      </c>
      <c r="BE47">
        <v>72660.760550946899</v>
      </c>
      <c r="BF47">
        <v>17.272091574934031</v>
      </c>
      <c r="BG47">
        <v>74602.516417226128</v>
      </c>
      <c r="BH47">
        <v>17.153101960193734</v>
      </c>
      <c r="BI47">
        <v>-1941.7558662792289</v>
      </c>
      <c r="BJ47">
        <v>0.1189896147402969</v>
      </c>
    </row>
    <row r="48" spans="3:62" x14ac:dyDescent="0.2">
      <c r="C48" s="121">
        <v>63896.581787402632</v>
      </c>
      <c r="D48">
        <v>18.240637559405275</v>
      </c>
      <c r="E48" s="121">
        <v>65127.566897476951</v>
      </c>
      <c r="F48" s="121">
        <v>18.153604191381021</v>
      </c>
      <c r="G48" s="121">
        <v>-1230.9851100743181</v>
      </c>
      <c r="H48" s="121">
        <v>8.7033368024254543E-2</v>
      </c>
      <c r="J48" s="118">
        <v>3200</v>
      </c>
      <c r="L48">
        <v>0.999</v>
      </c>
      <c r="N48" s="121"/>
      <c r="O48" s="121"/>
      <c r="P48" s="121"/>
      <c r="R48">
        <v>223.04098385006898</v>
      </c>
      <c r="S48">
        <v>68.0701820631337</v>
      </c>
      <c r="T48">
        <v>266.53531617632569</v>
      </c>
      <c r="U48">
        <v>96.332098794823352</v>
      </c>
      <c r="X48">
        <v>0.78363293263393108</v>
      </c>
      <c r="Y48">
        <v>0.74681646925253842</v>
      </c>
      <c r="Z48">
        <v>0.67981297319768919</v>
      </c>
      <c r="AA48">
        <v>0.83160148020950553</v>
      </c>
      <c r="AB48">
        <v>0.60206460750964286</v>
      </c>
      <c r="AC48">
        <v>0.63184376806483522</v>
      </c>
      <c r="AD48">
        <v>0.68762685597861073</v>
      </c>
      <c r="AE48">
        <v>0.72306359868396897</v>
      </c>
      <c r="AH48">
        <v>0.10836288469312561</v>
      </c>
      <c r="AI48">
        <v>0.35142938601280882</v>
      </c>
      <c r="AJ48">
        <v>0.16892702270864079</v>
      </c>
      <c r="AK48">
        <v>0.32031024691598398</v>
      </c>
      <c r="AL48">
        <v>0.13134647650159614</v>
      </c>
      <c r="AM48">
        <v>0.38385246765614345</v>
      </c>
      <c r="AN48">
        <v>0.14398082660376221</v>
      </c>
      <c r="AO48">
        <v>0.16882968691174793</v>
      </c>
      <c r="AR48">
        <v>8.5196675796567374E-4</v>
      </c>
      <c r="AS48">
        <v>4.3561300549492706E-3</v>
      </c>
      <c r="AT48">
        <v>4.7528949155330727E-3</v>
      </c>
      <c r="AU48">
        <v>2.2360511519518012E-3</v>
      </c>
      <c r="AV48">
        <v>1.769430226678539E-3</v>
      </c>
      <c r="AW48">
        <v>3.1971660413079952E-3</v>
      </c>
      <c r="AX48">
        <v>2.867887140073668E-4</v>
      </c>
      <c r="AY48">
        <v>5.6426444585944147E-4</v>
      </c>
      <c r="BB48">
        <v>5.0517918669802375E-2</v>
      </c>
      <c r="BC48">
        <v>9.1426085955589476E-3</v>
      </c>
      <c r="BE48">
        <v>63896.581787402632</v>
      </c>
      <c r="BF48">
        <v>18.240637559405275</v>
      </c>
      <c r="BG48">
        <v>65127.566897476951</v>
      </c>
      <c r="BH48">
        <v>18.153604191381021</v>
      </c>
      <c r="BI48">
        <v>-1230.9851100743181</v>
      </c>
      <c r="BJ48">
        <v>8.7033368024254543E-2</v>
      </c>
    </row>
    <row r="49" spans="3:62" x14ac:dyDescent="0.2">
      <c r="C49" s="121">
        <v>70019.070001770961</v>
      </c>
      <c r="D49">
        <v>16.536921904512926</v>
      </c>
      <c r="E49" s="121">
        <v>70939.295512241617</v>
      </c>
      <c r="F49" s="121">
        <v>16.48836041133174</v>
      </c>
      <c r="G49" s="121">
        <v>-920.22551047065645</v>
      </c>
      <c r="H49" s="121">
        <v>4.8561493181185966E-2</v>
      </c>
      <c r="J49" s="118">
        <v>3300</v>
      </c>
      <c r="L49">
        <v>0.999</v>
      </c>
      <c r="N49" s="121"/>
      <c r="O49" s="121"/>
      <c r="P49" s="121"/>
      <c r="R49">
        <v>325.69765960531771</v>
      </c>
      <c r="S49">
        <v>71.631483305122558</v>
      </c>
      <c r="T49">
        <v>271.42265950158765</v>
      </c>
      <c r="U49">
        <v>98.728321764940532</v>
      </c>
      <c r="X49">
        <v>0.79859389730905816</v>
      </c>
      <c r="Y49">
        <v>0.86677498899766892</v>
      </c>
      <c r="Z49">
        <v>0.92318297739228883</v>
      </c>
      <c r="AA49">
        <v>0.85824176725523582</v>
      </c>
      <c r="AB49">
        <v>0.62715603694095012</v>
      </c>
      <c r="AC49">
        <v>0.84781742309274577</v>
      </c>
      <c r="AD49">
        <v>0.72074462230021807</v>
      </c>
      <c r="AE49">
        <v>0.63310571186998665</v>
      </c>
      <c r="AH49">
        <v>5.5402131725116655E-2</v>
      </c>
      <c r="AI49">
        <v>7.5736245500024113E-2</v>
      </c>
      <c r="AJ49">
        <v>0.13221113569913245</v>
      </c>
      <c r="AK49">
        <v>4.7755795968471793E-2</v>
      </c>
      <c r="AL49">
        <v>0.31411717840677511</v>
      </c>
      <c r="AM49">
        <v>0.25622398908407817</v>
      </c>
      <c r="AN49">
        <v>0.1361996693068892</v>
      </c>
      <c r="AO49">
        <v>0.16257287132184584</v>
      </c>
      <c r="AR49">
        <v>1.0882164028293007E-3</v>
      </c>
      <c r="AS49">
        <v>4.2657998546287513E-3</v>
      </c>
      <c r="AT49">
        <v>4.8015828443242394E-3</v>
      </c>
      <c r="AU49">
        <v>1.8707131715993387E-3</v>
      </c>
      <c r="AV49">
        <v>2.2878812569586682E-3</v>
      </c>
      <c r="AW49">
        <v>3.6728637631106009E-3</v>
      </c>
      <c r="AX49">
        <v>4.3397852475268728E-4</v>
      </c>
      <c r="AY49">
        <v>4.7225625383928715E-4</v>
      </c>
      <c r="BB49">
        <v>3.8680840614794459E-2</v>
      </c>
      <c r="BC49">
        <v>6.6814596190626241E-2</v>
      </c>
      <c r="BE49">
        <v>70019.070001770961</v>
      </c>
      <c r="BF49">
        <v>16.536921904512926</v>
      </c>
      <c r="BG49">
        <v>70939.295512241617</v>
      </c>
      <c r="BH49">
        <v>16.48836041133174</v>
      </c>
      <c r="BI49">
        <v>-920.22551047065645</v>
      </c>
      <c r="BJ49">
        <v>4.8561493181185966E-2</v>
      </c>
    </row>
    <row r="50" spans="3:62" x14ac:dyDescent="0.2">
      <c r="C50" s="121">
        <v>72368.480698218453</v>
      </c>
      <c r="D50">
        <v>14.269879518464853</v>
      </c>
      <c r="E50" s="121">
        <v>74259.436748018532</v>
      </c>
      <c r="F50" s="121">
        <v>14.130006094152323</v>
      </c>
      <c r="G50" s="121">
        <v>-1890.9560498000792</v>
      </c>
      <c r="H50" s="121">
        <v>0.13987342431252969</v>
      </c>
      <c r="J50" s="118">
        <v>3400</v>
      </c>
      <c r="L50">
        <v>0.999</v>
      </c>
      <c r="N50" s="121"/>
      <c r="O50" s="121"/>
      <c r="P50" s="121"/>
      <c r="R50">
        <v>276.61689990150865</v>
      </c>
      <c r="S50">
        <v>60.544825500901887</v>
      </c>
      <c r="T50">
        <v>243.38528199811358</v>
      </c>
      <c r="U50">
        <v>102.9387799168835</v>
      </c>
      <c r="X50">
        <v>0.82143217060600027</v>
      </c>
      <c r="Y50">
        <v>0.67276271175166602</v>
      </c>
      <c r="Z50">
        <v>0.83447394195574642</v>
      </c>
      <c r="AA50">
        <v>0.78797053243574711</v>
      </c>
      <c r="AB50">
        <v>0.62883432672457562</v>
      </c>
      <c r="AC50">
        <v>0.5073037154323351</v>
      </c>
      <c r="AD50">
        <v>0.57038892344029402</v>
      </c>
      <c r="AE50">
        <v>0.72474217910087957</v>
      </c>
      <c r="AH50">
        <v>7.684116489802495E-2</v>
      </c>
      <c r="AI50">
        <v>9.5230486034064254E-2</v>
      </c>
      <c r="AJ50">
        <v>0.232745355506076</v>
      </c>
      <c r="AK50">
        <v>1.339682184780111E-2</v>
      </c>
      <c r="AL50">
        <v>0.17208162351623146</v>
      </c>
      <c r="AM50">
        <v>0.16599417713312115</v>
      </c>
      <c r="AN50">
        <v>4.4983075863957445E-2</v>
      </c>
      <c r="AO50">
        <v>2.9458902725930436E-2</v>
      </c>
      <c r="AR50">
        <v>7.9194383362113277E-4</v>
      </c>
      <c r="AS50">
        <v>4.5954454960462909E-3</v>
      </c>
      <c r="AT50">
        <v>4.3356939434403144E-3</v>
      </c>
      <c r="AU50">
        <v>1.9176744057574219E-3</v>
      </c>
      <c r="AV50">
        <v>2.0113809092408008E-3</v>
      </c>
      <c r="AW50">
        <v>3.4742662780740119E-3</v>
      </c>
      <c r="AX50">
        <v>3.6336662044633505E-4</v>
      </c>
      <c r="AY50">
        <v>5.2208395503350324E-4</v>
      </c>
      <c r="BB50">
        <v>4.8410189877735224E-2</v>
      </c>
      <c r="BC50">
        <v>5.1930651737872147E-2</v>
      </c>
      <c r="BE50">
        <v>72368.480698218453</v>
      </c>
      <c r="BF50">
        <v>14.269879518464853</v>
      </c>
      <c r="BG50">
        <v>74259.436748018532</v>
      </c>
      <c r="BH50">
        <v>14.130006094152323</v>
      </c>
      <c r="BI50">
        <v>-1890.9560498000792</v>
      </c>
      <c r="BJ50">
        <v>0.13987342431252969</v>
      </c>
    </row>
    <row r="51" spans="3:62" x14ac:dyDescent="0.2">
      <c r="C51" s="121">
        <v>76021.379472401735</v>
      </c>
      <c r="D51">
        <v>16.25247047409858</v>
      </c>
      <c r="E51" s="121">
        <v>75970.748949088724</v>
      </c>
      <c r="F51" s="121">
        <v>16.209341414149225</v>
      </c>
      <c r="G51" s="121">
        <v>50.630523313011508</v>
      </c>
      <c r="H51" s="121">
        <v>4.3129059949354343E-2</v>
      </c>
      <c r="J51" s="118">
        <v>3500</v>
      </c>
      <c r="L51">
        <v>0.999</v>
      </c>
      <c r="N51" s="121"/>
      <c r="O51" s="121"/>
      <c r="P51" s="121"/>
      <c r="R51">
        <v>287.93308283724258</v>
      </c>
      <c r="S51">
        <v>63.689791915084434</v>
      </c>
      <c r="T51">
        <v>220.14341472202685</v>
      </c>
      <c r="U51">
        <v>100.93276531925476</v>
      </c>
      <c r="X51">
        <v>0.77883142565899555</v>
      </c>
      <c r="Y51">
        <v>0.84347706513441156</v>
      </c>
      <c r="Z51">
        <v>0.92072924773100517</v>
      </c>
      <c r="AA51">
        <v>0.69905029799654161</v>
      </c>
      <c r="AB51">
        <v>0.55358805818798118</v>
      </c>
      <c r="AC51">
        <v>0.73472903023541147</v>
      </c>
      <c r="AD51">
        <v>0.8041880256809596</v>
      </c>
      <c r="AE51">
        <v>0.76619937046457154</v>
      </c>
      <c r="AH51">
        <v>7.9272007933247401E-2</v>
      </c>
      <c r="AI51">
        <v>0.10316185508180964</v>
      </c>
      <c r="AJ51">
        <v>0.12113623156319553</v>
      </c>
      <c r="AK51">
        <v>0.17461657613166914</v>
      </c>
      <c r="AL51">
        <v>4.4989698102878783E-2</v>
      </c>
      <c r="AM51">
        <v>0.15380670713513178</v>
      </c>
      <c r="AN51">
        <v>0.21886778611939772</v>
      </c>
      <c r="AO51">
        <v>7.2949358226765515E-2</v>
      </c>
      <c r="AR51">
        <v>9.8967906004476802E-4</v>
      </c>
      <c r="AS51">
        <v>4.4470127613885609E-3</v>
      </c>
      <c r="AT51">
        <v>4.7638456171366552E-3</v>
      </c>
      <c r="AU51">
        <v>1.7216798666464771E-3</v>
      </c>
      <c r="AV51">
        <v>2.2034170125302399E-3</v>
      </c>
      <c r="AW51">
        <v>3.3682139325152127E-3</v>
      </c>
      <c r="AX51">
        <v>3.4761401957370935E-4</v>
      </c>
      <c r="AY51">
        <v>4.8524296711582871E-4</v>
      </c>
      <c r="BB51">
        <v>5.242936550242816E-2</v>
      </c>
      <c r="BC51">
        <v>4.7296349847359198E-2</v>
      </c>
      <c r="BE51">
        <v>76021.379472401735</v>
      </c>
      <c r="BF51">
        <v>16.25247047409858</v>
      </c>
      <c r="BG51">
        <v>75970.748949088724</v>
      </c>
      <c r="BH51">
        <v>16.209341414149225</v>
      </c>
      <c r="BI51">
        <v>50.630523313011508</v>
      </c>
      <c r="BJ51">
        <v>4.3129059949354343E-2</v>
      </c>
    </row>
    <row r="52" spans="3:62" x14ac:dyDescent="0.2">
      <c r="C52" s="121">
        <v>68765.529723148109</v>
      </c>
      <c r="D52">
        <v>17.646031051685778</v>
      </c>
      <c r="E52" s="121">
        <v>70084.390559282823</v>
      </c>
      <c r="F52" s="121">
        <v>17.525460901256082</v>
      </c>
      <c r="G52" s="121">
        <v>-1318.8608361347142</v>
      </c>
      <c r="H52" s="121">
        <v>0.1205701504296961</v>
      </c>
      <c r="J52" s="118">
        <v>3600</v>
      </c>
      <c r="L52">
        <v>0.999</v>
      </c>
      <c r="N52" s="121"/>
      <c r="O52" s="121"/>
      <c r="P52" s="121"/>
      <c r="R52">
        <v>308.81236927469035</v>
      </c>
      <c r="S52">
        <v>64.187545325001736</v>
      </c>
      <c r="T52">
        <v>237.28840738195191</v>
      </c>
      <c r="U52">
        <v>88.317641388283747</v>
      </c>
      <c r="X52">
        <v>0.81588176537650647</v>
      </c>
      <c r="Y52">
        <v>0.71304616136117105</v>
      </c>
      <c r="Z52">
        <v>0.76943403491833628</v>
      </c>
      <c r="AA52">
        <v>0.76430847836506399</v>
      </c>
      <c r="AB52">
        <v>0.8252184224522936</v>
      </c>
      <c r="AC52">
        <v>0.94972730372773018</v>
      </c>
      <c r="AD52">
        <v>0.7568862490885595</v>
      </c>
      <c r="AE52">
        <v>0.76576843601361555</v>
      </c>
      <c r="AH52">
        <v>0.15716229163530226</v>
      </c>
      <c r="AI52">
        <v>0.12177521929280066</v>
      </c>
      <c r="AJ52">
        <v>0.15010664191154988</v>
      </c>
      <c r="AK52">
        <v>0.21199859997301251</v>
      </c>
      <c r="AL52">
        <v>8.794763340126921E-2</v>
      </c>
      <c r="AM52">
        <v>7.9334117958412831E-2</v>
      </c>
      <c r="AN52">
        <v>3.3314418004105728E-2</v>
      </c>
      <c r="AO52">
        <v>0.1359767362034866</v>
      </c>
      <c r="AR52">
        <v>8.4457944834863137E-4</v>
      </c>
      <c r="AS52">
        <v>4.6645297760221638E-3</v>
      </c>
      <c r="AT52">
        <v>5.1984514231868673E-3</v>
      </c>
      <c r="AU52">
        <v>1.969493952425076E-3</v>
      </c>
      <c r="AV52">
        <v>1.9551068637835675E-3</v>
      </c>
      <c r="AW52">
        <v>3.2201407862005342E-3</v>
      </c>
      <c r="AX52">
        <v>3.0779175544723327E-4</v>
      </c>
      <c r="AY52">
        <v>4.6937792366241737E-4</v>
      </c>
      <c r="BB52">
        <v>5.8475173883080434E-2</v>
      </c>
      <c r="BC52">
        <v>2.2177136969560373E-2</v>
      </c>
      <c r="BE52">
        <v>68765.529723148109</v>
      </c>
      <c r="BF52">
        <v>17.646031051685778</v>
      </c>
      <c r="BG52">
        <v>70084.390559282823</v>
      </c>
      <c r="BH52">
        <v>17.525460901256082</v>
      </c>
      <c r="BI52">
        <v>-1318.8608361347142</v>
      </c>
      <c r="BJ52">
        <v>0.1205701504296961</v>
      </c>
    </row>
    <row r="53" spans="3:62" x14ac:dyDescent="0.2">
      <c r="C53" s="121">
        <v>71091.98279579755</v>
      </c>
      <c r="D53">
        <v>16.418445445425323</v>
      </c>
      <c r="E53" s="121">
        <v>72254.891699334112</v>
      </c>
      <c r="F53" s="121">
        <v>16.30522747741772</v>
      </c>
      <c r="G53" s="121">
        <v>-1162.9089035365614</v>
      </c>
      <c r="H53" s="121">
        <v>0.11321796800760353</v>
      </c>
      <c r="J53" s="118">
        <v>3700</v>
      </c>
      <c r="L53">
        <v>0.999</v>
      </c>
      <c r="N53" s="121"/>
      <c r="O53" s="121"/>
      <c r="P53" s="121"/>
      <c r="R53">
        <v>336.30752838970261</v>
      </c>
      <c r="S53">
        <v>71.619200605605556</v>
      </c>
      <c r="T53">
        <v>269.0269825837853</v>
      </c>
      <c r="U53">
        <v>85.91807067728449</v>
      </c>
      <c r="X53">
        <v>0.59763192341499782</v>
      </c>
      <c r="Y53">
        <v>0.71175063941902983</v>
      </c>
      <c r="Z53">
        <v>0.89484916123519942</v>
      </c>
      <c r="AA53">
        <v>0.84640283751064271</v>
      </c>
      <c r="AB53">
        <v>0.84639235289449222</v>
      </c>
      <c r="AC53">
        <v>0.90755930179902766</v>
      </c>
      <c r="AD53">
        <v>0.47746144607031216</v>
      </c>
      <c r="AE53">
        <v>0.77360705894498727</v>
      </c>
      <c r="AH53">
        <v>6.0668680026673583E-2</v>
      </c>
      <c r="AI53">
        <v>7.0339921146453155E-2</v>
      </c>
      <c r="AJ53">
        <v>8.4233594146337243E-2</v>
      </c>
      <c r="AK53">
        <v>0.11504980660516861</v>
      </c>
      <c r="AL53">
        <v>0.15144325268196457</v>
      </c>
      <c r="AM53">
        <v>0.1385049658894103</v>
      </c>
      <c r="AN53">
        <v>0.34151196254227811</v>
      </c>
      <c r="AO53">
        <v>0.10019538200984401</v>
      </c>
      <c r="AR53">
        <v>8.2080794225688352E-4</v>
      </c>
      <c r="AS53">
        <v>4.3769714486765312E-3</v>
      </c>
      <c r="AT53">
        <v>4.7719996993505452E-3</v>
      </c>
      <c r="AU53">
        <v>1.9291154392350124E-3</v>
      </c>
      <c r="AV53">
        <v>2.3348363213308021E-3</v>
      </c>
      <c r="AW53">
        <v>3.4419388686627306E-3</v>
      </c>
      <c r="AX53">
        <v>4.3154276686652171E-4</v>
      </c>
      <c r="AY53">
        <v>4.7022239415839273E-4</v>
      </c>
      <c r="BB53">
        <v>4.1690732220027914E-2</v>
      </c>
      <c r="BC53">
        <v>7.6054478715451679E-2</v>
      </c>
      <c r="BE53">
        <v>71091.98279579755</v>
      </c>
      <c r="BF53">
        <v>16.418445445425323</v>
      </c>
      <c r="BG53">
        <v>72254.891699334112</v>
      </c>
      <c r="BH53">
        <v>16.30522747741772</v>
      </c>
      <c r="BI53">
        <v>-1162.9089035365614</v>
      </c>
      <c r="BJ53">
        <v>0.11321796800760353</v>
      </c>
    </row>
    <row r="54" spans="3:62" x14ac:dyDescent="0.2">
      <c r="C54" s="121">
        <v>68143.3598295298</v>
      </c>
      <c r="D54">
        <v>15.36017683810136</v>
      </c>
      <c r="E54" s="121">
        <v>69641.820336490142</v>
      </c>
      <c r="F54" s="121">
        <v>15.1972939808183</v>
      </c>
      <c r="G54" s="121">
        <v>-1498.4605069603422</v>
      </c>
      <c r="H54" s="121">
        <v>0.16288285728306029</v>
      </c>
      <c r="J54" s="118">
        <v>3800</v>
      </c>
      <c r="L54">
        <v>0.999</v>
      </c>
      <c r="N54" s="121"/>
      <c r="O54" s="121"/>
      <c r="P54" s="121"/>
      <c r="R54">
        <v>169.15659247658706</v>
      </c>
      <c r="S54">
        <v>63.620593902129158</v>
      </c>
      <c r="T54">
        <v>271.10514590184147</v>
      </c>
      <c r="U54">
        <v>109.1840261553874</v>
      </c>
      <c r="X54">
        <v>0.86545238075826192</v>
      </c>
      <c r="Y54">
        <v>0.61206562455279512</v>
      </c>
      <c r="Z54">
        <v>0.58868137680167476</v>
      </c>
      <c r="AA54">
        <v>0.74320722856971611</v>
      </c>
      <c r="AB54">
        <v>0.81654538267950161</v>
      </c>
      <c r="AC54">
        <v>0.74662725321914925</v>
      </c>
      <c r="AD54">
        <v>0.79265126596795576</v>
      </c>
      <c r="AE54">
        <v>0.55906047674164983</v>
      </c>
      <c r="AH54">
        <v>4.8951790515714633E-2</v>
      </c>
      <c r="AI54">
        <v>7.4313631082452369E-2</v>
      </c>
      <c r="AJ54">
        <v>9.6223706023773392E-2</v>
      </c>
      <c r="AK54">
        <v>5.2952292704592674E-2</v>
      </c>
      <c r="AL54">
        <v>9.129776895145314E-2</v>
      </c>
      <c r="AM54">
        <v>0.14100395716868441</v>
      </c>
      <c r="AN54">
        <v>7.0906471422961026E-2</v>
      </c>
      <c r="AO54">
        <v>3.6807066748490214E-2</v>
      </c>
      <c r="AR54">
        <v>8.6375165783159253E-4</v>
      </c>
      <c r="AS54">
        <v>5.0707290251551518E-3</v>
      </c>
      <c r="AT54">
        <v>4.7130570389718298E-3</v>
      </c>
      <c r="AU54">
        <v>2.3200044883304738E-3</v>
      </c>
      <c r="AV54">
        <v>2.0607574611075652E-3</v>
      </c>
      <c r="AW54">
        <v>3.4858458295452532E-3</v>
      </c>
      <c r="AX54">
        <v>4.2630169812063468E-4</v>
      </c>
      <c r="AY54">
        <v>5.3560012138609281E-4</v>
      </c>
      <c r="BB54">
        <v>4.7203364749313748E-2</v>
      </c>
      <c r="BC54">
        <v>4.0167925926215139E-2</v>
      </c>
      <c r="BE54">
        <v>68143.3598295298</v>
      </c>
      <c r="BF54">
        <v>15.36017683810136</v>
      </c>
      <c r="BG54">
        <v>69641.820336490142</v>
      </c>
      <c r="BH54">
        <v>15.1972939808183</v>
      </c>
      <c r="BI54">
        <v>-1498.4605069603422</v>
      </c>
      <c r="BJ54">
        <v>0.16288285728306029</v>
      </c>
    </row>
    <row r="55" spans="3:62" x14ac:dyDescent="0.2">
      <c r="C55" s="121">
        <v>67829.975998274138</v>
      </c>
      <c r="D55">
        <v>17.25398971087829</v>
      </c>
      <c r="E55" s="121">
        <v>69898.392251517434</v>
      </c>
      <c r="F55" s="121">
        <v>17.109694548874483</v>
      </c>
      <c r="G55" s="121">
        <v>-2068.4162532432965</v>
      </c>
      <c r="H55" s="121">
        <v>0.14429516200380732</v>
      </c>
      <c r="J55" s="118">
        <v>3900</v>
      </c>
      <c r="L55">
        <v>0.999</v>
      </c>
      <c r="N55" s="121"/>
      <c r="O55" s="121"/>
      <c r="P55" s="121"/>
      <c r="R55">
        <v>352.47436820992425</v>
      </c>
      <c r="S55">
        <v>68.869878611425904</v>
      </c>
      <c r="T55">
        <v>238.30642724914242</v>
      </c>
      <c r="U55">
        <v>94.033740864805736</v>
      </c>
      <c r="X55">
        <v>0.6567894895162415</v>
      </c>
      <c r="Y55">
        <v>0.85271034354007713</v>
      </c>
      <c r="Z55">
        <v>0.82110584546613463</v>
      </c>
      <c r="AA55">
        <v>0.87373490354320582</v>
      </c>
      <c r="AB55">
        <v>0.67074467882069155</v>
      </c>
      <c r="AC55">
        <v>0.8157568059811412</v>
      </c>
      <c r="AD55">
        <v>0.89211013869877154</v>
      </c>
      <c r="AE55">
        <v>0.7308444221305086</v>
      </c>
      <c r="AH55">
        <v>4.3656985793226744E-2</v>
      </c>
      <c r="AI55">
        <v>0.25510744228376914</v>
      </c>
      <c r="AJ55">
        <v>0.13368440037576512</v>
      </c>
      <c r="AK55">
        <v>0.17651561799681748</v>
      </c>
      <c r="AL55">
        <v>8.5686847833082225E-2</v>
      </c>
      <c r="AM55">
        <v>9.976223505648607E-2</v>
      </c>
      <c r="AN55">
        <v>7.3065477735535511E-2</v>
      </c>
      <c r="AO55">
        <v>0.30750489994911556</v>
      </c>
      <c r="AR55">
        <v>9.4393483395971423E-4</v>
      </c>
      <c r="AS55">
        <v>4.2178535346571551E-3</v>
      </c>
      <c r="AT55">
        <v>4.9941615474666801E-3</v>
      </c>
      <c r="AU55">
        <v>2.1951770778670943E-3</v>
      </c>
      <c r="AV55">
        <v>2.0133317061906686E-3</v>
      </c>
      <c r="AW55">
        <v>3.536162827384004E-3</v>
      </c>
      <c r="AX55">
        <v>4.9927403120086922E-4</v>
      </c>
      <c r="AY55">
        <v>3.8848761800604317E-4</v>
      </c>
      <c r="BB55">
        <v>4.1517363052669586E-2</v>
      </c>
      <c r="BC55">
        <v>0.10034872264213868</v>
      </c>
      <c r="BE55">
        <v>67829.975998274138</v>
      </c>
      <c r="BF55">
        <v>17.25398971087829</v>
      </c>
      <c r="BG55">
        <v>69898.392251517434</v>
      </c>
      <c r="BH55">
        <v>17.109694548874483</v>
      </c>
      <c r="BI55">
        <v>-2068.4162532432965</v>
      </c>
      <c r="BJ55">
        <v>0.14429516200380732</v>
      </c>
    </row>
    <row r="56" spans="3:62" x14ac:dyDescent="0.2">
      <c r="C56" s="121">
        <v>73065.440672509561</v>
      </c>
      <c r="D56">
        <v>16.57457999570272</v>
      </c>
      <c r="E56" s="121">
        <v>75012.088880181909</v>
      </c>
      <c r="F56" s="121">
        <v>16.432537267873329</v>
      </c>
      <c r="G56" s="121">
        <v>-1946.6482076723478</v>
      </c>
      <c r="H56" s="121">
        <v>0.14204272782939142</v>
      </c>
      <c r="J56" s="118">
        <v>4000</v>
      </c>
      <c r="L56">
        <v>0.999</v>
      </c>
      <c r="N56" s="121"/>
      <c r="O56" s="121"/>
      <c r="P56" s="121"/>
      <c r="R56">
        <v>175.51964496389337</v>
      </c>
      <c r="S56">
        <v>64.593643487077372</v>
      </c>
      <c r="T56">
        <v>277.83129278825379</v>
      </c>
      <c r="U56">
        <v>97.918743024160023</v>
      </c>
      <c r="X56">
        <v>0.7724953630138367</v>
      </c>
      <c r="Y56">
        <v>0.47208232022969809</v>
      </c>
      <c r="Z56">
        <v>0.61607422567605796</v>
      </c>
      <c r="AA56">
        <v>0.47016222597951451</v>
      </c>
      <c r="AB56">
        <v>0.91990810126900446</v>
      </c>
      <c r="AC56">
        <v>0.7026492406552286</v>
      </c>
      <c r="AD56">
        <v>0.93473564769220963</v>
      </c>
      <c r="AE56">
        <v>0.84261184055638383</v>
      </c>
      <c r="AH56">
        <v>9.0002596268815016E-2</v>
      </c>
      <c r="AI56">
        <v>7.042643590752562E-2</v>
      </c>
      <c r="AJ56">
        <v>7.8585438100097438E-2</v>
      </c>
      <c r="AK56">
        <v>0.11335679422228673</v>
      </c>
      <c r="AL56">
        <v>0.14803176003875862</v>
      </c>
      <c r="AM56">
        <v>0.2344381843108081</v>
      </c>
      <c r="AN56">
        <v>9.9399462512545056E-2</v>
      </c>
      <c r="AO56">
        <v>8.7849435486120786E-2</v>
      </c>
      <c r="AR56">
        <v>9.4328191075587764E-4</v>
      </c>
      <c r="AS56">
        <v>4.2363353700994718E-3</v>
      </c>
      <c r="AT56">
        <v>5.4314973921073539E-3</v>
      </c>
      <c r="AU56">
        <v>1.9521320094059232E-3</v>
      </c>
      <c r="AV56">
        <v>1.816250708768194E-3</v>
      </c>
      <c r="AW56">
        <v>3.2751057474856679E-3</v>
      </c>
      <c r="AX56">
        <v>2.4388485426326149E-4</v>
      </c>
      <c r="AY56">
        <v>4.7073072346925926E-4</v>
      </c>
      <c r="BB56">
        <v>4.1329140751439057E-2</v>
      </c>
      <c r="BC56">
        <v>2.7273061522831463E-2</v>
      </c>
      <c r="BE56">
        <v>73065.440672509561</v>
      </c>
      <c r="BF56">
        <v>16.57457999570272</v>
      </c>
      <c r="BG56">
        <v>75012.088880181909</v>
      </c>
      <c r="BH56">
        <v>16.432537267873329</v>
      </c>
      <c r="BI56">
        <v>-1946.6482076723478</v>
      </c>
      <c r="BJ56">
        <v>0.14204272782939142</v>
      </c>
    </row>
    <row r="57" spans="3:62" x14ac:dyDescent="0.2">
      <c r="C57" s="121">
        <v>68007.724082615823</v>
      </c>
      <c r="D57">
        <v>16.393928907449148</v>
      </c>
      <c r="E57" s="121">
        <v>69668.916286047344</v>
      </c>
      <c r="F57" s="121">
        <v>16.300855525839115</v>
      </c>
      <c r="G57" s="121">
        <v>-1661.1922034315212</v>
      </c>
      <c r="H57" s="121">
        <v>9.3073381610032868E-2</v>
      </c>
      <c r="J57" s="118">
        <v>4100</v>
      </c>
      <c r="L57">
        <v>0.999</v>
      </c>
      <c r="N57" s="121"/>
      <c r="O57" s="121"/>
      <c r="P57" s="121"/>
      <c r="R57">
        <v>185.88358283390116</v>
      </c>
      <c r="S57">
        <v>64.597573987959933</v>
      </c>
      <c r="T57">
        <v>277.67829453045084</v>
      </c>
      <c r="U57">
        <v>91.431946139907907</v>
      </c>
      <c r="X57">
        <v>0.50680557795134817</v>
      </c>
      <c r="Y57">
        <v>0.66622206460196154</v>
      </c>
      <c r="Z57">
        <v>0.94023832567081878</v>
      </c>
      <c r="AA57">
        <v>0.70813161321984242</v>
      </c>
      <c r="AB57">
        <v>0.73588940751696219</v>
      </c>
      <c r="AC57">
        <v>0.70014351178789558</v>
      </c>
      <c r="AD57">
        <v>0.43493695912020819</v>
      </c>
      <c r="AE57">
        <v>0.89977111285629841</v>
      </c>
      <c r="AH57">
        <v>7.7191945927187255E-2</v>
      </c>
      <c r="AI57">
        <v>8.05280219596477E-2</v>
      </c>
      <c r="AJ57">
        <v>6.9178388120203271E-2</v>
      </c>
      <c r="AK57">
        <v>6.8260778001242306E-2</v>
      </c>
      <c r="AL57">
        <v>0.37520755274779782</v>
      </c>
      <c r="AM57">
        <v>1.341071763344015E-2</v>
      </c>
      <c r="AN57">
        <v>0.11404415585310002</v>
      </c>
      <c r="AO57">
        <v>0.12142703538728594</v>
      </c>
      <c r="AR57">
        <v>9.488091711570279E-4</v>
      </c>
      <c r="AS57">
        <v>4.7935063148124568E-3</v>
      </c>
      <c r="AT57">
        <v>4.9667517836177177E-3</v>
      </c>
      <c r="AU57">
        <v>2.0384165377047569E-3</v>
      </c>
      <c r="AV57">
        <v>2.0593964794428654E-3</v>
      </c>
      <c r="AW57">
        <v>3.4618792581387892E-3</v>
      </c>
      <c r="AX57">
        <v>4.5172794570358388E-4</v>
      </c>
      <c r="AY57">
        <v>4.2780628323529267E-4</v>
      </c>
      <c r="BB57">
        <v>5.5686861475898963E-2</v>
      </c>
      <c r="BC57">
        <v>2.2353524911012737E-2</v>
      </c>
      <c r="BE57">
        <v>68007.724082615823</v>
      </c>
      <c r="BF57">
        <v>16.393928907449148</v>
      </c>
      <c r="BG57">
        <v>69668.916286047344</v>
      </c>
      <c r="BH57">
        <v>16.300855525839115</v>
      </c>
      <c r="BI57">
        <v>-1661.1922034315212</v>
      </c>
      <c r="BJ57">
        <v>9.3073381610032868E-2</v>
      </c>
    </row>
    <row r="58" spans="3:62" x14ac:dyDescent="0.2">
      <c r="C58" s="121">
        <v>67347.652227256549</v>
      </c>
      <c r="D58">
        <v>18.405791948859118</v>
      </c>
      <c r="E58" s="121">
        <v>68337.455099802217</v>
      </c>
      <c r="F58" s="121">
        <v>18.370302414017679</v>
      </c>
      <c r="G58" s="121">
        <v>-989.80287254566792</v>
      </c>
      <c r="H58" s="121">
        <v>3.5489534841438797E-2</v>
      </c>
      <c r="J58" s="118">
        <v>4200</v>
      </c>
      <c r="L58">
        <v>0.999</v>
      </c>
      <c r="N58" s="121"/>
      <c r="O58" s="121"/>
      <c r="P58" s="121"/>
      <c r="R58">
        <v>225.72703432646529</v>
      </c>
      <c r="S58">
        <v>59.304538986073041</v>
      </c>
      <c r="T58">
        <v>271.08668883408092</v>
      </c>
      <c r="U58">
        <v>80.283622840236418</v>
      </c>
      <c r="X58">
        <v>0.74334877755866424</v>
      </c>
      <c r="Y58">
        <v>0.60976464016609055</v>
      </c>
      <c r="Z58">
        <v>0.70187442539065714</v>
      </c>
      <c r="AA58">
        <v>0.84433001666172069</v>
      </c>
      <c r="AB58">
        <v>0.73618771639436242</v>
      </c>
      <c r="AC58">
        <v>0.87334448411404841</v>
      </c>
      <c r="AD58">
        <v>0.64185046838188842</v>
      </c>
      <c r="AE58">
        <v>0.67049661932937465</v>
      </c>
      <c r="AH58">
        <v>0.1824382713381254</v>
      </c>
      <c r="AI58">
        <v>2.9449772870630331E-2</v>
      </c>
      <c r="AJ58">
        <v>1.8163843133065738E-2</v>
      </c>
      <c r="AK58">
        <v>2.8178962451964495E-2</v>
      </c>
      <c r="AL58">
        <v>6.7890992806614259E-2</v>
      </c>
      <c r="AM58">
        <v>0.21514792894973933</v>
      </c>
      <c r="AN58">
        <v>8.310167073268393E-2</v>
      </c>
      <c r="AO58">
        <v>5.3138708856193428E-2</v>
      </c>
      <c r="AR58">
        <v>9.0178300578458437E-4</v>
      </c>
      <c r="AS58">
        <v>4.6558487549738237E-3</v>
      </c>
      <c r="AT58">
        <v>4.7204772626109389E-3</v>
      </c>
      <c r="AU58">
        <v>1.9659318392143189E-3</v>
      </c>
      <c r="AV58">
        <v>2.0210229757705589E-3</v>
      </c>
      <c r="AW58">
        <v>3.5946631227089521E-3</v>
      </c>
      <c r="AX58">
        <v>4.3951626266069965E-4</v>
      </c>
      <c r="AY58">
        <v>4.6352427254248152E-4</v>
      </c>
      <c r="BB58">
        <v>4.9726908737798205E-2</v>
      </c>
      <c r="BC58">
        <v>2.2457820303531606E-2</v>
      </c>
      <c r="BE58">
        <v>67347.652227256549</v>
      </c>
      <c r="BF58">
        <v>18.405791948859118</v>
      </c>
      <c r="BG58">
        <v>68337.455099802217</v>
      </c>
      <c r="BH58">
        <v>18.370302414017679</v>
      </c>
      <c r="BI58">
        <v>-989.80287254566792</v>
      </c>
      <c r="BJ58">
        <v>3.5489534841438797E-2</v>
      </c>
    </row>
    <row r="59" spans="3:62" x14ac:dyDescent="0.2">
      <c r="C59" s="121">
        <v>63386.248485416414</v>
      </c>
      <c r="D59">
        <v>16.96987102144729</v>
      </c>
      <c r="E59" s="121">
        <v>64747.485021777931</v>
      </c>
      <c r="F59" s="121">
        <v>16.846893973283166</v>
      </c>
      <c r="G59" s="121">
        <v>-1361.2365363615172</v>
      </c>
      <c r="H59" s="121">
        <v>0.12297704816412391</v>
      </c>
      <c r="J59" s="118">
        <v>4300</v>
      </c>
      <c r="L59">
        <v>0.999</v>
      </c>
      <c r="N59" s="121"/>
      <c r="O59" s="121"/>
      <c r="P59" s="121"/>
      <c r="R59">
        <v>326.54883091915059</v>
      </c>
      <c r="S59">
        <v>62.69364106306665</v>
      </c>
      <c r="T59">
        <v>228.97811204533966</v>
      </c>
      <c r="U59">
        <v>86.437496422588254</v>
      </c>
      <c r="X59">
        <v>0.6239378658709468</v>
      </c>
      <c r="Y59">
        <v>0.8492810816640104</v>
      </c>
      <c r="Z59">
        <v>0.4967438192996439</v>
      </c>
      <c r="AA59">
        <v>0.73284492107744148</v>
      </c>
      <c r="AB59">
        <v>0.86461900542765202</v>
      </c>
      <c r="AC59">
        <v>0.51853825649636298</v>
      </c>
      <c r="AD59">
        <v>0.84137779958910475</v>
      </c>
      <c r="AE59">
        <v>0.8003291709424063</v>
      </c>
      <c r="AH59">
        <v>7.1822561982633593E-2</v>
      </c>
      <c r="AI59">
        <v>0.12310952148550902</v>
      </c>
      <c r="AJ59">
        <v>0.32917150506057891</v>
      </c>
      <c r="AK59">
        <v>9.5434392000195989E-2</v>
      </c>
      <c r="AL59">
        <v>0.1122711441394989</v>
      </c>
      <c r="AM59">
        <v>0.24787196604716066</v>
      </c>
      <c r="AN59">
        <v>0.10646995219662247</v>
      </c>
      <c r="AO59">
        <v>6.9747605714627126E-2</v>
      </c>
      <c r="AR59">
        <v>1.0117521162587018E-3</v>
      </c>
      <c r="AS59">
        <v>4.5103482979035325E-3</v>
      </c>
      <c r="AT59">
        <v>5.0594671664098145E-3</v>
      </c>
      <c r="AU59">
        <v>2.0026923904359339E-3</v>
      </c>
      <c r="AV59">
        <v>2.0526474792372795E-3</v>
      </c>
      <c r="AW59">
        <v>3.3464904848306341E-3</v>
      </c>
      <c r="AX59">
        <v>5.5523601147067225E-4</v>
      </c>
      <c r="AY59">
        <v>4.1473570197723963E-4</v>
      </c>
      <c r="BB59">
        <v>5.8441801585890962E-2</v>
      </c>
      <c r="BC59">
        <v>6.0041062113039279E-2</v>
      </c>
      <c r="BE59">
        <v>63386.248485416414</v>
      </c>
      <c r="BF59">
        <v>16.96987102144729</v>
      </c>
      <c r="BG59">
        <v>64747.485021777931</v>
      </c>
      <c r="BH59">
        <v>16.846893973283166</v>
      </c>
      <c r="BI59">
        <v>-1361.2365363615172</v>
      </c>
      <c r="BJ59">
        <v>0.12297704816412391</v>
      </c>
    </row>
    <row r="60" spans="3:62" x14ac:dyDescent="0.2">
      <c r="C60" s="121">
        <v>74540.120460599515</v>
      </c>
      <c r="D60">
        <v>14.987894258174313</v>
      </c>
      <c r="E60" s="121">
        <v>74163.226617497057</v>
      </c>
      <c r="F60" s="121">
        <v>14.929577551441307</v>
      </c>
      <c r="G60" s="121">
        <v>376.89384310245805</v>
      </c>
      <c r="H60" s="121">
        <v>5.831670673300593E-2</v>
      </c>
      <c r="J60" s="118">
        <v>4400</v>
      </c>
      <c r="L60">
        <v>0.999</v>
      </c>
      <c r="N60" s="121"/>
      <c r="O60" s="121"/>
      <c r="P60" s="121"/>
      <c r="R60">
        <v>281.50682244772725</v>
      </c>
      <c r="S60">
        <v>70.665057219380287</v>
      </c>
      <c r="T60">
        <v>260.12511430832848</v>
      </c>
      <c r="U60">
        <v>106.94911445626659</v>
      </c>
      <c r="X60">
        <v>0.80486881269359767</v>
      </c>
      <c r="Y60">
        <v>0.86418255559847479</v>
      </c>
      <c r="Z60">
        <v>0.63513273499270018</v>
      </c>
      <c r="AA60">
        <v>0.80922112332753104</v>
      </c>
      <c r="AB60">
        <v>0.81079455638852571</v>
      </c>
      <c r="AC60">
        <v>0.7629083351584075</v>
      </c>
      <c r="AD60">
        <v>0.67693993247940909</v>
      </c>
      <c r="AE60">
        <v>0.65013144262354905</v>
      </c>
      <c r="AH60">
        <v>0.21883831879916815</v>
      </c>
      <c r="AI60">
        <v>0.17207362335391152</v>
      </c>
      <c r="AJ60">
        <v>0.23297050570052813</v>
      </c>
      <c r="AK60">
        <v>8.040835677865088E-2</v>
      </c>
      <c r="AL60">
        <v>5.7137916773917219E-2</v>
      </c>
      <c r="AM60">
        <v>0.24850401616836393</v>
      </c>
      <c r="AN60">
        <v>0.23165564583791076</v>
      </c>
      <c r="AO60">
        <v>0.21141031312072445</v>
      </c>
      <c r="AR60">
        <v>8.5181347900446238E-4</v>
      </c>
      <c r="AS60">
        <v>4.3929360640820678E-3</v>
      </c>
      <c r="AT60">
        <v>5.0859912631135984E-3</v>
      </c>
      <c r="AU60">
        <v>1.81964091812614E-3</v>
      </c>
      <c r="AV60">
        <v>1.9906046099981188E-3</v>
      </c>
      <c r="AW60">
        <v>3.4030307378397065E-3</v>
      </c>
      <c r="AX60">
        <v>4.2884649399965724E-4</v>
      </c>
      <c r="AY60">
        <v>5.2713281563432357E-4</v>
      </c>
      <c r="BB60">
        <v>5.2551577468763155E-2</v>
      </c>
      <c r="BC60">
        <v>4.7762977176232568E-2</v>
      </c>
      <c r="BE60">
        <v>74540.120460599515</v>
      </c>
      <c r="BF60">
        <v>14.987894258174313</v>
      </c>
      <c r="BG60">
        <v>74163.226617497057</v>
      </c>
      <c r="BH60">
        <v>14.929577551441307</v>
      </c>
      <c r="BI60">
        <v>376.89384310245805</v>
      </c>
      <c r="BJ60">
        <v>5.831670673300593E-2</v>
      </c>
    </row>
    <row r="61" spans="3:62" x14ac:dyDescent="0.2">
      <c r="C61" s="121">
        <v>68712.145581492761</v>
      </c>
      <c r="D61">
        <v>16.003925091740658</v>
      </c>
      <c r="E61" s="121">
        <v>69326.635863559437</v>
      </c>
      <c r="F61" s="121">
        <v>15.931561428254982</v>
      </c>
      <c r="G61" s="121">
        <v>-614.49028206667572</v>
      </c>
      <c r="H61" s="121">
        <v>7.2363663485676355E-2</v>
      </c>
      <c r="J61" s="118">
        <v>4500</v>
      </c>
      <c r="L61">
        <v>0.999</v>
      </c>
      <c r="N61" s="121"/>
      <c r="O61" s="121"/>
      <c r="P61" s="121"/>
      <c r="R61">
        <v>411.76579724622644</v>
      </c>
      <c r="S61">
        <v>57.650757749537092</v>
      </c>
      <c r="T61">
        <v>260.71973770832614</v>
      </c>
      <c r="U61">
        <v>104.26454076592715</v>
      </c>
      <c r="X61">
        <v>0.50791822368275574</v>
      </c>
      <c r="Y61">
        <v>0.86498054913405031</v>
      </c>
      <c r="Z61">
        <v>0.79872451836829594</v>
      </c>
      <c r="AA61">
        <v>0.79983474564333279</v>
      </c>
      <c r="AB61">
        <v>0.828718726128158</v>
      </c>
      <c r="AC61">
        <v>0.87476889742709529</v>
      </c>
      <c r="AD61">
        <v>0.77988217010079341</v>
      </c>
      <c r="AE61">
        <v>0.86139625415494514</v>
      </c>
      <c r="AH61">
        <v>0.22072696588042784</v>
      </c>
      <c r="AI61">
        <v>4.3868687294458031E-2</v>
      </c>
      <c r="AJ61">
        <v>6.6343691427403373E-2</v>
      </c>
      <c r="AK61">
        <v>9.5023432267128172E-2</v>
      </c>
      <c r="AL61">
        <v>0.1191076710419825</v>
      </c>
      <c r="AM61">
        <v>7.4639779378954274E-2</v>
      </c>
      <c r="AN61">
        <v>2.471699500343405E-2</v>
      </c>
      <c r="AO61">
        <v>7.2924873004102109E-2</v>
      </c>
      <c r="AR61">
        <v>8.0174329342880637E-4</v>
      </c>
      <c r="AS61">
        <v>3.9212317747260202E-3</v>
      </c>
      <c r="AT61">
        <v>5.1064574643044924E-3</v>
      </c>
      <c r="AU61">
        <v>1.8084724800266053E-3</v>
      </c>
      <c r="AV61">
        <v>2.049848814717814E-3</v>
      </c>
      <c r="AW61">
        <v>3.3682663191447353E-3</v>
      </c>
      <c r="AX61">
        <v>4.5845533545829653E-4</v>
      </c>
      <c r="AY61">
        <v>3.9865024385073476E-4</v>
      </c>
      <c r="BB61">
        <v>4.8760558792345803E-2</v>
      </c>
      <c r="BC61">
        <v>8.1649048955561798E-2</v>
      </c>
      <c r="BE61">
        <v>68712.145581492761</v>
      </c>
      <c r="BF61">
        <v>16.003925091740658</v>
      </c>
      <c r="BG61">
        <v>69326.635863559437</v>
      </c>
      <c r="BH61">
        <v>15.931561428254982</v>
      </c>
      <c r="BI61">
        <v>-614.49028206667572</v>
      </c>
      <c r="BJ61">
        <v>7.2363663485676355E-2</v>
      </c>
    </row>
    <row r="62" spans="3:62" x14ac:dyDescent="0.2">
      <c r="C62" s="121">
        <v>74947.846143236515</v>
      </c>
      <c r="D62">
        <v>15.309520801261986</v>
      </c>
      <c r="E62" s="121">
        <v>76577.255163496855</v>
      </c>
      <c r="F62" s="121">
        <v>15.158073421574752</v>
      </c>
      <c r="G62" s="121">
        <v>-1629.4090202603402</v>
      </c>
      <c r="H62" s="121">
        <v>0.15144737968723376</v>
      </c>
      <c r="J62" s="118">
        <v>4600</v>
      </c>
      <c r="L62">
        <v>0.999</v>
      </c>
      <c r="N62" s="121"/>
      <c r="O62" s="121"/>
      <c r="P62" s="121"/>
      <c r="R62">
        <v>346.9587105476441</v>
      </c>
      <c r="S62">
        <v>55.336423254871328</v>
      </c>
      <c r="T62">
        <v>190.39791433254152</v>
      </c>
      <c r="U62">
        <v>100.75790172295169</v>
      </c>
      <c r="X62">
        <v>0.81790501590634246</v>
      </c>
      <c r="Y62">
        <v>0.70577102338410092</v>
      </c>
      <c r="Z62">
        <v>0.71721248395223791</v>
      </c>
      <c r="AA62">
        <v>0.7172893097307238</v>
      </c>
      <c r="AB62">
        <v>0.89640428903162084</v>
      </c>
      <c r="AC62">
        <v>0.8985289376461929</v>
      </c>
      <c r="AD62">
        <v>0.805320219095078</v>
      </c>
      <c r="AE62">
        <v>0.80496519054436311</v>
      </c>
      <c r="AH62">
        <v>5.9116641421721461E-2</v>
      </c>
      <c r="AI62">
        <v>0.12878760927367439</v>
      </c>
      <c r="AJ62">
        <v>6.3973241176806472E-2</v>
      </c>
      <c r="AK62">
        <v>0.12203332917532583</v>
      </c>
      <c r="AL62">
        <v>0.10506115765272006</v>
      </c>
      <c r="AM62">
        <v>4.4079620623463711E-2</v>
      </c>
      <c r="AN62">
        <v>4.337013989897176E-2</v>
      </c>
      <c r="AO62">
        <v>0.11860399828054902</v>
      </c>
      <c r="AR62">
        <v>9.7930339390395194E-4</v>
      </c>
      <c r="AS62">
        <v>4.1064324801099372E-3</v>
      </c>
      <c r="AT62">
        <v>4.7718229946352771E-3</v>
      </c>
      <c r="AU62">
        <v>2.0449035131505644E-3</v>
      </c>
      <c r="AV62">
        <v>2.1166639081616756E-3</v>
      </c>
      <c r="AW62">
        <v>3.6115127641271894E-3</v>
      </c>
      <c r="AX62">
        <v>4.4093225263974745E-4</v>
      </c>
      <c r="AY62">
        <v>4.8292403890826119E-4</v>
      </c>
      <c r="BB62">
        <v>5.2163757684663192E-2</v>
      </c>
      <c r="BC62">
        <v>6.5936055067639998E-2</v>
      </c>
      <c r="BE62">
        <v>74947.846143236515</v>
      </c>
      <c r="BF62">
        <v>15.309520801261986</v>
      </c>
      <c r="BG62">
        <v>76577.255163496855</v>
      </c>
      <c r="BH62">
        <v>15.158073421574752</v>
      </c>
      <c r="BI62">
        <v>-1629.4090202603402</v>
      </c>
      <c r="BJ62">
        <v>0.15144737968723376</v>
      </c>
    </row>
    <row r="63" spans="3:62" x14ac:dyDescent="0.2">
      <c r="C63" s="121">
        <v>77357.677380706053</v>
      </c>
      <c r="D63">
        <v>14.287135518074301</v>
      </c>
      <c r="E63" s="121">
        <v>79673.072785365352</v>
      </c>
      <c r="F63" s="121">
        <v>14.03471184113862</v>
      </c>
      <c r="G63" s="121">
        <v>-2315.3954046592989</v>
      </c>
      <c r="H63" s="121">
        <v>0.25242367693568113</v>
      </c>
      <c r="J63" s="118">
        <v>4700</v>
      </c>
      <c r="L63">
        <v>0.999</v>
      </c>
      <c r="N63" s="121"/>
      <c r="O63" s="121"/>
      <c r="P63" s="121"/>
      <c r="R63">
        <v>348.42600241733004</v>
      </c>
      <c r="S63">
        <v>73.471975266045177</v>
      </c>
      <c r="T63">
        <v>276.73873089944675</v>
      </c>
      <c r="U63">
        <v>111.30693850141908</v>
      </c>
      <c r="X63">
        <v>0.78231099227712053</v>
      </c>
      <c r="Y63">
        <v>0.71876949928630451</v>
      </c>
      <c r="Z63">
        <v>0.79384048338689917</v>
      </c>
      <c r="AA63">
        <v>0.77056297658137329</v>
      </c>
      <c r="AB63">
        <v>0.95731447995111685</v>
      </c>
      <c r="AC63">
        <v>0.67653164484101291</v>
      </c>
      <c r="AD63">
        <v>0.70690434334451779</v>
      </c>
      <c r="AE63">
        <v>0.90780300429687011</v>
      </c>
      <c r="AH63">
        <v>1.5847862048868344E-2</v>
      </c>
      <c r="AI63">
        <v>8.3609291950498488E-2</v>
      </c>
      <c r="AJ63">
        <v>6.1703379296250249E-2</v>
      </c>
      <c r="AK63">
        <v>0.13275213613164216</v>
      </c>
      <c r="AL63">
        <v>2.1759487271861611E-2</v>
      </c>
      <c r="AM63">
        <v>0.17933304111149961</v>
      </c>
      <c r="AN63">
        <v>0.13549158610797507</v>
      </c>
      <c r="AO63">
        <v>0.12012454711452702</v>
      </c>
      <c r="AR63">
        <v>9.78595932454418E-4</v>
      </c>
      <c r="AS63">
        <v>4.5560560389795723E-3</v>
      </c>
      <c r="AT63">
        <v>4.915888193627229E-3</v>
      </c>
      <c r="AU63">
        <v>1.8990414538561438E-3</v>
      </c>
      <c r="AV63">
        <v>2.1055651450355706E-3</v>
      </c>
      <c r="AW63">
        <v>3.2155695759817976E-3</v>
      </c>
      <c r="AX63">
        <v>3.8036655752275044E-4</v>
      </c>
      <c r="AY63">
        <v>3.2350741552512993E-4</v>
      </c>
      <c r="BB63">
        <v>5.264606321178511E-2</v>
      </c>
      <c r="BC63">
        <v>4.0318559916526969E-2</v>
      </c>
      <c r="BE63">
        <v>77357.677380706053</v>
      </c>
      <c r="BF63">
        <v>14.287135518074301</v>
      </c>
      <c r="BG63">
        <v>79673.072785365352</v>
      </c>
      <c r="BH63">
        <v>14.03471184113862</v>
      </c>
      <c r="BI63">
        <v>-2315.3954046592989</v>
      </c>
      <c r="BJ63">
        <v>0.25242367693568113</v>
      </c>
    </row>
    <row r="64" spans="3:62" x14ac:dyDescent="0.2">
      <c r="C64" s="121">
        <v>65333.747781396451</v>
      </c>
      <c r="D64">
        <v>17.192174387743748</v>
      </c>
      <c r="E64" s="121">
        <v>67277.885437824385</v>
      </c>
      <c r="F64" s="121">
        <v>17.052302341564648</v>
      </c>
      <c r="G64" s="121">
        <v>-1944.1376564279344</v>
      </c>
      <c r="H64" s="121">
        <v>0.1398720461791001</v>
      </c>
      <c r="J64" s="118">
        <v>4800</v>
      </c>
      <c r="L64">
        <v>0.999</v>
      </c>
      <c r="N64" s="121"/>
      <c r="O64" s="121"/>
      <c r="P64" s="121"/>
      <c r="R64">
        <v>177.27124152400489</v>
      </c>
      <c r="S64">
        <v>70.699317211705775</v>
      </c>
      <c r="T64">
        <v>230.13449461108215</v>
      </c>
      <c r="U64">
        <v>109.95426215806377</v>
      </c>
      <c r="X64">
        <v>0.84820134150334181</v>
      </c>
      <c r="Y64">
        <v>0.44941516243249585</v>
      </c>
      <c r="Z64">
        <v>0.67605701712452415</v>
      </c>
      <c r="AA64">
        <v>0.71506403998771106</v>
      </c>
      <c r="AB64">
        <v>0.78572364288696628</v>
      </c>
      <c r="AC64">
        <v>0.52724705008308714</v>
      </c>
      <c r="AD64">
        <v>0.90218630027570401</v>
      </c>
      <c r="AE64">
        <v>0.76435906294181122</v>
      </c>
      <c r="AH64">
        <v>3.4670203526450338E-2</v>
      </c>
      <c r="AI64">
        <v>7.5645190725028844E-3</v>
      </c>
      <c r="AJ64">
        <v>0.15496817144689035</v>
      </c>
      <c r="AK64">
        <v>0.17000031393626658</v>
      </c>
      <c r="AL64">
        <v>0.27513237877618446</v>
      </c>
      <c r="AM64">
        <v>0.39852256031310829</v>
      </c>
      <c r="AN64">
        <v>0.18716784130545916</v>
      </c>
      <c r="AO64">
        <v>7.1944763214353724E-2</v>
      </c>
      <c r="AR64">
        <v>8.9964447092516497E-4</v>
      </c>
      <c r="AS64">
        <v>4.4967087298501962E-3</v>
      </c>
      <c r="AT64">
        <v>4.887696159521707E-3</v>
      </c>
      <c r="AU64">
        <v>1.8885569063642499E-3</v>
      </c>
      <c r="AV64">
        <v>1.9510659807439371E-3</v>
      </c>
      <c r="AW64">
        <v>3.2948724084549794E-3</v>
      </c>
      <c r="AX64">
        <v>3.3187422746758038E-4</v>
      </c>
      <c r="AY64">
        <v>4.0826527512142011E-4</v>
      </c>
      <c r="BB64">
        <v>4.6699087871180989E-2</v>
      </c>
      <c r="BC64">
        <v>2.7955960666570842E-2</v>
      </c>
      <c r="BE64">
        <v>65333.747781396451</v>
      </c>
      <c r="BF64">
        <v>17.192174387743748</v>
      </c>
      <c r="BG64">
        <v>67277.885437824385</v>
      </c>
      <c r="BH64">
        <v>17.052302341564648</v>
      </c>
      <c r="BI64">
        <v>-1944.1376564279344</v>
      </c>
      <c r="BJ64">
        <v>0.1398720461791001</v>
      </c>
    </row>
    <row r="65" spans="3:62" x14ac:dyDescent="0.2">
      <c r="C65" s="121">
        <v>72016.506432137277</v>
      </c>
      <c r="D65">
        <v>17.043188198286824</v>
      </c>
      <c r="E65" s="121">
        <v>74308.66972405705</v>
      </c>
      <c r="F65" s="121">
        <v>16.900458804412452</v>
      </c>
      <c r="G65" s="121">
        <v>-2292.1632919197727</v>
      </c>
      <c r="H65" s="121">
        <v>0.14272939387437233</v>
      </c>
      <c r="J65" s="118">
        <v>4900</v>
      </c>
      <c r="L65">
        <v>0.999</v>
      </c>
      <c r="N65" s="121"/>
      <c r="O65" s="121"/>
      <c r="P65" s="121"/>
      <c r="R65">
        <v>342.1393943207579</v>
      </c>
      <c r="S65">
        <v>58.826207902543047</v>
      </c>
      <c r="T65">
        <v>205.30618095841376</v>
      </c>
      <c r="U65">
        <v>91.385086414037232</v>
      </c>
      <c r="X65">
        <v>0.55430613082393287</v>
      </c>
      <c r="Y65">
        <v>0.72722713767114799</v>
      </c>
      <c r="Z65">
        <v>0.95498257115788254</v>
      </c>
      <c r="AA65">
        <v>0.68880894503198753</v>
      </c>
      <c r="AB65">
        <v>0.90372779159723193</v>
      </c>
      <c r="AC65">
        <v>0.69378698742519163</v>
      </c>
      <c r="AD65">
        <v>0.80451697136718647</v>
      </c>
      <c r="AE65">
        <v>0.89306204030454683</v>
      </c>
      <c r="AH65">
        <v>0.11966345553170477</v>
      </c>
      <c r="AI65">
        <v>0.22385954356582982</v>
      </c>
      <c r="AJ65">
        <v>0.12990097034596815</v>
      </c>
      <c r="AK65">
        <v>0.18906867713204267</v>
      </c>
      <c r="AL65">
        <v>0.33231303542061008</v>
      </c>
      <c r="AM65">
        <v>0.21588874940006275</v>
      </c>
      <c r="AN65">
        <v>7.4249629578437171E-2</v>
      </c>
      <c r="AO65">
        <v>0.16356360715612439</v>
      </c>
      <c r="AR65">
        <v>9.3070353347701751E-4</v>
      </c>
      <c r="AS65">
        <v>4.4873291795873658E-3</v>
      </c>
      <c r="AT65">
        <v>5.0084553279251542E-3</v>
      </c>
      <c r="AU65">
        <v>1.9384615403826213E-3</v>
      </c>
      <c r="AV65">
        <v>1.8642446522629732E-3</v>
      </c>
      <c r="AW65">
        <v>3.5617258762301596E-3</v>
      </c>
      <c r="AX65">
        <v>4.5094069544215909E-4</v>
      </c>
      <c r="AY65">
        <v>4.7978522748781671E-4</v>
      </c>
      <c r="BB65">
        <v>5.7781898783193397E-2</v>
      </c>
      <c r="BC65">
        <v>7.30985456976746E-2</v>
      </c>
      <c r="BE65">
        <v>72016.506432137277</v>
      </c>
      <c r="BF65">
        <v>17.043188198286824</v>
      </c>
      <c r="BG65">
        <v>74308.66972405705</v>
      </c>
      <c r="BH65">
        <v>16.900458804412452</v>
      </c>
      <c r="BI65">
        <v>-2292.1632919197727</v>
      </c>
      <c r="BJ65">
        <v>0.14272939387437233</v>
      </c>
    </row>
    <row r="66" spans="3:62" x14ac:dyDescent="0.2">
      <c r="C66" s="121">
        <v>68163.029209773216</v>
      </c>
      <c r="D66">
        <v>15.086339359021236</v>
      </c>
      <c r="E66" s="121">
        <v>70111.63564025145</v>
      </c>
      <c r="F66" s="121">
        <v>15.016444492427059</v>
      </c>
      <c r="G66" s="121">
        <v>-1948.606430478234</v>
      </c>
      <c r="H66" s="121">
        <v>6.9894866594177429E-2</v>
      </c>
      <c r="J66" s="118">
        <v>5000</v>
      </c>
      <c r="L66">
        <v>0.999</v>
      </c>
      <c r="N66" s="121"/>
      <c r="O66" s="121"/>
      <c r="P66" s="121"/>
      <c r="R66">
        <v>397.63062697040687</v>
      </c>
      <c r="S66">
        <v>65.970343971652397</v>
      </c>
      <c r="T66">
        <v>227.80261764079677</v>
      </c>
      <c r="U66">
        <v>102.69364869209279</v>
      </c>
      <c r="X66">
        <v>0.90410447468056421</v>
      </c>
      <c r="Y66">
        <v>0.77621860298591761</v>
      </c>
      <c r="Z66">
        <v>0.65281093847798377</v>
      </c>
      <c r="AA66">
        <v>0.93246468207342481</v>
      </c>
      <c r="AB66">
        <v>0.81622964641679929</v>
      </c>
      <c r="AC66">
        <v>0.74573535643786248</v>
      </c>
      <c r="AD66">
        <v>0.59408903870572705</v>
      </c>
      <c r="AE66">
        <v>0.9199509470646613</v>
      </c>
      <c r="AH66">
        <v>8.5677606624037672E-2</v>
      </c>
      <c r="AI66">
        <v>5.6604800036860192E-2</v>
      </c>
      <c r="AJ66">
        <v>4.6936904798581702E-2</v>
      </c>
      <c r="AK66">
        <v>2.4070930696650339E-2</v>
      </c>
      <c r="AL66">
        <v>0.13369094876257492</v>
      </c>
      <c r="AM66">
        <v>9.4776701049710033E-2</v>
      </c>
      <c r="AN66">
        <v>0.26174911019615787</v>
      </c>
      <c r="AO66">
        <v>1.2449210831544932E-2</v>
      </c>
      <c r="AR66">
        <v>6.8337708772067641E-4</v>
      </c>
      <c r="AS66">
        <v>4.6121077378825648E-3</v>
      </c>
      <c r="AT66">
        <v>4.8269722735536768E-3</v>
      </c>
      <c r="AU66">
        <v>1.8943749386422122E-3</v>
      </c>
      <c r="AV66">
        <v>1.9530122114198758E-3</v>
      </c>
      <c r="AW66">
        <v>3.5968830467743018E-3</v>
      </c>
      <c r="AX66">
        <v>3.1801798207834635E-4</v>
      </c>
      <c r="AY66">
        <v>4.4958782459414426E-4</v>
      </c>
      <c r="BB66">
        <v>5.4983825437721179E-2</v>
      </c>
      <c r="BC66">
        <v>4.2683778117134814E-2</v>
      </c>
      <c r="BE66">
        <v>68163.029209773216</v>
      </c>
      <c r="BF66">
        <v>15.086339359021236</v>
      </c>
      <c r="BG66">
        <v>70111.63564025145</v>
      </c>
      <c r="BH66">
        <v>15.016444492427059</v>
      </c>
      <c r="BI66">
        <v>-1948.606430478234</v>
      </c>
      <c r="BJ66">
        <v>6.9894866594177429E-2</v>
      </c>
    </row>
    <row r="67" spans="3:62" x14ac:dyDescent="0.2">
      <c r="C67" s="121">
        <v>68789.376211801427</v>
      </c>
      <c r="D67">
        <v>16.242482344479939</v>
      </c>
      <c r="E67" s="121">
        <v>70308.263717633658</v>
      </c>
      <c r="F67" s="121">
        <v>16.108989786118279</v>
      </c>
      <c r="G67" s="121">
        <v>-1518.8875058322301</v>
      </c>
      <c r="H67" s="121">
        <v>0.13349255836165952</v>
      </c>
      <c r="J67" s="118">
        <v>6000</v>
      </c>
      <c r="L67">
        <v>0.999</v>
      </c>
      <c r="N67" s="121"/>
      <c r="O67" s="121"/>
      <c r="P67" s="121"/>
      <c r="R67">
        <v>355.57110191878155</v>
      </c>
      <c r="S67">
        <v>58.822326162568217</v>
      </c>
      <c r="T67">
        <v>289.39361461550538</v>
      </c>
      <c r="U67">
        <v>84.933818253897229</v>
      </c>
      <c r="X67">
        <v>0.67972200366186963</v>
      </c>
      <c r="Y67">
        <v>0.72330196105370237</v>
      </c>
      <c r="Z67">
        <v>0.72026674732977691</v>
      </c>
      <c r="AA67">
        <v>0.68342291972507008</v>
      </c>
      <c r="AB67">
        <v>0.59578306723656671</v>
      </c>
      <c r="AC67">
        <v>0.73482464781989487</v>
      </c>
      <c r="AD67">
        <v>0.66185008592615646</v>
      </c>
      <c r="AE67">
        <v>0.60371053444091216</v>
      </c>
      <c r="AH67">
        <v>9.1535613874939581E-2</v>
      </c>
      <c r="AI67">
        <v>9.3677277877330822E-2</v>
      </c>
      <c r="AJ67">
        <v>0.13374482032234736</v>
      </c>
      <c r="AK67">
        <v>8.6537990522556729E-2</v>
      </c>
      <c r="AL67">
        <v>0.20297070639536541</v>
      </c>
      <c r="AM67">
        <v>0.10663006277711407</v>
      </c>
      <c r="AN67">
        <v>0.10225721029279744</v>
      </c>
      <c r="AO67">
        <v>0.21113660677972934</v>
      </c>
      <c r="AR67">
        <v>8.6038949749836881E-4</v>
      </c>
      <c r="AS67">
        <v>3.9894211086289573E-3</v>
      </c>
      <c r="AT67">
        <v>4.8175784867017304E-3</v>
      </c>
      <c r="AU67">
        <v>2.0193162671843234E-3</v>
      </c>
      <c r="AV67">
        <v>1.9056404688488448E-3</v>
      </c>
      <c r="AW67">
        <v>3.4687043237768833E-3</v>
      </c>
      <c r="AX67">
        <v>3.1286233174867309E-4</v>
      </c>
      <c r="AY67">
        <v>3.7998866151762203E-4</v>
      </c>
      <c r="BB67">
        <v>5.9054445039581127E-2</v>
      </c>
      <c r="BC67">
        <v>5.3030783486515798E-2</v>
      </c>
      <c r="BE67">
        <v>68789.376211801427</v>
      </c>
      <c r="BF67">
        <v>16.242482344479939</v>
      </c>
      <c r="BG67">
        <v>70308.263717633658</v>
      </c>
      <c r="BH67">
        <v>16.108989786118279</v>
      </c>
      <c r="BI67">
        <v>-1518.8875058322301</v>
      </c>
      <c r="BJ67">
        <v>0.13349255836165952</v>
      </c>
    </row>
    <row r="68" spans="3:62" x14ac:dyDescent="0.2">
      <c r="C68" s="123">
        <v>71626.597163100101</v>
      </c>
      <c r="D68">
        <v>16.644154864357219</v>
      </c>
      <c r="E68" s="121">
        <v>73101.59097575651</v>
      </c>
      <c r="F68" s="121">
        <v>16.561337886356547</v>
      </c>
      <c r="G68" s="123">
        <v>-1474.9938126564084</v>
      </c>
      <c r="H68" s="123">
        <v>8.2816978000671782E-2</v>
      </c>
      <c r="J68" s="118">
        <v>7000</v>
      </c>
      <c r="L68">
        <v>1</v>
      </c>
      <c r="N68" s="121"/>
      <c r="O68" s="121"/>
      <c r="P68" s="121"/>
      <c r="R68">
        <v>-22.787875517104339</v>
      </c>
      <c r="S68">
        <v>47.949617988684139</v>
      </c>
      <c r="T68">
        <v>258.50933776683718</v>
      </c>
      <c r="U68">
        <v>96.780579679198524</v>
      </c>
      <c r="X68">
        <v>0.85075226412400728</v>
      </c>
      <c r="Y68">
        <v>0.746426324957982</v>
      </c>
      <c r="Z68">
        <v>0.8786294467230682</v>
      </c>
      <c r="AA68">
        <v>0.66739352978795763</v>
      </c>
      <c r="AB68">
        <v>0.91347482808626279</v>
      </c>
      <c r="AC68">
        <v>0.88930235083942932</v>
      </c>
      <c r="AD68">
        <v>0.71150272567222528</v>
      </c>
      <c r="AE68">
        <v>0.76388853837192061</v>
      </c>
      <c r="AH68">
        <v>2.1456680206937806E-2</v>
      </c>
      <c r="AI68">
        <v>0.20806776621025214</v>
      </c>
      <c r="AJ68">
        <v>0.12162681821211185</v>
      </c>
      <c r="AK68">
        <v>0.31748334731052019</v>
      </c>
      <c r="AL68">
        <v>3.8714836583309431E-2</v>
      </c>
      <c r="AM68">
        <v>6.6366117518453893E-2</v>
      </c>
      <c r="AN68">
        <v>0.11251291725034274</v>
      </c>
      <c r="AO68">
        <v>0.28224738871406563</v>
      </c>
      <c r="AR68">
        <v>8.0052911771060083E-4</v>
      </c>
      <c r="AS68">
        <v>4.5799805935095028E-3</v>
      </c>
      <c r="AT68">
        <v>5.1761458305694674E-3</v>
      </c>
      <c r="AU68">
        <v>2.069158732716625E-3</v>
      </c>
      <c r="AV68">
        <v>2.0551133940166499E-3</v>
      </c>
      <c r="AW68">
        <v>3.5855718262590708E-3</v>
      </c>
      <c r="AX68">
        <v>3.5550389311239926E-4</v>
      </c>
      <c r="AY68">
        <v>4.8183350926900292E-4</v>
      </c>
      <c r="BB68">
        <v>5.2191689223008098E-2</v>
      </c>
      <c r="BC68">
        <v>7.7141474760662354E-2</v>
      </c>
      <c r="BE68">
        <v>71626.597163100101</v>
      </c>
      <c r="BF68">
        <v>16.644154864357219</v>
      </c>
      <c r="BG68">
        <v>73101.59097575651</v>
      </c>
      <c r="BH68">
        <v>16.561337886356547</v>
      </c>
      <c r="BI68">
        <v>-1474.9938126564084</v>
      </c>
      <c r="BJ68">
        <v>8.2816978000671782E-2</v>
      </c>
    </row>
    <row r="69" spans="3:62" x14ac:dyDescent="0.2">
      <c r="C69" s="121">
        <v>67852.449339978339</v>
      </c>
      <c r="D69">
        <v>15.876211812406503</v>
      </c>
      <c r="E69" s="121">
        <v>70412.166771473567</v>
      </c>
      <c r="F69" s="121">
        <v>15.69734007121872</v>
      </c>
      <c r="G69" s="121">
        <v>-2559.7174314952281</v>
      </c>
      <c r="H69" s="121">
        <v>0.17887174118778226</v>
      </c>
      <c r="J69" s="118">
        <v>8000</v>
      </c>
      <c r="L69">
        <v>1</v>
      </c>
      <c r="N69" s="121"/>
      <c r="O69" s="121"/>
      <c r="P69" s="121"/>
      <c r="R69">
        <v>301.88882209127883</v>
      </c>
      <c r="S69">
        <v>56.339351550570896</v>
      </c>
      <c r="T69">
        <v>205.35004795927574</v>
      </c>
      <c r="U69">
        <v>108.92279482618055</v>
      </c>
      <c r="X69">
        <v>0.62061186361847986</v>
      </c>
      <c r="Y69">
        <v>0.74608597578379743</v>
      </c>
      <c r="Z69">
        <v>0.80608951318705513</v>
      </c>
      <c r="AA69">
        <v>0.70052831839602925</v>
      </c>
      <c r="AB69">
        <v>0.71898299239600916</v>
      </c>
      <c r="AC69">
        <v>0.65423428669564654</v>
      </c>
      <c r="AD69">
        <v>0.56885424697547438</v>
      </c>
      <c r="AE69">
        <v>0.93888492407112656</v>
      </c>
      <c r="AH69">
        <v>0.10216425599478574</v>
      </c>
      <c r="AI69">
        <v>0.24307724918528939</v>
      </c>
      <c r="AJ69">
        <v>5.9944759751384469E-2</v>
      </c>
      <c r="AK69">
        <v>4.8367719352811145E-2</v>
      </c>
      <c r="AL69">
        <v>0.18702078729226723</v>
      </c>
      <c r="AM69">
        <v>8.504790032875098E-2</v>
      </c>
      <c r="AN69">
        <v>0.1956190788825013</v>
      </c>
      <c r="AO69">
        <v>7.2884756756119273E-2</v>
      </c>
      <c r="AR69">
        <v>8.9535750815528115E-4</v>
      </c>
      <c r="AS69">
        <v>4.3890214855125155E-3</v>
      </c>
      <c r="AT69">
        <v>4.9358225615943477E-3</v>
      </c>
      <c r="AU69">
        <v>1.9705414784002735E-3</v>
      </c>
      <c r="AV69">
        <v>2.1643853297308446E-3</v>
      </c>
      <c r="AW69">
        <v>3.5404651853980784E-3</v>
      </c>
      <c r="AX69">
        <v>2.9813447687475028E-4</v>
      </c>
      <c r="AY69">
        <v>4.0630145518967949E-4</v>
      </c>
      <c r="BB69">
        <v>4.8421989771838328E-2</v>
      </c>
      <c r="BC69">
        <v>2.4949568659103114E-2</v>
      </c>
      <c r="BE69">
        <v>67852.449339978339</v>
      </c>
      <c r="BF69">
        <v>15.876211812406503</v>
      </c>
      <c r="BG69">
        <v>70412.166771473567</v>
      </c>
      <c r="BH69">
        <v>15.69734007121872</v>
      </c>
      <c r="BI69">
        <v>-2559.7174314952281</v>
      </c>
      <c r="BJ69">
        <v>0.17887174118778226</v>
      </c>
    </row>
    <row r="70" spans="3:62" x14ac:dyDescent="0.2">
      <c r="C70" s="121">
        <v>65981.235555741398</v>
      </c>
      <c r="D70">
        <v>16.498142200783807</v>
      </c>
      <c r="E70" s="121">
        <v>67379.516828817636</v>
      </c>
      <c r="F70" s="121">
        <v>16.38674728750463</v>
      </c>
      <c r="G70" s="121">
        <v>-1398.281273076238</v>
      </c>
      <c r="H70" s="121">
        <v>0.11139491327917739</v>
      </c>
      <c r="J70" s="118">
        <v>9000</v>
      </c>
      <c r="L70">
        <v>1</v>
      </c>
      <c r="N70" s="121"/>
      <c r="O70" s="121"/>
      <c r="P70" s="121"/>
      <c r="R70">
        <v>305.70508264082031</v>
      </c>
      <c r="S70">
        <v>57.754821118495599</v>
      </c>
      <c r="T70">
        <v>227.90923243107039</v>
      </c>
      <c r="U70">
        <v>96.528497228853738</v>
      </c>
      <c r="X70">
        <v>0.69081905016230738</v>
      </c>
      <c r="Y70">
        <v>0.74374651568947359</v>
      </c>
      <c r="Z70">
        <v>0.91404915546791687</v>
      </c>
      <c r="AA70">
        <v>0.53308481121662732</v>
      </c>
      <c r="AB70">
        <v>0.84305245665620177</v>
      </c>
      <c r="AC70">
        <v>0.88805908894182817</v>
      </c>
      <c r="AD70">
        <v>0.45470602048902548</v>
      </c>
      <c r="AE70">
        <v>0.70461292764915484</v>
      </c>
      <c r="AH70">
        <v>0.18309145182229913</v>
      </c>
      <c r="AI70">
        <v>5.4942661161992534E-2</v>
      </c>
      <c r="AJ70">
        <v>0.10195013878391312</v>
      </c>
      <c r="AK70">
        <v>4.5087094022284502E-2</v>
      </c>
      <c r="AL70">
        <v>0.16189089877787155</v>
      </c>
      <c r="AM70">
        <v>0.17396408584779299</v>
      </c>
      <c r="AN70">
        <v>0.21809536497691961</v>
      </c>
      <c r="AO70">
        <v>0.2736995018046503</v>
      </c>
      <c r="AR70">
        <v>9.3812568028639465E-4</v>
      </c>
      <c r="AS70">
        <v>4.3023620535205878E-3</v>
      </c>
      <c r="AT70">
        <v>4.8887271235280097E-3</v>
      </c>
      <c r="AU70">
        <v>1.8255882432509749E-3</v>
      </c>
      <c r="AV70">
        <v>2.0513063360561024E-3</v>
      </c>
      <c r="AW70">
        <v>3.4203311708633777E-3</v>
      </c>
      <c r="AX70">
        <v>4.6863072609248935E-4</v>
      </c>
      <c r="AY70">
        <v>4.4969244884307535E-4</v>
      </c>
      <c r="BB70">
        <v>4.3990314947904077E-2</v>
      </c>
      <c r="BC70">
        <v>5.1692071178988663E-2</v>
      </c>
      <c r="BE70">
        <v>65981.235555741398</v>
      </c>
      <c r="BF70">
        <v>16.498142200783807</v>
      </c>
      <c r="BG70">
        <v>67379.516828817636</v>
      </c>
      <c r="BH70">
        <v>16.38674728750463</v>
      </c>
      <c r="BI70">
        <v>-1398.281273076238</v>
      </c>
      <c r="BJ70">
        <v>0.11139491327917739</v>
      </c>
    </row>
    <row r="71" spans="3:62" x14ac:dyDescent="0.2">
      <c r="C71" s="121">
        <v>72462.754982314</v>
      </c>
      <c r="D71">
        <v>16.503460111535055</v>
      </c>
      <c r="E71" s="121">
        <v>73991.393665181589</v>
      </c>
      <c r="F71" s="121">
        <v>16.361839051783218</v>
      </c>
      <c r="G71" s="121">
        <v>-1528.6386828675895</v>
      </c>
      <c r="H71" s="121">
        <v>0.14162105975183792</v>
      </c>
      <c r="J71" s="118">
        <v>10000</v>
      </c>
      <c r="L71">
        <v>1</v>
      </c>
      <c r="N71" s="121"/>
      <c r="O71" s="121"/>
      <c r="P71" s="121"/>
      <c r="R71">
        <v>186.06129622085001</v>
      </c>
      <c r="S71">
        <v>54.476966494090391</v>
      </c>
      <c r="T71">
        <v>243.24954192870518</v>
      </c>
      <c r="U71">
        <v>80.52678066734039</v>
      </c>
      <c r="X71">
        <v>0.87332236800140473</v>
      </c>
      <c r="Y71">
        <v>0.54329173317597934</v>
      </c>
      <c r="Z71">
        <v>0.84293474622591513</v>
      </c>
      <c r="AA71">
        <v>0.6206045915141899</v>
      </c>
      <c r="AB71">
        <v>0.7578967073058791</v>
      </c>
      <c r="AC71">
        <v>0.89047158372655844</v>
      </c>
      <c r="AD71">
        <v>0.56368503546960969</v>
      </c>
      <c r="AE71">
        <v>0.83612057981830468</v>
      </c>
      <c r="AH71">
        <v>5.9853978190678281E-2</v>
      </c>
      <c r="AI71">
        <v>4.5953741404360149E-2</v>
      </c>
      <c r="AJ71">
        <v>9.1004893684347277E-2</v>
      </c>
      <c r="AK71">
        <v>6.459365954082108E-2</v>
      </c>
      <c r="AL71">
        <v>0.15842647312103086</v>
      </c>
      <c r="AM71">
        <v>0.19649615253544639</v>
      </c>
      <c r="AN71">
        <v>5.6705393055092479E-2</v>
      </c>
      <c r="AO71">
        <v>0.10722727201920601</v>
      </c>
      <c r="AR71">
        <v>8.3186435602940732E-4</v>
      </c>
      <c r="AS71">
        <v>4.3961830209374494E-3</v>
      </c>
      <c r="AT71">
        <v>5.0381805910820754E-3</v>
      </c>
      <c r="AU71">
        <v>2.1621726549695408E-3</v>
      </c>
      <c r="AV71">
        <v>2.1421587760163119E-3</v>
      </c>
      <c r="AW71">
        <v>3.3797893365637792E-3</v>
      </c>
      <c r="AX71">
        <v>4.1677026823605523E-4</v>
      </c>
      <c r="AY71">
        <v>4.5449124510776873E-4</v>
      </c>
      <c r="BB71">
        <v>5.5025692879139942E-2</v>
      </c>
      <c r="BC71">
        <v>7.6924740711747264E-2</v>
      </c>
      <c r="BE71">
        <v>72462.754982314</v>
      </c>
      <c r="BF71">
        <v>16.503460111535055</v>
      </c>
      <c r="BG71">
        <v>73991.393665181589</v>
      </c>
      <c r="BH71">
        <v>16.361839051783218</v>
      </c>
      <c r="BI71">
        <v>-1528.6386828675895</v>
      </c>
      <c r="BJ71">
        <v>0.14162105975183792</v>
      </c>
    </row>
    <row r="72" spans="3:62" x14ac:dyDescent="0.2">
      <c r="C72" s="121">
        <v>73723.862716871561</v>
      </c>
      <c r="D72">
        <v>14.667041674020608</v>
      </c>
      <c r="E72" s="121">
        <v>75746.66696181141</v>
      </c>
      <c r="F72" s="121">
        <v>14.521963941126684</v>
      </c>
      <c r="G72" s="121">
        <v>-2022.804244939849</v>
      </c>
      <c r="H72" s="121">
        <v>0.14507773289392389</v>
      </c>
      <c r="J72" s="118">
        <v>11000</v>
      </c>
      <c r="L72">
        <v>1</v>
      </c>
      <c r="N72" s="121"/>
      <c r="O72" s="121"/>
      <c r="P72" s="121"/>
      <c r="R72">
        <v>289.46781144944566</v>
      </c>
      <c r="S72">
        <v>60.803280826439398</v>
      </c>
      <c r="T72">
        <v>258.30884754329827</v>
      </c>
      <c r="U72">
        <v>85.083192378188315</v>
      </c>
      <c r="X72">
        <v>0.72268911564719296</v>
      </c>
      <c r="Y72">
        <v>0.66143170758571213</v>
      </c>
      <c r="Z72">
        <v>0.67509649566211849</v>
      </c>
      <c r="AA72">
        <v>0.76503627249001271</v>
      </c>
      <c r="AB72">
        <v>0.74063427673478099</v>
      </c>
      <c r="AC72">
        <v>0.7560911155776987</v>
      </c>
      <c r="AD72">
        <v>0.62586244194503182</v>
      </c>
      <c r="AE72">
        <v>0.77285590757301637</v>
      </c>
      <c r="AH72">
        <v>6.0898702057404774E-2</v>
      </c>
      <c r="AI72">
        <v>0.16728859086663972</v>
      </c>
      <c r="AJ72">
        <v>0.16323328366759982</v>
      </c>
      <c r="AK72">
        <v>0.21176022389028604</v>
      </c>
      <c r="AL72">
        <v>7.1444398013619681E-2</v>
      </c>
      <c r="AM72">
        <v>0.11759311306595555</v>
      </c>
      <c r="AN72">
        <v>5.7577674185856464E-2</v>
      </c>
      <c r="AO72">
        <v>3.9542305490859464E-2</v>
      </c>
      <c r="AR72">
        <v>1.0433642626753725E-3</v>
      </c>
      <c r="AS72">
        <v>4.0995827056324059E-3</v>
      </c>
      <c r="AT72">
        <v>4.9357747739388249E-3</v>
      </c>
      <c r="AU72">
        <v>2.1973549945607518E-3</v>
      </c>
      <c r="AV72">
        <v>2.1487845981762455E-3</v>
      </c>
      <c r="AW72">
        <v>3.7186369907518113E-3</v>
      </c>
      <c r="AX72">
        <v>4.5663665296047373E-4</v>
      </c>
      <c r="AY72">
        <v>3.7996942238162487E-4</v>
      </c>
      <c r="BB72">
        <v>5.0351765141469884E-2</v>
      </c>
      <c r="BC72">
        <v>2.3260134248366555E-2</v>
      </c>
      <c r="BE72">
        <v>73723.862716871561</v>
      </c>
      <c r="BF72">
        <v>14.667041674020608</v>
      </c>
      <c r="BG72">
        <v>75746.66696181141</v>
      </c>
      <c r="BH72">
        <v>14.521963941126684</v>
      </c>
      <c r="BI72">
        <v>-2022.804244939849</v>
      </c>
      <c r="BJ72">
        <v>0.14507773289392389</v>
      </c>
    </row>
    <row r="73" spans="3:62" x14ac:dyDescent="0.2">
      <c r="C73" s="121">
        <v>66311.298237085881</v>
      </c>
      <c r="D73">
        <v>16.902560989597024</v>
      </c>
      <c r="E73" s="121">
        <v>67884.510981969681</v>
      </c>
      <c r="F73" s="121">
        <v>16.777826351434264</v>
      </c>
      <c r="G73" s="121">
        <v>-1573.2127448838</v>
      </c>
      <c r="H73" s="121">
        <v>0.12473463816276009</v>
      </c>
      <c r="J73" s="118">
        <v>12000</v>
      </c>
      <c r="L73">
        <v>1</v>
      </c>
      <c r="N73" s="121"/>
      <c r="O73" s="121"/>
      <c r="P73" s="121"/>
      <c r="R73">
        <v>43.455765910895707</v>
      </c>
      <c r="S73">
        <v>69.430565132226434</v>
      </c>
      <c r="T73">
        <v>286.42598948004434</v>
      </c>
      <c r="U73">
        <v>102.46298690364048</v>
      </c>
      <c r="X73">
        <v>0.84466399077271659</v>
      </c>
      <c r="Y73">
        <v>0.89518706033271411</v>
      </c>
      <c r="Z73">
        <v>0.71705901109954406</v>
      </c>
      <c r="AA73">
        <v>0.72352427540132025</v>
      </c>
      <c r="AB73">
        <v>0.8245860878011132</v>
      </c>
      <c r="AC73">
        <v>0.57719140463819396</v>
      </c>
      <c r="AD73">
        <v>0.66799359562749583</v>
      </c>
      <c r="AE73">
        <v>0.5540533969195538</v>
      </c>
      <c r="AH73">
        <v>0.10014604214849143</v>
      </c>
      <c r="AI73">
        <v>0.16862583919916529</v>
      </c>
      <c r="AJ73">
        <v>0.17246935701042887</v>
      </c>
      <c r="AK73">
        <v>9.1273546282689133E-2</v>
      </c>
      <c r="AL73">
        <v>8.813408722575522E-2</v>
      </c>
      <c r="AM73">
        <v>7.044377381766731E-2</v>
      </c>
      <c r="AN73">
        <v>0.1219122203735532</v>
      </c>
      <c r="AO73">
        <v>0.10498334944092003</v>
      </c>
      <c r="AR73">
        <v>9.3475152274324902E-4</v>
      </c>
      <c r="AS73">
        <v>4.1295594541766491E-3</v>
      </c>
      <c r="AT73">
        <v>4.7103906995110394E-3</v>
      </c>
      <c r="AU73">
        <v>2.1339454528861435E-3</v>
      </c>
      <c r="AV73">
        <v>2.1091402769600753E-3</v>
      </c>
      <c r="AW73">
        <v>3.2936129459877135E-3</v>
      </c>
      <c r="AX73">
        <v>3.4779906721868345E-4</v>
      </c>
      <c r="AY73">
        <v>4.7190536500241187E-4</v>
      </c>
      <c r="BB73">
        <v>5.4745214885844606E-2</v>
      </c>
      <c r="BC73">
        <v>7.1279752257710771E-2</v>
      </c>
      <c r="BE73">
        <v>66311.298237085881</v>
      </c>
      <c r="BF73">
        <v>16.902560989597024</v>
      </c>
      <c r="BG73">
        <v>67884.510981969681</v>
      </c>
      <c r="BH73">
        <v>16.777826351434264</v>
      </c>
      <c r="BI73">
        <v>-1573.2127448838</v>
      </c>
      <c r="BJ73">
        <v>0.12473463816276009</v>
      </c>
    </row>
    <row r="74" spans="3:62" x14ac:dyDescent="0.2">
      <c r="C74" s="121">
        <v>72108.052398482949</v>
      </c>
      <c r="D74">
        <v>15.88301138309069</v>
      </c>
      <c r="E74" s="121">
        <v>73588.826758962357</v>
      </c>
      <c r="F74" s="121">
        <v>15.761604895484732</v>
      </c>
      <c r="G74" s="121">
        <v>-1480.7743604794086</v>
      </c>
      <c r="H74" s="121">
        <v>0.12140648760595774</v>
      </c>
      <c r="J74" s="118">
        <v>13000</v>
      </c>
      <c r="L74">
        <v>1</v>
      </c>
      <c r="N74" s="121"/>
      <c r="O74" s="121"/>
      <c r="P74" s="121"/>
      <c r="R74">
        <v>261.85307535151759</v>
      </c>
      <c r="S74">
        <v>64.975643449378225</v>
      </c>
      <c r="T74">
        <v>257.19208310839957</v>
      </c>
      <c r="U74">
        <v>88.671966980698301</v>
      </c>
      <c r="X74">
        <v>0.8081147993074298</v>
      </c>
      <c r="Y74">
        <v>0.44022235827517819</v>
      </c>
      <c r="Z74">
        <v>0.93206327262793653</v>
      </c>
      <c r="AA74">
        <v>0.95325474854915715</v>
      </c>
      <c r="AB74">
        <v>0.73162040690168961</v>
      </c>
      <c r="AC74">
        <v>0.65066665403602431</v>
      </c>
      <c r="AD74">
        <v>0.78714387688750198</v>
      </c>
      <c r="AE74">
        <v>0.89075252369240543</v>
      </c>
      <c r="AH74">
        <v>7.9165631906637612E-2</v>
      </c>
      <c r="AI74">
        <v>4.2313604898686297E-2</v>
      </c>
      <c r="AJ74">
        <v>0.10880080085878119</v>
      </c>
      <c r="AK74">
        <v>0.1500784743404957</v>
      </c>
      <c r="AL74">
        <v>9.5239523694326644E-2</v>
      </c>
      <c r="AM74">
        <v>4.5266336598638879E-2</v>
      </c>
      <c r="AN74">
        <v>4.5045521230334229E-2</v>
      </c>
      <c r="AO74">
        <v>0.23346875953008661</v>
      </c>
      <c r="AR74">
        <v>1.0616998639872977E-3</v>
      </c>
      <c r="AS74">
        <v>4.3683416050104553E-3</v>
      </c>
      <c r="AT74">
        <v>4.7589493111450587E-3</v>
      </c>
      <c r="AU74">
        <v>2.1008668432070943E-3</v>
      </c>
      <c r="AV74">
        <v>2.1300165429509743E-3</v>
      </c>
      <c r="AW74">
        <v>3.613034383905811E-3</v>
      </c>
      <c r="AX74">
        <v>3.456649555204627E-4</v>
      </c>
      <c r="AY74">
        <v>5.3934029100044523E-4</v>
      </c>
      <c r="BB74">
        <v>5.8232776409968823E-2</v>
      </c>
      <c r="BC74">
        <v>1.5458314902970179E-2</v>
      </c>
      <c r="BE74">
        <v>72108.052398482949</v>
      </c>
      <c r="BF74">
        <v>15.88301138309069</v>
      </c>
      <c r="BG74">
        <v>73588.826758962357</v>
      </c>
      <c r="BH74">
        <v>15.761604895484732</v>
      </c>
      <c r="BI74">
        <v>-1480.7743604794086</v>
      </c>
      <c r="BJ74">
        <v>0.12140648760595774</v>
      </c>
    </row>
    <row r="75" spans="3:62" x14ac:dyDescent="0.2">
      <c r="C75" s="121">
        <v>67032.217147407981</v>
      </c>
      <c r="D75">
        <v>16.814742126263713</v>
      </c>
      <c r="E75" s="121">
        <v>68057.628516263052</v>
      </c>
      <c r="F75" s="121">
        <v>16.727851338174585</v>
      </c>
      <c r="G75" s="121">
        <v>-1025.4113688550715</v>
      </c>
      <c r="H75" s="121">
        <v>8.6890788089128534E-2</v>
      </c>
      <c r="J75" s="118">
        <v>14000</v>
      </c>
      <c r="L75">
        <v>1</v>
      </c>
      <c r="N75" s="121"/>
      <c r="O75" s="121"/>
      <c r="P75" s="121"/>
      <c r="R75">
        <v>288.31306204116333</v>
      </c>
      <c r="S75">
        <v>82.113259424581358</v>
      </c>
      <c r="T75">
        <v>290.18078071038138</v>
      </c>
      <c r="U75">
        <v>104.87543192434867</v>
      </c>
      <c r="X75">
        <v>0.77975720612515897</v>
      </c>
      <c r="Y75">
        <v>0.61120779419450399</v>
      </c>
      <c r="Z75">
        <v>0.5747811427744437</v>
      </c>
      <c r="AA75">
        <v>0.80785569315593686</v>
      </c>
      <c r="AB75">
        <v>0.58986301126939489</v>
      </c>
      <c r="AC75">
        <v>0.85290126860853233</v>
      </c>
      <c r="AD75">
        <v>0.70260012090970858</v>
      </c>
      <c r="AE75">
        <v>0.83407815543098718</v>
      </c>
      <c r="AH75">
        <v>5.5748102090029894E-2</v>
      </c>
      <c r="AI75">
        <v>0.1582732764352649</v>
      </c>
      <c r="AJ75">
        <v>0.10512904340603069</v>
      </c>
      <c r="AK75">
        <v>8.3949643026708043E-2</v>
      </c>
      <c r="AL75">
        <v>1.6663917980782816E-2</v>
      </c>
      <c r="AM75">
        <v>0.12231323938188565</v>
      </c>
      <c r="AN75">
        <v>0.21521332316873532</v>
      </c>
      <c r="AO75">
        <v>2.808963085022409E-2</v>
      </c>
      <c r="AR75">
        <v>6.6852174603413241E-4</v>
      </c>
      <c r="AS75">
        <v>4.8170855665835566E-3</v>
      </c>
      <c r="AT75">
        <v>4.8811684665822303E-3</v>
      </c>
      <c r="AU75">
        <v>1.6855073147375582E-3</v>
      </c>
      <c r="AV75">
        <v>1.9376679983764457E-3</v>
      </c>
      <c r="AW75">
        <v>3.5163841732638312E-3</v>
      </c>
      <c r="AX75">
        <v>2.845566155446054E-4</v>
      </c>
      <c r="AY75">
        <v>5.0021496648777752E-4</v>
      </c>
      <c r="BB75">
        <v>5.2207008467133331E-2</v>
      </c>
      <c r="BC75">
        <v>7.6036103516907483E-2</v>
      </c>
      <c r="BE75">
        <v>67032.217147407981</v>
      </c>
      <c r="BF75">
        <v>16.814742126263713</v>
      </c>
      <c r="BG75">
        <v>68057.628516263052</v>
      </c>
      <c r="BH75">
        <v>16.727851338174585</v>
      </c>
      <c r="BI75">
        <v>-1025.4113688550715</v>
      </c>
      <c r="BJ75">
        <v>8.6890788089128534E-2</v>
      </c>
    </row>
    <row r="76" spans="3:62" x14ac:dyDescent="0.2">
      <c r="C76" s="121">
        <v>74476.358469583676</v>
      </c>
      <c r="D76">
        <v>15.721333503215172</v>
      </c>
      <c r="E76" s="121">
        <v>76703.052581794749</v>
      </c>
      <c r="F76" s="121">
        <v>15.555838900382939</v>
      </c>
      <c r="G76" s="121">
        <v>-2226.6941122110729</v>
      </c>
      <c r="H76" s="121">
        <v>0.16549460283223283</v>
      </c>
      <c r="J76" s="118">
        <v>15000</v>
      </c>
      <c r="L76">
        <v>1</v>
      </c>
      <c r="N76" s="121"/>
      <c r="O76" s="121"/>
      <c r="P76" s="121"/>
      <c r="R76">
        <v>346.91144804665203</v>
      </c>
      <c r="S76">
        <v>66.191472505769298</v>
      </c>
      <c r="T76">
        <v>265.32435060238254</v>
      </c>
      <c r="U76">
        <v>92.04637144829934</v>
      </c>
      <c r="X76">
        <v>0.81621754868220386</v>
      </c>
      <c r="Y76">
        <v>0.56105044972744078</v>
      </c>
      <c r="Z76">
        <v>0.67632184804709961</v>
      </c>
      <c r="AA76">
        <v>0.64360813343556378</v>
      </c>
      <c r="AB76">
        <v>0.86749524417202029</v>
      </c>
      <c r="AC76">
        <v>0.14887792550459095</v>
      </c>
      <c r="AD76">
        <v>0.69968566880989902</v>
      </c>
      <c r="AE76">
        <v>0.71006114165212397</v>
      </c>
      <c r="AH76">
        <v>8.1914002031124644E-2</v>
      </c>
      <c r="AI76">
        <v>7.0428984757742397E-2</v>
      </c>
      <c r="AJ76">
        <v>3.4019279240455447E-2</v>
      </c>
      <c r="AK76">
        <v>0.16827374195743272</v>
      </c>
      <c r="AL76">
        <v>0.16856656861350394</v>
      </c>
      <c r="AM76">
        <v>0.1399598305980706</v>
      </c>
      <c r="AN76">
        <v>0.33129337413760396</v>
      </c>
      <c r="AO76">
        <v>5.7982192815582145E-2</v>
      </c>
      <c r="AR76">
        <v>1.0185056197390407E-3</v>
      </c>
      <c r="AS76">
        <v>4.7334728042149887E-3</v>
      </c>
      <c r="AT76">
        <v>4.9870523647652654E-3</v>
      </c>
      <c r="AU76">
        <v>2.1573501632016212E-3</v>
      </c>
      <c r="AV76">
        <v>1.9330383707773864E-3</v>
      </c>
      <c r="AW76">
        <v>3.2163578100878115E-3</v>
      </c>
      <c r="AX76">
        <v>3.8161147647913297E-4</v>
      </c>
      <c r="AY76">
        <v>4.127974203095245E-4</v>
      </c>
      <c r="BB76">
        <v>5.1356730641063164E-2</v>
      </c>
      <c r="BC76">
        <v>6.950684597586354E-2</v>
      </c>
      <c r="BE76">
        <v>74476.358469583676</v>
      </c>
      <c r="BF76">
        <v>15.721333503215172</v>
      </c>
      <c r="BG76">
        <v>76703.052581794749</v>
      </c>
      <c r="BH76">
        <v>15.555838900382939</v>
      </c>
      <c r="BI76">
        <v>-2226.6941122110729</v>
      </c>
      <c r="BJ76">
        <v>0.16549460283223283</v>
      </c>
    </row>
    <row r="77" spans="3:62" x14ac:dyDescent="0.2">
      <c r="C77" s="121">
        <v>66963.250931568255</v>
      </c>
      <c r="D77">
        <v>16.408024733662526</v>
      </c>
      <c r="E77" s="121">
        <v>67996.937502071174</v>
      </c>
      <c r="F77" s="121">
        <v>16.296986421163442</v>
      </c>
      <c r="G77" s="121">
        <v>-1033.6865705029195</v>
      </c>
      <c r="H77" s="121">
        <v>0.11103831249908325</v>
      </c>
      <c r="J77" s="118">
        <v>16000</v>
      </c>
      <c r="L77">
        <v>1</v>
      </c>
      <c r="N77" s="121"/>
      <c r="O77" s="121"/>
      <c r="P77" s="121"/>
      <c r="R77">
        <v>285.55763329198339</v>
      </c>
      <c r="S77">
        <v>57.004134627074492</v>
      </c>
      <c r="T77">
        <v>265.24671126142766</v>
      </c>
      <c r="U77">
        <v>90.091655591441295</v>
      </c>
      <c r="X77">
        <v>0.84767584568982823</v>
      </c>
      <c r="Y77">
        <v>0.8306352475948241</v>
      </c>
      <c r="Z77">
        <v>0.84603800333343127</v>
      </c>
      <c r="AA77">
        <v>0.82427296889323165</v>
      </c>
      <c r="AB77">
        <v>0.87047573026142433</v>
      </c>
      <c r="AC77">
        <v>0.89231151461737612</v>
      </c>
      <c r="AD77">
        <v>0.65908488904417351</v>
      </c>
      <c r="AE77">
        <v>0.7541255558525336</v>
      </c>
      <c r="AH77">
        <v>4.7965430706012668E-2</v>
      </c>
      <c r="AI77">
        <v>4.901959831995617E-2</v>
      </c>
      <c r="AJ77">
        <v>0.19542241195897825</v>
      </c>
      <c r="AK77">
        <v>8.8673692711099483E-2</v>
      </c>
      <c r="AL77">
        <v>0.13171188765239172</v>
      </c>
      <c r="AM77">
        <v>0.14760715750846332</v>
      </c>
      <c r="AN77">
        <v>9.3453404076179858E-2</v>
      </c>
      <c r="AO77">
        <v>1.514462030605479E-2</v>
      </c>
      <c r="AR77">
        <v>7.7562667501004121E-4</v>
      </c>
      <c r="AS77">
        <v>4.5215661921420569E-3</v>
      </c>
      <c r="AT77">
        <v>4.9784524427496368E-3</v>
      </c>
      <c r="AU77">
        <v>1.8813956706826406E-3</v>
      </c>
      <c r="AV77">
        <v>1.9111934678897895E-3</v>
      </c>
      <c r="AW77">
        <v>3.1336765856847981E-3</v>
      </c>
      <c r="AX77">
        <v>4.8244270224695462E-4</v>
      </c>
      <c r="AY77">
        <v>4.5790505952869598E-4</v>
      </c>
      <c r="BB77">
        <v>5.7579463470374903E-2</v>
      </c>
      <c r="BC77">
        <v>3.7270489224048589E-2</v>
      </c>
      <c r="BE77">
        <v>66963.250931568255</v>
      </c>
      <c r="BF77">
        <v>16.408024733662526</v>
      </c>
      <c r="BG77">
        <v>67996.937502071174</v>
      </c>
      <c r="BH77">
        <v>16.296986421163442</v>
      </c>
      <c r="BI77">
        <v>-1033.6865705029195</v>
      </c>
      <c r="BJ77">
        <v>0.11103831249908325</v>
      </c>
    </row>
    <row r="78" spans="3:62" x14ac:dyDescent="0.2">
      <c r="C78" s="121">
        <v>66026.000065536602</v>
      </c>
      <c r="D78">
        <v>16.703646977582004</v>
      </c>
      <c r="E78" s="121">
        <v>68021.168044888909</v>
      </c>
      <c r="F78" s="121">
        <v>16.591695972534396</v>
      </c>
      <c r="G78" s="121">
        <v>-1995.1679793523072</v>
      </c>
      <c r="H78" s="121">
        <v>0.11195100504760802</v>
      </c>
      <c r="J78" s="118">
        <v>17000</v>
      </c>
      <c r="L78">
        <v>1</v>
      </c>
      <c r="N78" s="121"/>
      <c r="O78" s="121"/>
      <c r="P78" s="121"/>
      <c r="R78">
        <v>134.63290965844669</v>
      </c>
      <c r="S78">
        <v>62.496520683046931</v>
      </c>
      <c r="T78">
        <v>246.77840795363406</v>
      </c>
      <c r="U78">
        <v>85.095336548063855</v>
      </c>
      <c r="X78">
        <v>0.78754639737556231</v>
      </c>
      <c r="Y78">
        <v>0.90181407819544135</v>
      </c>
      <c r="Z78">
        <v>0.75830016808867617</v>
      </c>
      <c r="AA78">
        <v>0.93425626020894958</v>
      </c>
      <c r="AB78">
        <v>0.74604008052814619</v>
      </c>
      <c r="AC78">
        <v>0.7098929139562361</v>
      </c>
      <c r="AD78">
        <v>0.69573137699563781</v>
      </c>
      <c r="AE78">
        <v>0.81929375593480458</v>
      </c>
      <c r="AH78">
        <v>7.2783937635835794E-2</v>
      </c>
      <c r="AI78">
        <v>4.9065431403258364E-2</v>
      </c>
      <c r="AJ78">
        <v>7.9080768409462543E-2</v>
      </c>
      <c r="AK78">
        <v>6.9438094834706421E-2</v>
      </c>
      <c r="AL78">
        <v>0.20011288131347205</v>
      </c>
      <c r="AM78">
        <v>0.14733307491416925</v>
      </c>
      <c r="AN78">
        <v>8.9063187728567472E-2</v>
      </c>
      <c r="AO78">
        <v>8.2246590081492155E-2</v>
      </c>
      <c r="AR78">
        <v>8.586577159711401E-4</v>
      </c>
      <c r="AS78">
        <v>4.4301663222823433E-3</v>
      </c>
      <c r="AT78">
        <v>4.8054037824169721E-3</v>
      </c>
      <c r="AU78">
        <v>1.9842049300085123E-3</v>
      </c>
      <c r="AV78">
        <v>1.9075148376979975E-3</v>
      </c>
      <c r="AW78">
        <v>3.3626162815827659E-3</v>
      </c>
      <c r="AX78">
        <v>3.4633120784964111E-4</v>
      </c>
      <c r="AY78">
        <v>4.0963739453390931E-4</v>
      </c>
      <c r="BB78">
        <v>5.2209032616376438E-2</v>
      </c>
      <c r="BC78">
        <v>2.6883358272482134E-2</v>
      </c>
      <c r="BE78">
        <v>66026.000065536602</v>
      </c>
      <c r="BF78">
        <v>16.703646977582004</v>
      </c>
      <c r="BG78">
        <v>68021.168044888909</v>
      </c>
      <c r="BH78">
        <v>16.591695972534396</v>
      </c>
      <c r="BI78">
        <v>-1995.1679793523072</v>
      </c>
      <c r="BJ78">
        <v>0.11195100504760802</v>
      </c>
    </row>
    <row r="79" spans="3:62" x14ac:dyDescent="0.2">
      <c r="C79" s="121">
        <v>75537.924359375858</v>
      </c>
      <c r="D79">
        <v>14.975064765623184</v>
      </c>
      <c r="E79" s="121">
        <v>77733.499506501495</v>
      </c>
      <c r="F79" s="121">
        <v>14.803652970169448</v>
      </c>
      <c r="G79" s="121">
        <v>-2195.5751471256372</v>
      </c>
      <c r="H79" s="121">
        <v>0.17141179545373575</v>
      </c>
      <c r="J79" s="118">
        <v>18000</v>
      </c>
      <c r="L79">
        <v>1</v>
      </c>
      <c r="N79" s="121"/>
      <c r="O79" s="121"/>
      <c r="P79" s="121"/>
      <c r="R79">
        <v>53.683866279596032</v>
      </c>
      <c r="S79">
        <v>62.61627098906915</v>
      </c>
      <c r="T79">
        <v>257.77822869456696</v>
      </c>
      <c r="U79">
        <v>87.461248599556725</v>
      </c>
      <c r="X79">
        <v>0.74760113243832005</v>
      </c>
      <c r="Y79">
        <v>0.8565602438905553</v>
      </c>
      <c r="Z79">
        <v>0.93306419896378423</v>
      </c>
      <c r="AA79">
        <v>0.85279035438788642</v>
      </c>
      <c r="AB79">
        <v>0.84775448371228035</v>
      </c>
      <c r="AC79">
        <v>0.92174580828467434</v>
      </c>
      <c r="AD79">
        <v>0.84120807013087151</v>
      </c>
      <c r="AE79">
        <v>0.72553408594819779</v>
      </c>
      <c r="AH79">
        <v>9.3216555578714888E-2</v>
      </c>
      <c r="AI79">
        <v>7.5823373975687502E-3</v>
      </c>
      <c r="AJ79">
        <v>0.11367525281082413</v>
      </c>
      <c r="AK79">
        <v>7.9699365416467494E-2</v>
      </c>
      <c r="AL79">
        <v>1.3578429103669798E-2</v>
      </c>
      <c r="AM79">
        <v>0.34240159617489352</v>
      </c>
      <c r="AN79">
        <v>0.22928448931171719</v>
      </c>
      <c r="AO79">
        <v>3.6329308138581151E-2</v>
      </c>
      <c r="AR79">
        <v>7.6113931819216151E-4</v>
      </c>
      <c r="AS79">
        <v>4.5338168971464921E-3</v>
      </c>
      <c r="AT79">
        <v>5.1194732440744684E-3</v>
      </c>
      <c r="AU79">
        <v>1.9935170089888481E-3</v>
      </c>
      <c r="AV79">
        <v>2.0119044821961252E-3</v>
      </c>
      <c r="AW79">
        <v>3.4229341362840282E-3</v>
      </c>
      <c r="AX79">
        <v>3.5695884675033016E-4</v>
      </c>
      <c r="AY79">
        <v>4.8633224145022691E-4</v>
      </c>
      <c r="BB79">
        <v>4.9023321846372904E-2</v>
      </c>
      <c r="BC79">
        <v>6.3757995609773355E-2</v>
      </c>
      <c r="BE79">
        <v>75537.924359375858</v>
      </c>
      <c r="BF79">
        <v>14.975064765623184</v>
      </c>
      <c r="BG79">
        <v>77733.499506501495</v>
      </c>
      <c r="BH79">
        <v>14.803652970169448</v>
      </c>
      <c r="BI79">
        <v>-2195.5751471256372</v>
      </c>
      <c r="BJ79">
        <v>0.17141179545373575</v>
      </c>
    </row>
    <row r="80" spans="3:62" x14ac:dyDescent="0.2">
      <c r="C80" s="121">
        <v>76926.691919919904</v>
      </c>
      <c r="D80">
        <v>14.7662771166653</v>
      </c>
      <c r="E80" s="121">
        <v>78375.185147509575</v>
      </c>
      <c r="F80" s="121">
        <v>14.588197705306468</v>
      </c>
      <c r="G80" s="121">
        <v>-1448.4932275896717</v>
      </c>
      <c r="H80" s="121">
        <v>0.17807941135883176</v>
      </c>
      <c r="J80" s="118">
        <v>19000</v>
      </c>
      <c r="L80">
        <v>1</v>
      </c>
      <c r="N80" s="121"/>
      <c r="O80" s="121"/>
      <c r="P80" s="121"/>
      <c r="R80">
        <v>318.57547199920521</v>
      </c>
      <c r="S80">
        <v>68.763647826253887</v>
      </c>
      <c r="T80">
        <v>247.31049876605562</v>
      </c>
      <c r="U80">
        <v>101.69995857016757</v>
      </c>
      <c r="X80">
        <v>0.835043093398536</v>
      </c>
      <c r="Y80">
        <v>0.66314355237590183</v>
      </c>
      <c r="Z80">
        <v>0.76496969807491022</v>
      </c>
      <c r="AA80">
        <v>0.66326667944152318</v>
      </c>
      <c r="AB80">
        <v>0.79802206297232581</v>
      </c>
      <c r="AC80">
        <v>0.67518091277926195</v>
      </c>
      <c r="AD80">
        <v>0.38634449730210713</v>
      </c>
      <c r="AE80">
        <v>0.78952923632963579</v>
      </c>
      <c r="AH80">
        <v>1.261781286964303E-2</v>
      </c>
      <c r="AI80">
        <v>0.13294769936949102</v>
      </c>
      <c r="AJ80">
        <v>0.25904437598133012</v>
      </c>
      <c r="AK80">
        <v>0.17581485168925526</v>
      </c>
      <c r="AL80">
        <v>5.2513326943262495E-2</v>
      </c>
      <c r="AM80">
        <v>6.0611108827180793E-2</v>
      </c>
      <c r="AN80">
        <v>8.6309675359601545E-2</v>
      </c>
      <c r="AO80">
        <v>0.29302907286900925</v>
      </c>
      <c r="AR80">
        <v>8.2367280834879481E-4</v>
      </c>
      <c r="AS80">
        <v>4.2062847768071406E-3</v>
      </c>
      <c r="AT80">
        <v>5.0965264801066112E-3</v>
      </c>
      <c r="AU80">
        <v>1.8220865959830341E-3</v>
      </c>
      <c r="AV80">
        <v>2.3422873488173623E-3</v>
      </c>
      <c r="AW80">
        <v>3.3849781100173358E-3</v>
      </c>
      <c r="AX80">
        <v>4.2399892051470101E-4</v>
      </c>
      <c r="AY80">
        <v>4.5612590670685016E-4</v>
      </c>
      <c r="BB80">
        <v>4.5674640351425613E-2</v>
      </c>
      <c r="BC80">
        <v>6.6852251324025058E-2</v>
      </c>
      <c r="BE80">
        <v>76926.691919919904</v>
      </c>
      <c r="BF80">
        <v>14.7662771166653</v>
      </c>
      <c r="BG80">
        <v>78375.185147509575</v>
      </c>
      <c r="BH80">
        <v>14.588197705306468</v>
      </c>
      <c r="BI80">
        <v>-1448.4932275896717</v>
      </c>
      <c r="BJ80">
        <v>0.17807941135883176</v>
      </c>
    </row>
    <row r="81" spans="3:62" x14ac:dyDescent="0.2">
      <c r="C81" s="121">
        <v>74512.478143621178</v>
      </c>
      <c r="D81">
        <v>15.811249589757084</v>
      </c>
      <c r="E81" s="121">
        <v>76016.239808713945</v>
      </c>
      <c r="F81" s="121">
        <v>15.658358522876659</v>
      </c>
      <c r="G81" s="121">
        <v>-1503.7616650927666</v>
      </c>
      <c r="H81" s="121">
        <v>0.15289106688042509</v>
      </c>
      <c r="J81" s="118">
        <v>20000</v>
      </c>
      <c r="L81">
        <v>1</v>
      </c>
      <c r="N81" s="121"/>
      <c r="O81" s="121"/>
      <c r="P81" s="121"/>
      <c r="R81">
        <v>289.32643350678745</v>
      </c>
      <c r="S81">
        <v>64.758106249865435</v>
      </c>
      <c r="T81">
        <v>229.76538541298339</v>
      </c>
      <c r="U81">
        <v>88.418187186376642</v>
      </c>
      <c r="X81">
        <v>0.50295716102631927</v>
      </c>
      <c r="Y81">
        <v>0.88465952235863798</v>
      </c>
      <c r="Z81">
        <v>0.72789371772270761</v>
      </c>
      <c r="AA81">
        <v>0.96860669320061143</v>
      </c>
      <c r="AB81">
        <v>0.69221511980021289</v>
      </c>
      <c r="AC81">
        <v>0.82110239937075513</v>
      </c>
      <c r="AD81">
        <v>0.62814024056122864</v>
      </c>
      <c r="AE81">
        <v>0.72127044939003793</v>
      </c>
      <c r="AH81">
        <v>1.5447006929855345E-2</v>
      </c>
      <c r="AI81">
        <v>0.20543328552192452</v>
      </c>
      <c r="AJ81">
        <v>7.3194910321146556E-2</v>
      </c>
      <c r="AK81">
        <v>0.27407836244995865</v>
      </c>
      <c r="AL81">
        <v>6.1160965166782266E-2</v>
      </c>
      <c r="AM81">
        <v>0.39697573857777613</v>
      </c>
      <c r="AN81">
        <v>0.17001774927416535</v>
      </c>
      <c r="AO81">
        <v>9.7074751136170256E-3</v>
      </c>
      <c r="AR81">
        <v>1.0516482630797963E-3</v>
      </c>
      <c r="AS81">
        <v>4.8438673571296054E-3</v>
      </c>
      <c r="AT81">
        <v>4.7749953218796451E-3</v>
      </c>
      <c r="AU81">
        <v>1.9469360665214678E-3</v>
      </c>
      <c r="AV81">
        <v>2.2421003449862864E-3</v>
      </c>
      <c r="AW81">
        <v>3.3164539838599354E-3</v>
      </c>
      <c r="AX81">
        <v>3.8130310286433157E-4</v>
      </c>
      <c r="AY81">
        <v>4.2012941139729805E-4</v>
      </c>
      <c r="BB81">
        <v>4.993614295264559E-2</v>
      </c>
      <c r="BC81">
        <v>5.1481472489581792E-2</v>
      </c>
      <c r="BE81">
        <v>74512.478143621178</v>
      </c>
      <c r="BF81">
        <v>15.811249589757084</v>
      </c>
      <c r="BG81">
        <v>76016.239808713945</v>
      </c>
      <c r="BH81">
        <v>15.658358522876659</v>
      </c>
      <c r="BI81">
        <v>-1503.7616650927666</v>
      </c>
      <c r="BJ81">
        <v>0.15289106688042509</v>
      </c>
    </row>
    <row r="82" spans="3:62" x14ac:dyDescent="0.2">
      <c r="C82" s="121">
        <v>69522.55736849895</v>
      </c>
      <c r="D82">
        <v>15.890828602179935</v>
      </c>
      <c r="E82" s="121">
        <v>70879.437857615761</v>
      </c>
      <c r="F82" s="121">
        <v>15.755384981734446</v>
      </c>
      <c r="G82" s="121">
        <v>-1356.8804891168111</v>
      </c>
      <c r="H82" s="121">
        <v>0.13544362044548919</v>
      </c>
      <c r="J82" s="118">
        <v>21000</v>
      </c>
      <c r="L82">
        <v>1</v>
      </c>
      <c r="N82" s="121"/>
      <c r="O82" s="121"/>
      <c r="P82" s="121"/>
      <c r="R82">
        <v>255.62372688229954</v>
      </c>
      <c r="S82">
        <v>74.453356753244918</v>
      </c>
      <c r="T82">
        <v>289.51811188916497</v>
      </c>
      <c r="U82">
        <v>99.883089160339722</v>
      </c>
      <c r="X82">
        <v>0.78809534511289558</v>
      </c>
      <c r="Y82">
        <v>0.899733569067379</v>
      </c>
      <c r="Z82">
        <v>0.79186706032259058</v>
      </c>
      <c r="AA82">
        <v>0.86868287150515067</v>
      </c>
      <c r="AB82">
        <v>0.92374041256492889</v>
      </c>
      <c r="AC82">
        <v>0.67108799738906877</v>
      </c>
      <c r="AD82">
        <v>0.75029202468190048</v>
      </c>
      <c r="AE82">
        <v>0.89481739392877002</v>
      </c>
      <c r="AH82">
        <v>7.2393240994862884E-2</v>
      </c>
      <c r="AI82">
        <v>3.3293720329130583E-2</v>
      </c>
      <c r="AJ82">
        <v>0.16067351025190113</v>
      </c>
      <c r="AK82">
        <v>0.1407041565041024</v>
      </c>
      <c r="AL82">
        <v>0.12763329483934016</v>
      </c>
      <c r="AM82">
        <v>5.132774967314635E-2</v>
      </c>
      <c r="AN82">
        <v>0.13891932225964954</v>
      </c>
      <c r="AO82">
        <v>9.5016298823215606E-2</v>
      </c>
      <c r="AR82">
        <v>7.5742788096059166E-4</v>
      </c>
      <c r="AS82">
        <v>4.4994453272381163E-3</v>
      </c>
      <c r="AT82">
        <v>4.9860746112362353E-3</v>
      </c>
      <c r="AU82">
        <v>2.0642753042420248E-3</v>
      </c>
      <c r="AV82">
        <v>2.0749027574523682E-3</v>
      </c>
      <c r="AW82">
        <v>3.3851634261338219E-3</v>
      </c>
      <c r="AX82">
        <v>3.8999640573440293E-4</v>
      </c>
      <c r="AY82">
        <v>4.623743419804871E-4</v>
      </c>
      <c r="BB82">
        <v>5.6320902269243023E-2</v>
      </c>
      <c r="BC82">
        <v>7.1376871086098026E-2</v>
      </c>
      <c r="BE82">
        <v>69522.55736849895</v>
      </c>
      <c r="BF82">
        <v>15.890828602179935</v>
      </c>
      <c r="BG82">
        <v>70879.437857615761</v>
      </c>
      <c r="BH82">
        <v>15.755384981734446</v>
      </c>
      <c r="BI82">
        <v>-1356.8804891168111</v>
      </c>
      <c r="BJ82">
        <v>0.13544362044548919</v>
      </c>
    </row>
    <row r="83" spans="3:62" x14ac:dyDescent="0.2">
      <c r="C83" s="121">
        <v>67293.81631774125</v>
      </c>
      <c r="D83">
        <v>16.977728189119063</v>
      </c>
      <c r="E83" s="121">
        <v>69417.334636072061</v>
      </c>
      <c r="F83" s="121">
        <v>16.815139605682756</v>
      </c>
      <c r="G83" s="121">
        <v>-2123.5183183308109</v>
      </c>
      <c r="H83" s="121">
        <v>0.16258858343630678</v>
      </c>
      <c r="J83" s="118">
        <v>22000</v>
      </c>
      <c r="L83">
        <v>1</v>
      </c>
      <c r="N83" s="121"/>
      <c r="O83" s="121"/>
      <c r="P83" s="121"/>
      <c r="R83">
        <v>332.39422041459261</v>
      </c>
      <c r="S83">
        <v>70.552453276536752</v>
      </c>
      <c r="T83">
        <v>208.40291170260252</v>
      </c>
      <c r="U83">
        <v>96.339006822352388</v>
      </c>
      <c r="X83">
        <v>0.84979697177337299</v>
      </c>
      <c r="Y83">
        <v>0.53563048238251842</v>
      </c>
      <c r="Z83">
        <v>0.66319406820797411</v>
      </c>
      <c r="AA83">
        <v>0.88247758253317055</v>
      </c>
      <c r="AB83">
        <v>0.69949933338339987</v>
      </c>
      <c r="AC83">
        <v>0.79163893988799139</v>
      </c>
      <c r="AD83">
        <v>0.68672070851722278</v>
      </c>
      <c r="AE83">
        <v>0.58214451993159377</v>
      </c>
      <c r="AH83">
        <v>7.9418255699255536E-2</v>
      </c>
      <c r="AI83">
        <v>0.13729341407661555</v>
      </c>
      <c r="AJ83">
        <v>5.7647299644454364E-2</v>
      </c>
      <c r="AK83">
        <v>6.4477184767050111E-2</v>
      </c>
      <c r="AL83">
        <v>0.2606213822894079</v>
      </c>
      <c r="AM83">
        <v>8.202038719325544E-2</v>
      </c>
      <c r="AN83">
        <v>0.41838675925947988</v>
      </c>
      <c r="AO83">
        <v>0.13260476135356492</v>
      </c>
      <c r="AR83">
        <v>9.4566949811925038E-4</v>
      </c>
      <c r="AS83">
        <v>4.6406824166835836E-3</v>
      </c>
      <c r="AT83">
        <v>4.9668924286617733E-3</v>
      </c>
      <c r="AU83">
        <v>2.3333758214605371E-3</v>
      </c>
      <c r="AV83">
        <v>1.7622282477256727E-3</v>
      </c>
      <c r="AW83">
        <v>3.5662307729349418E-3</v>
      </c>
      <c r="AX83">
        <v>2.9898866384197025E-4</v>
      </c>
      <c r="AY83">
        <v>5.3305129139613605E-4</v>
      </c>
      <c r="BB83">
        <v>4.9742472479922799E-2</v>
      </c>
      <c r="BC83">
        <v>2.1612846321914479E-2</v>
      </c>
      <c r="BE83">
        <v>67293.81631774125</v>
      </c>
      <c r="BF83">
        <v>16.977728189119063</v>
      </c>
      <c r="BG83">
        <v>69417.334636072061</v>
      </c>
      <c r="BH83">
        <v>16.815139605682756</v>
      </c>
      <c r="BI83">
        <v>-2123.5183183308109</v>
      </c>
      <c r="BJ83">
        <v>0.16258858343630678</v>
      </c>
    </row>
    <row r="84" spans="3:62" x14ac:dyDescent="0.2">
      <c r="C84" s="121">
        <v>67519.383143672283</v>
      </c>
      <c r="D84">
        <v>16.18929691981835</v>
      </c>
      <c r="E84" s="121">
        <v>68701.938223094097</v>
      </c>
      <c r="F84" s="121">
        <v>16.052881240195507</v>
      </c>
      <c r="G84" s="121">
        <v>-1182.5550794218143</v>
      </c>
      <c r="H84" s="121">
        <v>0.13641567962284284</v>
      </c>
      <c r="J84" s="118">
        <v>23000</v>
      </c>
      <c r="L84">
        <v>1</v>
      </c>
      <c r="N84" s="121"/>
      <c r="O84" s="121"/>
      <c r="P84" s="121"/>
      <c r="R84">
        <v>110.9142703803131</v>
      </c>
      <c r="S84">
        <v>58.216590646201119</v>
      </c>
      <c r="T84">
        <v>247.77965630577376</v>
      </c>
      <c r="U84">
        <v>113.2318896058346</v>
      </c>
      <c r="X84">
        <v>0.87454788311598541</v>
      </c>
      <c r="Y84">
        <v>0.81675418979024361</v>
      </c>
      <c r="Z84">
        <v>0.94619313313394349</v>
      </c>
      <c r="AA84">
        <v>0.81953595400319834</v>
      </c>
      <c r="AB84">
        <v>0.64898528399907307</v>
      </c>
      <c r="AC84">
        <v>0.67107898948232669</v>
      </c>
      <c r="AD84">
        <v>0.86954306599504672</v>
      </c>
      <c r="AE84">
        <v>0.88945616634727243</v>
      </c>
      <c r="AH84">
        <v>0.19803745565303044</v>
      </c>
      <c r="AI84">
        <v>0.16663467477434746</v>
      </c>
      <c r="AJ84">
        <v>4.8642809640281559E-2</v>
      </c>
      <c r="AK84">
        <v>0.40281142367187417</v>
      </c>
      <c r="AL84">
        <v>8.7122896294537733E-2</v>
      </c>
      <c r="AM84">
        <v>6.1574542436303448E-2</v>
      </c>
      <c r="AN84">
        <v>0.20432604345411765</v>
      </c>
      <c r="AO84">
        <v>0.16622660369672426</v>
      </c>
      <c r="AR84">
        <v>8.7721969426361127E-4</v>
      </c>
      <c r="AS84">
        <v>4.7397965282427457E-3</v>
      </c>
      <c r="AT84">
        <v>5.0804824626508038E-3</v>
      </c>
      <c r="AU84">
        <v>1.9046667023165857E-3</v>
      </c>
      <c r="AV84">
        <v>1.9541298922987616E-3</v>
      </c>
      <c r="AW84">
        <v>3.6924106883290397E-3</v>
      </c>
      <c r="AX84">
        <v>3.5160988092119099E-4</v>
      </c>
      <c r="AY84">
        <v>4.5081619817777252E-4</v>
      </c>
      <c r="BB84">
        <v>5.2429203754282838E-2</v>
      </c>
      <c r="BC84">
        <v>5.0722750672919648E-2</v>
      </c>
      <c r="BE84">
        <v>67519.383143672283</v>
      </c>
      <c r="BF84">
        <v>16.18929691981835</v>
      </c>
      <c r="BG84">
        <v>68701.938223094097</v>
      </c>
      <c r="BH84">
        <v>16.052881240195507</v>
      </c>
      <c r="BI84">
        <v>-1182.5550794218143</v>
      </c>
      <c r="BJ84">
        <v>0.13641567962284284</v>
      </c>
    </row>
    <row r="85" spans="3:62" x14ac:dyDescent="0.2">
      <c r="C85" s="121">
        <v>69984.607722193905</v>
      </c>
      <c r="D85">
        <v>16.018753315155752</v>
      </c>
      <c r="E85" s="121">
        <v>72008.102979183168</v>
      </c>
      <c r="F85" s="121">
        <v>15.906435769535232</v>
      </c>
      <c r="G85" s="121">
        <v>-2023.495256989263</v>
      </c>
      <c r="H85" s="121">
        <v>0.11231754562052032</v>
      </c>
      <c r="J85" s="118">
        <v>24000</v>
      </c>
      <c r="L85">
        <v>1</v>
      </c>
      <c r="N85" s="121"/>
      <c r="O85" s="121"/>
      <c r="P85" s="121"/>
      <c r="R85">
        <v>170.86090056476604</v>
      </c>
      <c r="S85">
        <v>66.968880197165902</v>
      </c>
      <c r="T85">
        <v>296.21619501345708</v>
      </c>
      <c r="U85">
        <v>95.643692804281812</v>
      </c>
      <c r="X85">
        <v>0.89027506098415354</v>
      </c>
      <c r="Y85">
        <v>0.68093782000484682</v>
      </c>
      <c r="Z85">
        <v>0.64442499734949443</v>
      </c>
      <c r="AA85">
        <v>0.82798376086007264</v>
      </c>
      <c r="AB85">
        <v>0.7898029844690404</v>
      </c>
      <c r="AC85">
        <v>0.75599358396382355</v>
      </c>
      <c r="AD85">
        <v>0.77128159379966221</v>
      </c>
      <c r="AE85">
        <v>0.72996148990277165</v>
      </c>
      <c r="AH85">
        <v>0.17803941205390428</v>
      </c>
      <c r="AI85">
        <v>4.3661413283138772E-2</v>
      </c>
      <c r="AJ85">
        <v>0.16239096565307132</v>
      </c>
      <c r="AK85">
        <v>0.15129670879412094</v>
      </c>
      <c r="AL85">
        <v>4.4986604003676378E-2</v>
      </c>
      <c r="AM85">
        <v>5.3770978625553467E-2</v>
      </c>
      <c r="AN85">
        <v>5.5976349942062353E-2</v>
      </c>
      <c r="AO85">
        <v>7.1942503363063848E-2</v>
      </c>
      <c r="AR85">
        <v>8.0081608096149259E-4</v>
      </c>
      <c r="AS85">
        <v>4.2512092887287854E-3</v>
      </c>
      <c r="AT85">
        <v>4.7644937682430151E-3</v>
      </c>
      <c r="AU85">
        <v>2.1471823741340268E-3</v>
      </c>
      <c r="AV85">
        <v>1.8623609196492133E-3</v>
      </c>
      <c r="AW85">
        <v>3.5710246102350629E-3</v>
      </c>
      <c r="AX85">
        <v>3.7828187622490411E-4</v>
      </c>
      <c r="AY85">
        <v>4.5948993877931166E-4</v>
      </c>
      <c r="BB85">
        <v>5.4091938228155723E-2</v>
      </c>
      <c r="BC85">
        <v>6.2681427808826795E-2</v>
      </c>
      <c r="BE85">
        <v>69984.607722193905</v>
      </c>
      <c r="BF85">
        <v>16.018753315155752</v>
      </c>
      <c r="BG85">
        <v>72008.102979183168</v>
      </c>
      <c r="BH85">
        <v>15.906435769535232</v>
      </c>
      <c r="BI85">
        <v>-2023.495256989263</v>
      </c>
      <c r="BJ85">
        <v>0.11231754562052032</v>
      </c>
    </row>
    <row r="86" spans="3:62" x14ac:dyDescent="0.2">
      <c r="C86" s="121">
        <v>69244.811265248776</v>
      </c>
      <c r="D86">
        <v>16.075623555246178</v>
      </c>
      <c r="E86" s="121">
        <v>70631.434129499714</v>
      </c>
      <c r="F86" s="121">
        <v>15.958012407905226</v>
      </c>
      <c r="G86" s="121">
        <v>-1386.6228642509377</v>
      </c>
      <c r="H86" s="121">
        <v>0.11761114734095202</v>
      </c>
      <c r="J86" s="118">
        <v>25000</v>
      </c>
      <c r="L86">
        <v>1</v>
      </c>
      <c r="N86" s="121"/>
      <c r="O86" s="121"/>
      <c r="P86" s="121"/>
      <c r="R86">
        <v>304.66140859627217</v>
      </c>
      <c r="S86">
        <v>63.47190507935008</v>
      </c>
      <c r="T86">
        <v>243.80234000915092</v>
      </c>
      <c r="U86">
        <v>90.953583192827139</v>
      </c>
      <c r="X86">
        <v>0.76658009093465729</v>
      </c>
      <c r="Y86">
        <v>0.85894421683498656</v>
      </c>
      <c r="Z86">
        <v>0.92854474908215767</v>
      </c>
      <c r="AA86">
        <v>0.76997680354438502</v>
      </c>
      <c r="AB86">
        <v>0.70381063960031132</v>
      </c>
      <c r="AC86">
        <v>0.75890545445075297</v>
      </c>
      <c r="AD86">
        <v>0.67315304243526786</v>
      </c>
      <c r="AE86">
        <v>0.82001519669671763</v>
      </c>
      <c r="AH86">
        <v>7.4043781231301287E-2</v>
      </c>
      <c r="AI86">
        <v>0.28227414680767948</v>
      </c>
      <c r="AJ86">
        <v>0.31706809594020902</v>
      </c>
      <c r="AK86">
        <v>5.8144072687395854E-2</v>
      </c>
      <c r="AL86">
        <v>3.4489944276496765E-2</v>
      </c>
      <c r="AM86">
        <v>4.4603573547572051E-2</v>
      </c>
      <c r="AN86">
        <v>0.1491010111925819</v>
      </c>
      <c r="AO86">
        <v>6.3188030857307953E-2</v>
      </c>
      <c r="AR86">
        <v>7.940751839632577E-4</v>
      </c>
      <c r="AS86">
        <v>4.741527164147441E-3</v>
      </c>
      <c r="AT86">
        <v>5.2276896694540831E-3</v>
      </c>
      <c r="AU86">
        <v>2.0209665180203062E-3</v>
      </c>
      <c r="AV86">
        <v>1.6741942750866869E-3</v>
      </c>
      <c r="AW86">
        <v>3.2068915921999023E-3</v>
      </c>
      <c r="AX86">
        <v>4.3824140789705535E-4</v>
      </c>
      <c r="AY86">
        <v>3.3250166436721008E-4</v>
      </c>
      <c r="BB86">
        <v>4.869655477335922E-2</v>
      </c>
      <c r="BC86">
        <v>2.1083396538642652E-2</v>
      </c>
      <c r="BE86">
        <v>69244.811265248776</v>
      </c>
      <c r="BF86">
        <v>16.075623555246178</v>
      </c>
      <c r="BG86">
        <v>70631.434129499714</v>
      </c>
      <c r="BH86">
        <v>15.958012407905226</v>
      </c>
      <c r="BI86">
        <v>-1386.6228642509377</v>
      </c>
      <c r="BJ86">
        <v>0.11761114734095202</v>
      </c>
    </row>
    <row r="87" spans="3:62" x14ac:dyDescent="0.2">
      <c r="C87" s="121">
        <v>74790.67679637688</v>
      </c>
      <c r="D87">
        <v>16.865457287185617</v>
      </c>
      <c r="E87" s="121">
        <v>77004.845891957157</v>
      </c>
      <c r="F87" s="121">
        <v>16.683553852159232</v>
      </c>
      <c r="G87" s="121">
        <v>-2214.1690955802769</v>
      </c>
      <c r="H87" s="121">
        <v>0.18190343502638484</v>
      </c>
      <c r="J87" s="118">
        <v>27500</v>
      </c>
      <c r="L87">
        <v>1</v>
      </c>
      <c r="N87" s="121"/>
      <c r="O87" s="121"/>
      <c r="P87" s="121"/>
      <c r="R87">
        <v>490.21450855261742</v>
      </c>
      <c r="S87">
        <v>59.287151340811882</v>
      </c>
      <c r="T87">
        <v>255.70995015709997</v>
      </c>
      <c r="U87">
        <v>89.429531489522887</v>
      </c>
      <c r="X87">
        <v>0.77129589220525363</v>
      </c>
      <c r="Y87">
        <v>0.82727642889413222</v>
      </c>
      <c r="Z87">
        <v>0.64283136507580452</v>
      </c>
      <c r="AA87">
        <v>0.60747622310655314</v>
      </c>
      <c r="AB87">
        <v>0.78840113259863287</v>
      </c>
      <c r="AC87">
        <v>0.68048464886337612</v>
      </c>
      <c r="AD87">
        <v>0.75835128930917062</v>
      </c>
      <c r="AE87">
        <v>0.67842584749420543</v>
      </c>
      <c r="AH87">
        <v>8.0997971247540157E-2</v>
      </c>
      <c r="AI87">
        <v>0.23801863953876368</v>
      </c>
      <c r="AJ87">
        <v>8.1698979203366218E-3</v>
      </c>
      <c r="AK87">
        <v>0.17885173126270826</v>
      </c>
      <c r="AL87">
        <v>5.7576070722842987E-2</v>
      </c>
      <c r="AM87">
        <v>3.7254108717377332E-2</v>
      </c>
      <c r="AN87">
        <v>8.1179254932524314E-2</v>
      </c>
      <c r="AO87">
        <v>9.7137454775854004E-2</v>
      </c>
      <c r="AR87">
        <v>1.0059485000496471E-3</v>
      </c>
      <c r="AS87">
        <v>4.4756992453755867E-3</v>
      </c>
      <c r="AT87">
        <v>4.8297089521790893E-3</v>
      </c>
      <c r="AU87">
        <v>2.2747064153553209E-3</v>
      </c>
      <c r="AV87">
        <v>1.8750540353756843E-3</v>
      </c>
      <c r="AW87">
        <v>3.2880806413332162E-3</v>
      </c>
      <c r="AX87">
        <v>3.8424690991186583E-4</v>
      </c>
      <c r="AY87">
        <v>4.3816267002386725E-4</v>
      </c>
      <c r="BB87">
        <v>4.6943398903942057E-2</v>
      </c>
      <c r="BC87">
        <v>6.4847586123038981E-2</v>
      </c>
      <c r="BE87">
        <v>74790.67679637688</v>
      </c>
      <c r="BF87">
        <v>16.865457287185617</v>
      </c>
      <c r="BG87">
        <v>77004.845891957157</v>
      </c>
      <c r="BH87">
        <v>16.683553852159232</v>
      </c>
      <c r="BI87">
        <v>-2214.1690955802769</v>
      </c>
      <c r="BJ87">
        <v>0.18190343502638484</v>
      </c>
    </row>
    <row r="88" spans="3:62" x14ac:dyDescent="0.2">
      <c r="C88" s="121">
        <v>67414.939946951941</v>
      </c>
      <c r="D88">
        <v>16.374542705726459</v>
      </c>
      <c r="E88" s="121">
        <v>69966.768968964112</v>
      </c>
      <c r="F88" s="121">
        <v>16.186731648041071</v>
      </c>
      <c r="G88" s="121">
        <v>-2551.8290220121708</v>
      </c>
      <c r="H88" s="121">
        <v>0.18781105768538708</v>
      </c>
      <c r="J88" s="118">
        <v>30000</v>
      </c>
      <c r="L88">
        <v>1</v>
      </c>
      <c r="N88" s="121"/>
      <c r="O88" s="121"/>
      <c r="P88" s="121"/>
      <c r="R88">
        <v>240.85292615220897</v>
      </c>
      <c r="S88">
        <v>58.482107521460165</v>
      </c>
      <c r="T88">
        <v>258.46117915431478</v>
      </c>
      <c r="U88">
        <v>98.686391537054519</v>
      </c>
      <c r="X88">
        <v>0.77927174340072314</v>
      </c>
      <c r="Y88">
        <v>0.78964589407113284</v>
      </c>
      <c r="Z88">
        <v>0.9908167136605851</v>
      </c>
      <c r="AA88">
        <v>0.59928031137436033</v>
      </c>
      <c r="AB88">
        <v>0.73610905031490803</v>
      </c>
      <c r="AC88">
        <v>0.68616749956815182</v>
      </c>
      <c r="AD88">
        <v>0.86822434247641489</v>
      </c>
      <c r="AE88">
        <v>0.72884900106754769</v>
      </c>
      <c r="AH88">
        <v>0.25040053336384616</v>
      </c>
      <c r="AI88">
        <v>2.9369183524263764E-2</v>
      </c>
      <c r="AJ88">
        <v>0.1950683418350686</v>
      </c>
      <c r="AK88">
        <v>0.21897380434796976</v>
      </c>
      <c r="AL88">
        <v>0.13020422769749762</v>
      </c>
      <c r="AM88">
        <v>9.98018911888916E-2</v>
      </c>
      <c r="AN88">
        <v>8.6486803056982531E-2</v>
      </c>
      <c r="AO88">
        <v>0.26020706146681016</v>
      </c>
      <c r="AR88">
        <v>8.4962283362840574E-4</v>
      </c>
      <c r="AS88">
        <v>4.5913049230982272E-3</v>
      </c>
      <c r="AT88">
        <v>4.5743313818166157E-3</v>
      </c>
      <c r="AU88">
        <v>1.8940401741695482E-3</v>
      </c>
      <c r="AV88">
        <v>1.9403112274783516E-3</v>
      </c>
      <c r="AW88">
        <v>3.0451655929913729E-3</v>
      </c>
      <c r="AX88">
        <v>3.8844182517772368E-4</v>
      </c>
      <c r="AY88">
        <v>4.3568851207744451E-4</v>
      </c>
      <c r="BB88">
        <v>4.8224922195826164E-2</v>
      </c>
      <c r="BC88">
        <v>2.4713440907615694E-2</v>
      </c>
      <c r="BE88">
        <v>67414.939946951941</v>
      </c>
      <c r="BF88">
        <v>16.374542705726459</v>
      </c>
      <c r="BG88">
        <v>69966.768968964112</v>
      </c>
      <c r="BH88">
        <v>16.186731648041071</v>
      </c>
      <c r="BI88">
        <v>-2551.8290220121708</v>
      </c>
      <c r="BJ88">
        <v>0.18781105768538708</v>
      </c>
    </row>
    <row r="89" spans="3:62" x14ac:dyDescent="0.2">
      <c r="C89" s="121">
        <v>68899.987379288737</v>
      </c>
      <c r="D89">
        <v>17.997053518029031</v>
      </c>
      <c r="E89" s="121">
        <v>70916.644212481187</v>
      </c>
      <c r="F89" s="121">
        <v>17.883752240196539</v>
      </c>
      <c r="G89" s="121">
        <v>-2016.65683319245</v>
      </c>
      <c r="H89" s="121">
        <v>0.11330127783249111</v>
      </c>
      <c r="J89" s="118">
        <v>32500</v>
      </c>
      <c r="L89">
        <v>1</v>
      </c>
      <c r="N89" s="121"/>
      <c r="O89" s="121"/>
      <c r="P89" s="121"/>
      <c r="R89">
        <v>249.15849316694576</v>
      </c>
      <c r="S89">
        <v>55.6673725088487</v>
      </c>
      <c r="T89">
        <v>228.32909225826435</v>
      </c>
      <c r="U89">
        <v>90.703417800152707</v>
      </c>
      <c r="X89">
        <v>0.61647733726374998</v>
      </c>
      <c r="Y89">
        <v>0.57145224851938281</v>
      </c>
      <c r="Z89">
        <v>0.79408135755058384</v>
      </c>
      <c r="AA89">
        <v>0.78705675854437429</v>
      </c>
      <c r="AB89">
        <v>0.7712529855102469</v>
      </c>
      <c r="AC89">
        <v>0.76002477004784696</v>
      </c>
      <c r="AD89">
        <v>0.91557973242742841</v>
      </c>
      <c r="AE89">
        <v>0.45675576602161327</v>
      </c>
      <c r="AH89">
        <v>0.32250581004444712</v>
      </c>
      <c r="AI89">
        <v>0.13522300315411839</v>
      </c>
      <c r="AJ89">
        <v>0.1150195237194197</v>
      </c>
      <c r="AK89">
        <v>0.10662148696858065</v>
      </c>
      <c r="AL89">
        <v>4.0800837169758131E-2</v>
      </c>
      <c r="AM89">
        <v>4.5873892972700947E-2</v>
      </c>
      <c r="AN89">
        <v>0.10928689187029428</v>
      </c>
      <c r="AO89">
        <v>5.956390526137656E-2</v>
      </c>
      <c r="AR89">
        <v>9.5396835065819641E-4</v>
      </c>
      <c r="AS89">
        <v>4.7830810165876425E-3</v>
      </c>
      <c r="AT89">
        <v>5.1161529753510626E-3</v>
      </c>
      <c r="AU89">
        <v>2.1379234053297003E-3</v>
      </c>
      <c r="AV89">
        <v>2.0039812096618315E-3</v>
      </c>
      <c r="AW89">
        <v>3.6084132279984305E-3</v>
      </c>
      <c r="AX89">
        <v>3.8391989998179881E-4</v>
      </c>
      <c r="AY89">
        <v>4.7215057501659441E-4</v>
      </c>
      <c r="BB89">
        <v>4.9463319578730069E-2</v>
      </c>
      <c r="BC89">
        <v>3.6479309864520866E-2</v>
      </c>
      <c r="BE89">
        <v>68899.987379288737</v>
      </c>
      <c r="BF89">
        <v>17.997053518029031</v>
      </c>
      <c r="BG89">
        <v>70916.644212481187</v>
      </c>
      <c r="BH89">
        <v>17.883752240196539</v>
      </c>
      <c r="BI89">
        <v>-2016.65683319245</v>
      </c>
      <c r="BJ89">
        <v>0.11330127783249111</v>
      </c>
    </row>
    <row r="90" spans="3:62" x14ac:dyDescent="0.2">
      <c r="C90" s="121">
        <v>70206.395211122814</v>
      </c>
      <c r="D90">
        <v>17.127312694246992</v>
      </c>
      <c r="E90" s="121">
        <v>71864.227855369783</v>
      </c>
      <c r="F90" s="121">
        <v>17.011552042666789</v>
      </c>
      <c r="G90" s="121">
        <v>-1657.8326442469697</v>
      </c>
      <c r="H90" s="121">
        <v>0.11576065158020299</v>
      </c>
      <c r="J90" s="118">
        <v>35000</v>
      </c>
      <c r="L90">
        <v>1</v>
      </c>
      <c r="N90" s="121"/>
      <c r="O90" s="121"/>
      <c r="P90" s="121"/>
      <c r="R90">
        <v>190.62284221226795</v>
      </c>
      <c r="S90">
        <v>64.789801671015709</v>
      </c>
      <c r="T90">
        <v>268.03740338075306</v>
      </c>
      <c r="U90">
        <v>99.349045764159627</v>
      </c>
      <c r="X90">
        <v>0.64192931704691847</v>
      </c>
      <c r="Y90">
        <v>0.78511026232788683</v>
      </c>
      <c r="Z90">
        <v>0.76462802338766644</v>
      </c>
      <c r="AA90">
        <v>0.49500800718733484</v>
      </c>
      <c r="AB90">
        <v>0.8367005944701511</v>
      </c>
      <c r="AC90">
        <v>0.74533710102073725</v>
      </c>
      <c r="AD90">
        <v>0.6728175312564354</v>
      </c>
      <c r="AE90">
        <v>0.7307444959045617</v>
      </c>
      <c r="AH90">
        <v>4.5361064942407436E-3</v>
      </c>
      <c r="AI90">
        <v>0.16007324099906306</v>
      </c>
      <c r="AJ90">
        <v>4.2913559146220859E-2</v>
      </c>
      <c r="AK90">
        <v>0.23248056071468437</v>
      </c>
      <c r="AL90">
        <v>0.27827725985849838</v>
      </c>
      <c r="AM90">
        <v>3.4268221554268785E-2</v>
      </c>
      <c r="AN90">
        <v>6.3120064766904571E-2</v>
      </c>
      <c r="AO90">
        <v>3.6177838138719665E-2</v>
      </c>
      <c r="AR90">
        <v>1.0201040025242802E-3</v>
      </c>
      <c r="AS90">
        <v>4.7981256884815915E-3</v>
      </c>
      <c r="AT90">
        <v>5.0826648901629579E-3</v>
      </c>
      <c r="AU90">
        <v>2.0105831010325259E-3</v>
      </c>
      <c r="AV90">
        <v>2.0494533290069672E-3</v>
      </c>
      <c r="AW90">
        <v>3.1301208830839611E-3</v>
      </c>
      <c r="AX90">
        <v>5.3270220535728274E-4</v>
      </c>
      <c r="AY90">
        <v>4.3571942657584951E-4</v>
      </c>
      <c r="BB90">
        <v>4.017333129216074E-2</v>
      </c>
      <c r="BC90">
        <v>0.10997600196556878</v>
      </c>
      <c r="BE90">
        <v>70206.395211122814</v>
      </c>
      <c r="BF90">
        <v>17.127312694246992</v>
      </c>
      <c r="BG90">
        <v>71864.227855369783</v>
      </c>
      <c r="BH90">
        <v>17.011552042666789</v>
      </c>
      <c r="BI90">
        <v>-1657.8326442469697</v>
      </c>
      <c r="BJ90">
        <v>0.11576065158020299</v>
      </c>
    </row>
    <row r="91" spans="3:62" x14ac:dyDescent="0.2">
      <c r="C91" s="121">
        <v>67755.463973204431</v>
      </c>
      <c r="D91">
        <v>16.981520099302511</v>
      </c>
      <c r="E91" s="121">
        <v>69587.648708113891</v>
      </c>
      <c r="F91" s="121">
        <v>16.854609206224914</v>
      </c>
      <c r="G91" s="121">
        <v>-1832.1847349094605</v>
      </c>
      <c r="H91" s="121">
        <v>0.1269108930775964</v>
      </c>
      <c r="J91" s="118">
        <v>37500</v>
      </c>
      <c r="L91">
        <v>1</v>
      </c>
      <c r="N91" s="121"/>
      <c r="O91" s="121"/>
      <c r="P91" s="121"/>
      <c r="R91">
        <v>259.88820766629891</v>
      </c>
      <c r="S91">
        <v>66.171065340381816</v>
      </c>
      <c r="T91">
        <v>274.86065275340474</v>
      </c>
      <c r="U91">
        <v>105.07858396437986</v>
      </c>
      <c r="X91">
        <v>0.86126063695121013</v>
      </c>
      <c r="Y91">
        <v>0.40848732793570619</v>
      </c>
      <c r="Z91">
        <v>0.58142127647598341</v>
      </c>
      <c r="AA91">
        <v>0.87974425763064368</v>
      </c>
      <c r="AB91">
        <v>0.6972641028459543</v>
      </c>
      <c r="AC91">
        <v>0.98345675453402248</v>
      </c>
      <c r="AD91">
        <v>0.82923332434741481</v>
      </c>
      <c r="AE91">
        <v>0.74754137903100681</v>
      </c>
      <c r="AH91">
        <v>0.10542410161412086</v>
      </c>
      <c r="AI91">
        <v>8.1966042024468222E-2</v>
      </c>
      <c r="AJ91">
        <v>0.17931087490966813</v>
      </c>
      <c r="AK91">
        <v>1.9195211664161604E-2</v>
      </c>
      <c r="AL91">
        <v>4.6329206947101742E-2</v>
      </c>
      <c r="AM91">
        <v>0.12037800572751334</v>
      </c>
      <c r="AN91">
        <v>0.17920979365927814</v>
      </c>
      <c r="AO91">
        <v>0.13688162565811168</v>
      </c>
      <c r="AR91">
        <v>8.752977880258164E-4</v>
      </c>
      <c r="AS91">
        <v>4.2762516378960572E-3</v>
      </c>
      <c r="AT91">
        <v>4.9137673366038415E-3</v>
      </c>
      <c r="AU91">
        <v>1.824961470565735E-3</v>
      </c>
      <c r="AV91">
        <v>1.8935055568406575E-3</v>
      </c>
      <c r="AW91">
        <v>3.5897354163380024E-3</v>
      </c>
      <c r="AX91">
        <v>6.6764166081534349E-4</v>
      </c>
      <c r="AY91">
        <v>4.4028656291025662E-4</v>
      </c>
      <c r="BB91">
        <v>5.4072666457019691E-2</v>
      </c>
      <c r="BC91">
        <v>5.8766828218974054E-2</v>
      </c>
      <c r="BE91">
        <v>67755.463973204431</v>
      </c>
      <c r="BF91">
        <v>16.981520099302511</v>
      </c>
      <c r="BG91">
        <v>69587.648708113891</v>
      </c>
      <c r="BH91">
        <v>16.854609206224914</v>
      </c>
      <c r="BI91">
        <v>-1832.1847349094605</v>
      </c>
      <c r="BJ91">
        <v>0.1269108930775964</v>
      </c>
    </row>
    <row r="92" spans="3:62" x14ac:dyDescent="0.2">
      <c r="C92" s="121">
        <v>70474.671465081148</v>
      </c>
      <c r="D92">
        <v>16.23877609797524</v>
      </c>
      <c r="E92" s="121">
        <v>72000.429332331973</v>
      </c>
      <c r="F92" s="121">
        <v>16.084352682409907</v>
      </c>
      <c r="G92" s="121">
        <v>-1525.7578672508243</v>
      </c>
      <c r="H92" s="121">
        <v>0.15442341556533279</v>
      </c>
      <c r="J92" s="118">
        <v>40000</v>
      </c>
      <c r="L92">
        <v>1</v>
      </c>
      <c r="N92" s="121"/>
      <c r="O92" s="121"/>
      <c r="P92" s="121"/>
      <c r="R92">
        <v>262.11932970263069</v>
      </c>
      <c r="S92">
        <v>63.79330050791534</v>
      </c>
      <c r="T92">
        <v>239.42208405373967</v>
      </c>
      <c r="U92">
        <v>106.16930113382385</v>
      </c>
      <c r="X92">
        <v>0.86888698187756241</v>
      </c>
      <c r="Y92">
        <v>0.76604364699473648</v>
      </c>
      <c r="Z92">
        <v>0.56081996738527717</v>
      </c>
      <c r="AA92">
        <v>0.9346230533203832</v>
      </c>
      <c r="AB92">
        <v>0.6781430432059995</v>
      </c>
      <c r="AC92">
        <v>0.51182686784179854</v>
      </c>
      <c r="AD92">
        <v>0.65541317414670319</v>
      </c>
      <c r="AE92">
        <v>0.69463101406425498</v>
      </c>
      <c r="AH92">
        <v>9.1606360682854993E-2</v>
      </c>
      <c r="AI92">
        <v>5.5052210946855862E-2</v>
      </c>
      <c r="AJ92">
        <v>0.15889622732564346</v>
      </c>
      <c r="AK92">
        <v>0.21047981953741157</v>
      </c>
      <c r="AL92">
        <v>9.7856151311713435E-2</v>
      </c>
      <c r="AM92">
        <v>0.12609295326817638</v>
      </c>
      <c r="AN92">
        <v>1.5948129910056119E-2</v>
      </c>
      <c r="AO92">
        <v>4.4802222846543005E-2</v>
      </c>
      <c r="AR92">
        <v>9.2694177757712826E-4</v>
      </c>
      <c r="AS92">
        <v>4.5830649319105188E-3</v>
      </c>
      <c r="AT92">
        <v>4.7266473208324314E-3</v>
      </c>
      <c r="AU92">
        <v>2.0395876405052693E-3</v>
      </c>
      <c r="AV92">
        <v>1.9402646797307861E-3</v>
      </c>
      <c r="AW92">
        <v>3.5075134948163722E-3</v>
      </c>
      <c r="AX92">
        <v>3.6695549477653742E-4</v>
      </c>
      <c r="AY92">
        <v>4.9914966212505352E-4</v>
      </c>
      <c r="BB92">
        <v>5.307228383220608E-2</v>
      </c>
      <c r="BC92">
        <v>6.993414989211455E-2</v>
      </c>
      <c r="BE92">
        <v>70474.671465081148</v>
      </c>
      <c r="BF92">
        <v>16.23877609797524</v>
      </c>
      <c r="BG92">
        <v>72000.429332331973</v>
      </c>
      <c r="BH92">
        <v>16.084352682409907</v>
      </c>
      <c r="BI92">
        <v>-1525.7578672508243</v>
      </c>
      <c r="BJ92">
        <v>0.15442341556533279</v>
      </c>
    </row>
    <row r="93" spans="3:62" x14ac:dyDescent="0.2">
      <c r="C93" s="123">
        <v>68813.917331277116</v>
      </c>
      <c r="D93">
        <v>15.812711047147888</v>
      </c>
      <c r="E93" s="123">
        <v>70626.6782792538</v>
      </c>
      <c r="F93" s="123">
        <v>15.707630823696618</v>
      </c>
      <c r="G93" s="123">
        <v>-1812.7609479766834</v>
      </c>
      <c r="H93" s="123">
        <v>0.10508022345126911</v>
      </c>
      <c r="J93" s="118">
        <v>42500</v>
      </c>
      <c r="L93">
        <v>1</v>
      </c>
      <c r="N93" s="121"/>
      <c r="O93" s="121"/>
      <c r="P93" s="121"/>
      <c r="R93">
        <v>256.30946850823466</v>
      </c>
      <c r="S93">
        <v>64.021556968401782</v>
      </c>
      <c r="T93">
        <v>213.49090536654717</v>
      </c>
      <c r="U93">
        <v>75.489804169597008</v>
      </c>
      <c r="X93">
        <v>0.94266056882486615</v>
      </c>
      <c r="Y93">
        <v>0.93397045885268393</v>
      </c>
      <c r="Z93">
        <v>0.81673358566368215</v>
      </c>
      <c r="AA93">
        <v>0.62359887313253948</v>
      </c>
      <c r="AB93">
        <v>0.75613064012546916</v>
      </c>
      <c r="AC93">
        <v>0.81869051344954646</v>
      </c>
      <c r="AD93">
        <v>0.82584251648179663</v>
      </c>
      <c r="AE93">
        <v>0.65123617720795435</v>
      </c>
      <c r="AH93">
        <v>0.11233088733524743</v>
      </c>
      <c r="AI93">
        <v>8.1703310022338993E-2</v>
      </c>
      <c r="AJ93">
        <v>6.9659798304572362E-2</v>
      </c>
      <c r="AK93">
        <v>6.8550731564639977E-2</v>
      </c>
      <c r="AL93">
        <v>0.28136085350396001</v>
      </c>
      <c r="AM93">
        <v>8.2384897686096359E-3</v>
      </c>
      <c r="AN93">
        <v>4.1990858119948737E-2</v>
      </c>
      <c r="AO93">
        <v>8.1122049294596765E-2</v>
      </c>
      <c r="AR93">
        <v>9.6707995604772279E-4</v>
      </c>
      <c r="AS93">
        <v>4.2991926216600562E-3</v>
      </c>
      <c r="AT93">
        <v>4.8982923470641893E-3</v>
      </c>
      <c r="AU93">
        <v>1.9410112787221535E-3</v>
      </c>
      <c r="AV93">
        <v>2.0332749232040426E-3</v>
      </c>
      <c r="AW93">
        <v>3.1789914074223284E-3</v>
      </c>
      <c r="AX93">
        <v>3.8228354406083943E-4</v>
      </c>
      <c r="AY93">
        <v>4.0806659309025985E-4</v>
      </c>
      <c r="BB93">
        <v>5.9423239541891326E-2</v>
      </c>
      <c r="BC93">
        <v>2.3958964495541319E-2</v>
      </c>
      <c r="BE93">
        <v>68813.917331277116</v>
      </c>
      <c r="BF93">
        <v>15.812711047147888</v>
      </c>
      <c r="BG93">
        <v>70626.6782792538</v>
      </c>
      <c r="BH93">
        <v>15.707630823696618</v>
      </c>
      <c r="BI93">
        <v>-1812.7609479766834</v>
      </c>
      <c r="BJ93">
        <v>0.10508022345126911</v>
      </c>
    </row>
    <row r="94" spans="3:62" x14ac:dyDescent="0.2">
      <c r="C94" s="121">
        <v>77177.23335788236</v>
      </c>
      <c r="D94">
        <v>13.610177067869282</v>
      </c>
      <c r="E94" s="121">
        <v>78834.688251139742</v>
      </c>
      <c r="F94" s="121">
        <v>13.41223573067751</v>
      </c>
      <c r="G94" s="121">
        <v>-1657.4548932573816</v>
      </c>
      <c r="H94" s="121">
        <v>0.19794133719177154</v>
      </c>
      <c r="J94" s="118">
        <v>45000</v>
      </c>
      <c r="L94">
        <v>1</v>
      </c>
      <c r="N94" s="121"/>
      <c r="O94" s="121"/>
      <c r="P94" s="121"/>
      <c r="R94">
        <v>120.16697153448303</v>
      </c>
      <c r="S94">
        <v>61.125779433169988</v>
      </c>
      <c r="T94">
        <v>235.77572867525578</v>
      </c>
      <c r="U94">
        <v>105.87929368445656</v>
      </c>
      <c r="X94">
        <v>0.85884005103211991</v>
      </c>
      <c r="Y94">
        <v>0.86012338023583335</v>
      </c>
      <c r="Z94">
        <v>0.37495419478901065</v>
      </c>
      <c r="AA94">
        <v>0.74792887609889736</v>
      </c>
      <c r="AB94">
        <v>0.58833167333918113</v>
      </c>
      <c r="AC94">
        <v>0.8907542931483573</v>
      </c>
      <c r="AD94">
        <v>0.73325556938903214</v>
      </c>
      <c r="AE94">
        <v>0.65599995796181243</v>
      </c>
      <c r="AH94">
        <v>0.10959071349251048</v>
      </c>
      <c r="AI94">
        <v>0.23273992720246406</v>
      </c>
      <c r="AJ94">
        <v>0.17144535483649204</v>
      </c>
      <c r="AK94">
        <v>2.0406720554237867E-2</v>
      </c>
      <c r="AL94">
        <v>0.10772946282981843</v>
      </c>
      <c r="AM94">
        <v>3.2904891913099865E-2</v>
      </c>
      <c r="AN94">
        <v>0.15750968605462201</v>
      </c>
      <c r="AO94">
        <v>2.9883855631451128E-2</v>
      </c>
      <c r="AR94">
        <v>8.0218718905234463E-4</v>
      </c>
      <c r="AS94">
        <v>4.1704539520372921E-3</v>
      </c>
      <c r="AT94">
        <v>4.9326875869033764E-3</v>
      </c>
      <c r="AU94">
        <v>1.7882533951942871E-3</v>
      </c>
      <c r="AV94">
        <v>2.0070301284360603E-3</v>
      </c>
      <c r="AW94">
        <v>3.4173329516106188E-3</v>
      </c>
      <c r="AX94">
        <v>3.816417203325325E-4</v>
      </c>
      <c r="AY94">
        <v>5.6965547503007308E-4</v>
      </c>
      <c r="BB94">
        <v>5.4196666890532597E-2</v>
      </c>
      <c r="BC94">
        <v>7.8445662835325058E-2</v>
      </c>
      <c r="BE94">
        <v>77177.23335788236</v>
      </c>
      <c r="BF94">
        <v>13.610177067869282</v>
      </c>
      <c r="BG94">
        <v>78834.688251139742</v>
      </c>
      <c r="BH94">
        <v>13.41223573067751</v>
      </c>
      <c r="BI94">
        <v>-1657.4548932573816</v>
      </c>
      <c r="BJ94">
        <v>0.19794133719177154</v>
      </c>
    </row>
    <row r="95" spans="3:62" x14ac:dyDescent="0.2">
      <c r="C95" s="121">
        <v>67295.518597375514</v>
      </c>
      <c r="D95">
        <v>16.831799234054667</v>
      </c>
      <c r="E95" s="121">
        <v>69223.472256777357</v>
      </c>
      <c r="F95" s="121">
        <v>16.682676856411234</v>
      </c>
      <c r="G95" s="121">
        <v>-1927.9536594018427</v>
      </c>
      <c r="H95" s="121">
        <v>0.14912237764343317</v>
      </c>
      <c r="J95" s="118">
        <v>47500</v>
      </c>
      <c r="L95">
        <v>1</v>
      </c>
      <c r="N95" s="121"/>
      <c r="O95" s="121"/>
      <c r="P95" s="121"/>
      <c r="R95">
        <v>325.03679811487024</v>
      </c>
      <c r="S95">
        <v>64.585032278156504</v>
      </c>
      <c r="T95">
        <v>231.10586608043286</v>
      </c>
      <c r="U95">
        <v>92.660246156616239</v>
      </c>
      <c r="X95">
        <v>0.94754134485707042</v>
      </c>
      <c r="Y95">
        <v>0.65698290078861432</v>
      </c>
      <c r="Z95">
        <v>0.84496699324524327</v>
      </c>
      <c r="AA95">
        <v>0.78006926585675707</v>
      </c>
      <c r="AB95">
        <v>0.45029369967215188</v>
      </c>
      <c r="AC95">
        <v>0.77762419876866451</v>
      </c>
      <c r="AD95">
        <v>0.88927844984752891</v>
      </c>
      <c r="AE95">
        <v>0.67537837186430394</v>
      </c>
      <c r="AH95">
        <v>5.6381121461764216E-2</v>
      </c>
      <c r="AI95">
        <v>5.1000343542312976E-2</v>
      </c>
      <c r="AJ95">
        <v>2.2919247714362379E-2</v>
      </c>
      <c r="AK95">
        <v>6.3198907880410937E-2</v>
      </c>
      <c r="AL95">
        <v>6.1037427779932152E-2</v>
      </c>
      <c r="AM95">
        <v>0.33625582028244194</v>
      </c>
      <c r="AN95">
        <v>4.4493537980953124E-2</v>
      </c>
      <c r="AO95">
        <v>0.15170820574147814</v>
      </c>
      <c r="AR95">
        <v>9.6736457757962135E-4</v>
      </c>
      <c r="AS95">
        <v>4.3124847803967352E-3</v>
      </c>
      <c r="AT95">
        <v>4.7659427765170195E-3</v>
      </c>
      <c r="AU95">
        <v>2.0772237792994197E-3</v>
      </c>
      <c r="AV95">
        <v>1.8769857115353177E-3</v>
      </c>
      <c r="AW95">
        <v>3.2622105356672161E-3</v>
      </c>
      <c r="AX95">
        <v>4.3357184522629932E-4</v>
      </c>
      <c r="AY95">
        <v>4.4378232895485683E-4</v>
      </c>
      <c r="BB95">
        <v>3.8500849375480803E-2</v>
      </c>
      <c r="BC95">
        <v>7.2088359463094553E-2</v>
      </c>
      <c r="BE95">
        <v>67295.518597375514</v>
      </c>
      <c r="BF95">
        <v>16.831799234054667</v>
      </c>
      <c r="BG95">
        <v>69223.472256777357</v>
      </c>
      <c r="BH95">
        <v>16.682676856411234</v>
      </c>
      <c r="BI95">
        <v>-1927.9536594018427</v>
      </c>
      <c r="BJ95">
        <v>0.14912237764343317</v>
      </c>
    </row>
    <row r="96" spans="3:62" x14ac:dyDescent="0.2">
      <c r="C96" s="121">
        <v>69260.838653844563</v>
      </c>
      <c r="D96">
        <v>15.836512842574265</v>
      </c>
      <c r="E96" s="121">
        <v>70510.759268543639</v>
      </c>
      <c r="F96" s="121">
        <v>15.72373889301409</v>
      </c>
      <c r="G96" s="121">
        <v>-1249.9206146990764</v>
      </c>
      <c r="H96" s="121">
        <v>0.11277394956017517</v>
      </c>
      <c r="J96" s="118">
        <v>50000</v>
      </c>
      <c r="L96">
        <v>1</v>
      </c>
      <c r="N96" s="121"/>
      <c r="O96" s="121"/>
      <c r="P96" s="121"/>
      <c r="R96">
        <v>277.91852821605329</v>
      </c>
      <c r="S96">
        <v>62.661216940955072</v>
      </c>
      <c r="T96">
        <v>255.89904692696194</v>
      </c>
      <c r="U96">
        <v>110.00893595582899</v>
      </c>
      <c r="X96">
        <v>0.77067639034231772</v>
      </c>
      <c r="Y96">
        <v>0.78366321012779416</v>
      </c>
      <c r="Z96">
        <v>0.56287004800626539</v>
      </c>
      <c r="AA96">
        <v>0.91032337746684511</v>
      </c>
      <c r="AB96">
        <v>0.76068727762548249</v>
      </c>
      <c r="AC96">
        <v>0.9202358730643867</v>
      </c>
      <c r="AD96">
        <v>0.70077671798197794</v>
      </c>
      <c r="AE96">
        <v>0.91792095050415035</v>
      </c>
      <c r="AH96">
        <v>7.1442227297784822E-2</v>
      </c>
      <c r="AI96">
        <v>0.23031992995932127</v>
      </c>
      <c r="AJ96">
        <v>0.18699147905273039</v>
      </c>
      <c r="AK96">
        <v>0.20416232134116796</v>
      </c>
      <c r="AL96">
        <v>0.37826593551561416</v>
      </c>
      <c r="AM96">
        <v>0.16232390584530842</v>
      </c>
      <c r="AN96">
        <v>7.9891251400790786E-2</v>
      </c>
      <c r="AO96">
        <v>0.16827266312523981</v>
      </c>
      <c r="AR96">
        <v>9.6110237894697637E-4</v>
      </c>
      <c r="AS96">
        <v>4.252321617923621E-3</v>
      </c>
      <c r="AT96">
        <v>4.8830274865448511E-3</v>
      </c>
      <c r="AU96">
        <v>1.8445129687596864E-3</v>
      </c>
      <c r="AV96">
        <v>1.792123406670146E-3</v>
      </c>
      <c r="AW96">
        <v>3.1360879410279444E-3</v>
      </c>
      <c r="AX96">
        <v>3.950872957882136E-4</v>
      </c>
      <c r="AY96">
        <v>4.8451520856962471E-4</v>
      </c>
      <c r="BB96">
        <v>4.1794358940216172E-2</v>
      </c>
      <c r="BC96">
        <v>7.5698833984194525E-2</v>
      </c>
      <c r="BE96">
        <v>69260.838653844563</v>
      </c>
      <c r="BF96">
        <v>15.836512842574265</v>
      </c>
      <c r="BG96">
        <v>70510.759268543639</v>
      </c>
      <c r="BH96">
        <v>15.72373889301409</v>
      </c>
      <c r="BI96">
        <v>-1249.9206146990764</v>
      </c>
      <c r="BJ96">
        <v>0.11277394956017517</v>
      </c>
    </row>
    <row r="97" spans="3:62" x14ac:dyDescent="0.2">
      <c r="C97" s="121">
        <v>69935.934831653474</v>
      </c>
      <c r="D97">
        <v>16.208706841870654</v>
      </c>
      <c r="E97" s="121">
        <v>71564.14121793794</v>
      </c>
      <c r="F97" s="121">
        <v>16.074907178645866</v>
      </c>
      <c r="G97" s="121">
        <v>-1628.2063862844661</v>
      </c>
      <c r="H97" s="121">
        <v>0.13379966322478865</v>
      </c>
      <c r="J97" s="118">
        <v>52500</v>
      </c>
      <c r="L97">
        <v>1</v>
      </c>
      <c r="N97" s="121"/>
      <c r="O97" s="121"/>
      <c r="P97" s="121"/>
      <c r="R97">
        <v>177.33349986290563</v>
      </c>
      <c r="S97">
        <v>57.10836751060512</v>
      </c>
      <c r="T97">
        <v>278.34196452253951</v>
      </c>
      <c r="U97">
        <v>90.917785704423281</v>
      </c>
      <c r="X97">
        <v>0.64447544493324482</v>
      </c>
      <c r="Y97">
        <v>0.50407905069533776</v>
      </c>
      <c r="Z97">
        <v>0.88585523555677814</v>
      </c>
      <c r="AA97">
        <v>0.60786575608219318</v>
      </c>
      <c r="AB97">
        <v>0.85591409268281105</v>
      </c>
      <c r="AC97">
        <v>0.58832367286509646</v>
      </c>
      <c r="AD97">
        <v>0.55864876638483607</v>
      </c>
      <c r="AE97">
        <v>0.67218141809824528</v>
      </c>
      <c r="AH97">
        <v>8.3723676487553522E-2</v>
      </c>
      <c r="AI97">
        <v>0.16848956193003506</v>
      </c>
      <c r="AJ97">
        <v>0.26634469008209571</v>
      </c>
      <c r="AK97">
        <v>0.12568898497718606</v>
      </c>
      <c r="AL97">
        <v>0.34598531145625211</v>
      </c>
      <c r="AM97">
        <v>0.16709386651618119</v>
      </c>
      <c r="AN97">
        <v>0.21507638002052964</v>
      </c>
      <c r="AO97">
        <v>0.12591953049564475</v>
      </c>
      <c r="AR97">
        <v>8.5919435504614654E-4</v>
      </c>
      <c r="AS97">
        <v>4.62377265325431E-3</v>
      </c>
      <c r="AT97">
        <v>4.5448040803749718E-3</v>
      </c>
      <c r="AU97">
        <v>1.8478694799777253E-3</v>
      </c>
      <c r="AV97">
        <v>2.1503883012877756E-3</v>
      </c>
      <c r="AW97">
        <v>3.5163062836049974E-3</v>
      </c>
      <c r="AX97">
        <v>5.4492705896791449E-4</v>
      </c>
      <c r="AY97">
        <v>5.8752483159663083E-4</v>
      </c>
      <c r="BB97">
        <v>4.3240657242460324E-2</v>
      </c>
      <c r="BC97">
        <v>7.8478817102798359E-2</v>
      </c>
      <c r="BE97">
        <v>69935.934831653474</v>
      </c>
      <c r="BF97">
        <v>16.208706841870654</v>
      </c>
      <c r="BG97">
        <v>71564.14121793794</v>
      </c>
      <c r="BH97">
        <v>16.074907178645866</v>
      </c>
      <c r="BI97">
        <v>-1628.2063862844661</v>
      </c>
      <c r="BJ97">
        <v>0.13379966322478865</v>
      </c>
    </row>
    <row r="98" spans="3:62" x14ac:dyDescent="0.2">
      <c r="C98" s="121">
        <v>74452.762003275391</v>
      </c>
      <c r="D98">
        <v>17.656950812239725</v>
      </c>
      <c r="E98" s="121">
        <v>75868.560838514168</v>
      </c>
      <c r="F98" s="121">
        <v>17.579680845546871</v>
      </c>
      <c r="G98" s="121">
        <v>-1415.7988352387765</v>
      </c>
      <c r="H98" s="121">
        <v>7.7269966692853131E-2</v>
      </c>
      <c r="J98" s="118">
        <v>55000</v>
      </c>
      <c r="L98">
        <v>1</v>
      </c>
      <c r="N98" s="121"/>
      <c r="O98" s="121"/>
      <c r="P98" s="121"/>
      <c r="R98">
        <v>233.90270199367791</v>
      </c>
      <c r="S98">
        <v>61.751649434865989</v>
      </c>
      <c r="T98">
        <v>233.02987489905476</v>
      </c>
      <c r="U98">
        <v>111.62815256395471</v>
      </c>
      <c r="X98">
        <v>0.71685399100684455</v>
      </c>
      <c r="Y98">
        <v>0.97549149663436785</v>
      </c>
      <c r="Z98">
        <v>0.8715991983005642</v>
      </c>
      <c r="AA98">
        <v>0.92113451352622855</v>
      </c>
      <c r="AB98">
        <v>0.69942140419322352</v>
      </c>
      <c r="AC98">
        <v>0.58363506246258101</v>
      </c>
      <c r="AD98">
        <v>0.82521443078067003</v>
      </c>
      <c r="AE98">
        <v>0.85952934588276997</v>
      </c>
      <c r="AH98">
        <v>3.7852965674331052E-2</v>
      </c>
      <c r="AI98">
        <v>0.14345292767320228</v>
      </c>
      <c r="AJ98">
        <v>4.6491508110425572E-2</v>
      </c>
      <c r="AK98">
        <v>0.28029243393979941</v>
      </c>
      <c r="AL98">
        <v>0.11191605448947706</v>
      </c>
      <c r="AM98">
        <v>6.0377061536908361E-2</v>
      </c>
      <c r="AN98">
        <v>8.6292931271131135E-2</v>
      </c>
      <c r="AO98">
        <v>7.1301632085257083E-2</v>
      </c>
      <c r="AR98">
        <v>8.2442060825897224E-4</v>
      </c>
      <c r="AS98">
        <v>4.5464800869301492E-3</v>
      </c>
      <c r="AT98">
        <v>4.8760368739908244E-3</v>
      </c>
      <c r="AU98">
        <v>1.9511725797410409E-3</v>
      </c>
      <c r="AV98">
        <v>1.8102749234296701E-3</v>
      </c>
      <c r="AW98">
        <v>3.2942584733916219E-3</v>
      </c>
      <c r="AX98">
        <v>4.3156720181447561E-4</v>
      </c>
      <c r="AY98">
        <v>5.0360989373676723E-4</v>
      </c>
      <c r="BB98">
        <v>5.5148717174858364E-2</v>
      </c>
      <c r="BC98">
        <v>2.749775722242068E-2</v>
      </c>
      <c r="BE98">
        <v>74452.762003275391</v>
      </c>
      <c r="BF98">
        <v>17.656950812239725</v>
      </c>
      <c r="BG98">
        <v>75868.560838514168</v>
      </c>
      <c r="BH98">
        <v>17.579680845546871</v>
      </c>
      <c r="BI98">
        <v>-1415.7988352387765</v>
      </c>
      <c r="BJ98">
        <v>7.7269966692853131E-2</v>
      </c>
    </row>
    <row r="99" spans="3:62" x14ac:dyDescent="0.2">
      <c r="C99" s="121">
        <v>67849.622918475812</v>
      </c>
      <c r="D99">
        <v>15.302387877097761</v>
      </c>
      <c r="E99" s="121">
        <v>69155.938455993935</v>
      </c>
      <c r="F99" s="121">
        <v>15.169894437333323</v>
      </c>
      <c r="G99" s="121">
        <v>-1306.3155375181232</v>
      </c>
      <c r="H99" s="121">
        <v>0.13249343976443839</v>
      </c>
      <c r="J99" s="118">
        <v>57500</v>
      </c>
      <c r="L99">
        <v>1</v>
      </c>
      <c r="N99" s="121"/>
      <c r="O99" s="121"/>
      <c r="P99" s="121"/>
      <c r="R99">
        <v>131.47674577098923</v>
      </c>
      <c r="S99">
        <v>65.407136431155322</v>
      </c>
      <c r="T99">
        <v>299.95047258993498</v>
      </c>
      <c r="U99">
        <v>89.969943534655897</v>
      </c>
      <c r="X99">
        <v>0.47443527953901243</v>
      </c>
      <c r="Y99">
        <v>0.68725852209602067</v>
      </c>
      <c r="Z99">
        <v>0.89646366605353012</v>
      </c>
      <c r="AA99">
        <v>0.86671080790798793</v>
      </c>
      <c r="AB99">
        <v>0.70608416431694077</v>
      </c>
      <c r="AC99">
        <v>0.7577579089197698</v>
      </c>
      <c r="AD99">
        <v>0.73528402934552628</v>
      </c>
      <c r="AE99">
        <v>0.58073976941798433</v>
      </c>
      <c r="AH99">
        <v>2.4562009987428524E-2</v>
      </c>
      <c r="AI99">
        <v>0.18329039646290712</v>
      </c>
      <c r="AJ99">
        <v>4.453730393673927E-2</v>
      </c>
      <c r="AK99">
        <v>5.1763558066424298E-2</v>
      </c>
      <c r="AL99">
        <v>0.10603916643707079</v>
      </c>
      <c r="AM99">
        <v>0.18570312660233046</v>
      </c>
      <c r="AN99">
        <v>0.11400590130974142</v>
      </c>
      <c r="AO99">
        <v>4.0293075320042115E-2</v>
      </c>
      <c r="AR99">
        <v>6.6289967793344224E-4</v>
      </c>
      <c r="AS99">
        <v>4.8555380559058836E-3</v>
      </c>
      <c r="AT99">
        <v>4.6477741366094004E-3</v>
      </c>
      <c r="AU99">
        <v>2.0817862858887315E-3</v>
      </c>
      <c r="AV99">
        <v>1.9452924972792659E-3</v>
      </c>
      <c r="AW99">
        <v>3.653118795201582E-3</v>
      </c>
      <c r="AX99">
        <v>3.4413974708122287E-4</v>
      </c>
      <c r="AY99">
        <v>5.038687100032968E-4</v>
      </c>
      <c r="BB99">
        <v>5.0645113360904825E-2</v>
      </c>
      <c r="BC99">
        <v>4.7293171132491096E-2</v>
      </c>
      <c r="BE99">
        <v>67849.622918475812</v>
      </c>
      <c r="BF99">
        <v>15.302387877097761</v>
      </c>
      <c r="BG99">
        <v>69155.938455993935</v>
      </c>
      <c r="BH99">
        <v>15.169894437333323</v>
      </c>
      <c r="BI99">
        <v>-1306.3155375181232</v>
      </c>
      <c r="BJ99">
        <v>0.13249343976443839</v>
      </c>
    </row>
    <row r="100" spans="3:62" x14ac:dyDescent="0.2">
      <c r="C100" s="121">
        <v>65984.92008738502</v>
      </c>
      <c r="D100">
        <v>17.556788248672451</v>
      </c>
      <c r="E100" s="121">
        <v>67667.738740449175</v>
      </c>
      <c r="F100" s="121">
        <v>17.48414302873568</v>
      </c>
      <c r="G100" s="121">
        <v>-1682.8186530641542</v>
      </c>
      <c r="H100" s="121">
        <v>7.2645219936770644E-2</v>
      </c>
      <c r="J100" s="118">
        <v>60000</v>
      </c>
      <c r="L100">
        <v>1</v>
      </c>
      <c r="N100" s="121"/>
      <c r="O100" s="121"/>
      <c r="P100" s="121"/>
      <c r="R100">
        <v>91.82305423925402</v>
      </c>
      <c r="S100">
        <v>60.417931075380203</v>
      </c>
      <c r="T100">
        <v>252.56812224080059</v>
      </c>
      <c r="U100">
        <v>110.98873200379767</v>
      </c>
      <c r="X100">
        <v>0.77175111827393728</v>
      </c>
      <c r="Y100">
        <v>0.87936320182311611</v>
      </c>
      <c r="Z100">
        <v>0.78968005319086587</v>
      </c>
      <c r="AA100">
        <v>0.64715450918927075</v>
      </c>
      <c r="AB100">
        <v>0.77453042166304964</v>
      </c>
      <c r="AC100">
        <v>0.65689438772546671</v>
      </c>
      <c r="AD100">
        <v>0.69455102056263562</v>
      </c>
      <c r="AE100">
        <v>0.73290481120877971</v>
      </c>
      <c r="AH100">
        <v>0.16554124607106813</v>
      </c>
      <c r="AI100">
        <v>0.17922134628413722</v>
      </c>
      <c r="AJ100">
        <v>0.10509506099423738</v>
      </c>
      <c r="AK100">
        <v>3.7172815592698472E-2</v>
      </c>
      <c r="AL100">
        <v>4.5139498636462494E-2</v>
      </c>
      <c r="AM100">
        <v>0.2355579794468462</v>
      </c>
      <c r="AN100">
        <v>0.12374119109372927</v>
      </c>
      <c r="AO100">
        <v>0.1205035665705213</v>
      </c>
      <c r="AR100">
        <v>8.972857339236695E-4</v>
      </c>
      <c r="AS100">
        <v>4.2901440258662589E-3</v>
      </c>
      <c r="AT100">
        <v>5.028062279818557E-3</v>
      </c>
      <c r="AU100">
        <v>2.0297833852365166E-3</v>
      </c>
      <c r="AV100">
        <v>2.1469015440447325E-3</v>
      </c>
      <c r="AW100">
        <v>3.2816584493676661E-3</v>
      </c>
      <c r="AX100">
        <v>4.4311340869496174E-4</v>
      </c>
      <c r="AY100">
        <v>4.9933315217898233E-4</v>
      </c>
      <c r="BB100">
        <v>5.2874124524103006E-2</v>
      </c>
      <c r="BC100">
        <v>6.351133183533586E-2</v>
      </c>
      <c r="BE100">
        <v>65984.92008738502</v>
      </c>
      <c r="BF100">
        <v>17.556788248672451</v>
      </c>
      <c r="BG100">
        <v>67667.738740449175</v>
      </c>
      <c r="BH100">
        <v>17.48414302873568</v>
      </c>
      <c r="BI100">
        <v>-1682.8186530641542</v>
      </c>
      <c r="BJ100">
        <v>7.2645219936770644E-2</v>
      </c>
    </row>
    <row r="101" spans="3:62" x14ac:dyDescent="0.2">
      <c r="C101" s="121">
        <v>63396.884329447224</v>
      </c>
      <c r="D101">
        <v>15.939581763096395</v>
      </c>
      <c r="E101" s="121">
        <v>65478.155510512952</v>
      </c>
      <c r="F101" s="121">
        <v>15.762850027891952</v>
      </c>
      <c r="G101" s="121">
        <v>-2081.2711810657274</v>
      </c>
      <c r="H101" s="121">
        <v>0.1767317352044433</v>
      </c>
      <c r="J101" s="118">
        <v>62500</v>
      </c>
      <c r="L101">
        <v>1</v>
      </c>
      <c r="N101" s="121"/>
      <c r="O101" s="121"/>
      <c r="P101" s="121"/>
      <c r="R101">
        <v>235.40723958562535</v>
      </c>
      <c r="S101">
        <v>65.152469914142515</v>
      </c>
      <c r="T101">
        <v>234.06944364005722</v>
      </c>
      <c r="U101">
        <v>102.56549504961524</v>
      </c>
      <c r="X101">
        <v>0.7060380446638006</v>
      </c>
      <c r="Y101">
        <v>0.94393115122113203</v>
      </c>
      <c r="Z101">
        <v>0.60121834597535473</v>
      </c>
      <c r="AA101">
        <v>0.86234097547698096</v>
      </c>
      <c r="AB101">
        <v>0.61397765153875372</v>
      </c>
      <c r="AC101">
        <v>0.8172338885001561</v>
      </c>
      <c r="AD101">
        <v>0.68306842941013557</v>
      </c>
      <c r="AE101">
        <v>0.86394970392455495</v>
      </c>
      <c r="AH101">
        <v>0.27526616849498931</v>
      </c>
      <c r="AI101">
        <v>0.21588692822811528</v>
      </c>
      <c r="AJ101">
        <v>0.22625467285778889</v>
      </c>
      <c r="AK101">
        <v>8.5805609139481209E-2</v>
      </c>
      <c r="AL101">
        <v>7.2447890843800322E-2</v>
      </c>
      <c r="AM101">
        <v>9.6662496736581005E-2</v>
      </c>
      <c r="AN101">
        <v>0.10754389056733638</v>
      </c>
      <c r="AO101">
        <v>0.12729150757634677</v>
      </c>
      <c r="AR101">
        <v>9.93028615837388E-4</v>
      </c>
      <c r="AS101">
        <v>4.5721414355136547E-3</v>
      </c>
      <c r="AT101">
        <v>4.6930632864980214E-3</v>
      </c>
      <c r="AU101">
        <v>1.9854211954128879E-3</v>
      </c>
      <c r="AV101">
        <v>2.0170864009160239E-3</v>
      </c>
      <c r="AW101">
        <v>3.4455274115438028E-3</v>
      </c>
      <c r="AX101">
        <v>4.1866894161457502E-4</v>
      </c>
      <c r="AY101">
        <v>4.9563158476473301E-4</v>
      </c>
      <c r="BB101">
        <v>5.0791213624058029E-2</v>
      </c>
      <c r="BC101">
        <v>5.3784616561428078E-2</v>
      </c>
      <c r="BE101">
        <v>63396.884329447224</v>
      </c>
      <c r="BF101">
        <v>15.939581763096395</v>
      </c>
      <c r="BG101">
        <v>65478.155510512952</v>
      </c>
      <c r="BH101">
        <v>15.762850027891952</v>
      </c>
      <c r="BI101">
        <v>-2081.2711810657274</v>
      </c>
      <c r="BJ101">
        <v>0.1767317352044433</v>
      </c>
    </row>
    <row r="102" spans="3:62" x14ac:dyDescent="0.2">
      <c r="C102" s="121">
        <v>73120.298608551297</v>
      </c>
      <c r="D102">
        <v>16.415746879264564</v>
      </c>
      <c r="E102" s="121">
        <v>75265.111767804046</v>
      </c>
      <c r="F102" s="121">
        <v>16.239540804977587</v>
      </c>
      <c r="G102" s="121">
        <v>-2144.8131592527498</v>
      </c>
      <c r="H102" s="121">
        <v>0.1762060742869771</v>
      </c>
      <c r="J102" s="118">
        <v>65000</v>
      </c>
      <c r="L102">
        <v>1</v>
      </c>
      <c r="N102" s="121"/>
      <c r="O102" s="121"/>
      <c r="P102" s="121"/>
      <c r="R102">
        <v>401.77290945609127</v>
      </c>
      <c r="S102">
        <v>62.358870964933551</v>
      </c>
      <c r="T102">
        <v>268.68903000290931</v>
      </c>
      <c r="U102">
        <v>107.43363388598041</v>
      </c>
      <c r="X102">
        <v>0.82954383669709775</v>
      </c>
      <c r="Y102">
        <v>0.89782310683942812</v>
      </c>
      <c r="Z102">
        <v>0.70449810974115323</v>
      </c>
      <c r="AA102">
        <v>0.7418501024415175</v>
      </c>
      <c r="AB102">
        <v>0.67317786463535145</v>
      </c>
      <c r="AC102">
        <v>0.60872142551746111</v>
      </c>
      <c r="AD102">
        <v>0.63415834467258547</v>
      </c>
      <c r="AE102">
        <v>0.86169671080885069</v>
      </c>
      <c r="AH102">
        <v>0.15283527746948022</v>
      </c>
      <c r="AI102">
        <v>7.1506025676040252E-2</v>
      </c>
      <c r="AJ102">
        <v>0.26727258292456479</v>
      </c>
      <c r="AK102">
        <v>5.6050933662684765E-2</v>
      </c>
      <c r="AL102">
        <v>0.14020221962461188</v>
      </c>
      <c r="AM102">
        <v>0.15856768093514173</v>
      </c>
      <c r="AN102">
        <v>0.17156352049247459</v>
      </c>
      <c r="AO102">
        <v>6.3823073017426291E-2</v>
      </c>
      <c r="AR102">
        <v>1.0136013909320951E-3</v>
      </c>
      <c r="AS102">
        <v>4.7043905490987692E-3</v>
      </c>
      <c r="AT102">
        <v>4.9394419877082825E-3</v>
      </c>
      <c r="AU102">
        <v>1.9649868013649828E-3</v>
      </c>
      <c r="AV102">
        <v>1.9261757739067857E-3</v>
      </c>
      <c r="AW102">
        <v>3.7411714294205423E-3</v>
      </c>
      <c r="AX102">
        <v>4.0913243496565332E-4</v>
      </c>
      <c r="AY102">
        <v>4.2447873061003796E-4</v>
      </c>
      <c r="BB102">
        <v>5.2565638255646308E-2</v>
      </c>
      <c r="BC102">
        <v>0.10438652388765934</v>
      </c>
      <c r="BE102">
        <v>73120.298608551297</v>
      </c>
      <c r="BF102">
        <v>16.415746879264564</v>
      </c>
      <c r="BG102">
        <v>75265.111767804046</v>
      </c>
      <c r="BH102">
        <v>16.239540804977587</v>
      </c>
      <c r="BI102">
        <v>-2144.8131592527498</v>
      </c>
      <c r="BJ102">
        <v>0.1762060742869771</v>
      </c>
    </row>
    <row r="103" spans="3:62" x14ac:dyDescent="0.2">
      <c r="C103" s="121">
        <v>67772.032024853674</v>
      </c>
      <c r="D103">
        <v>16.701556623794637</v>
      </c>
      <c r="E103" s="121">
        <v>68852.52766563007</v>
      </c>
      <c r="F103" s="121">
        <v>16.61632533245535</v>
      </c>
      <c r="G103" s="121">
        <v>-1080.4956407763966</v>
      </c>
      <c r="H103" s="121">
        <v>8.5231291339287196E-2</v>
      </c>
      <c r="J103" s="118">
        <v>67500</v>
      </c>
      <c r="L103">
        <v>1</v>
      </c>
      <c r="N103" s="121"/>
      <c r="O103" s="121"/>
      <c r="P103" s="121"/>
      <c r="R103">
        <v>283.00486341817179</v>
      </c>
      <c r="S103">
        <v>61.003680566664592</v>
      </c>
      <c r="T103">
        <v>296.03544598767559</v>
      </c>
      <c r="U103">
        <v>101.14204876548443</v>
      </c>
      <c r="X103">
        <v>0.88094309889241273</v>
      </c>
      <c r="Y103">
        <v>0.92560658355760195</v>
      </c>
      <c r="Z103">
        <v>0.88979988015122236</v>
      </c>
      <c r="AA103">
        <v>0.88691410050023978</v>
      </c>
      <c r="AB103">
        <v>0.91520887693967201</v>
      </c>
      <c r="AC103">
        <v>0.64626809546341057</v>
      </c>
      <c r="AD103">
        <v>0.49102951765340513</v>
      </c>
      <c r="AE103">
        <v>0.75991657628496279</v>
      </c>
      <c r="AH103">
        <v>5.7614513218015251E-2</v>
      </c>
      <c r="AI103">
        <v>4.2426869749686569E-3</v>
      </c>
      <c r="AJ103">
        <v>0.11515143676027584</v>
      </c>
      <c r="AK103">
        <v>0.19656034373863884</v>
      </c>
      <c r="AL103">
        <v>5.8421520124849025E-2</v>
      </c>
      <c r="AM103">
        <v>5.2780903802553625E-2</v>
      </c>
      <c r="AN103">
        <v>0.28026536695039095</v>
      </c>
      <c r="AO103">
        <v>0.12746643872612895</v>
      </c>
      <c r="AR103">
        <v>1.0555962646757733E-3</v>
      </c>
      <c r="AS103">
        <v>4.8782122130665018E-3</v>
      </c>
      <c r="AT103">
        <v>5.0342836912047328E-3</v>
      </c>
      <c r="AU103">
        <v>1.9909800400862003E-3</v>
      </c>
      <c r="AV103">
        <v>2.0735207501069164E-3</v>
      </c>
      <c r="AW103">
        <v>3.7595262338480095E-3</v>
      </c>
      <c r="AX103">
        <v>4.2570190150836851E-4</v>
      </c>
      <c r="AY103">
        <v>3.8363022294136989E-4</v>
      </c>
      <c r="BB103">
        <v>5.4950997365077692E-2</v>
      </c>
      <c r="BC103">
        <v>3.1555641913446328E-2</v>
      </c>
      <c r="BE103">
        <v>67772.032024853674</v>
      </c>
      <c r="BF103">
        <v>16.701556623794637</v>
      </c>
      <c r="BG103">
        <v>68852.52766563007</v>
      </c>
      <c r="BH103">
        <v>16.61632533245535</v>
      </c>
      <c r="BI103">
        <v>-1080.4956407763966</v>
      </c>
      <c r="BJ103">
        <v>8.5231291339287196E-2</v>
      </c>
    </row>
    <row r="104" spans="3:62" x14ac:dyDescent="0.2">
      <c r="C104" s="121">
        <v>67978.847325939874</v>
      </c>
      <c r="D104">
        <v>15.001028300441842</v>
      </c>
      <c r="E104" s="121">
        <v>70777.642101513018</v>
      </c>
      <c r="F104" s="121">
        <v>14.883365901244812</v>
      </c>
      <c r="G104" s="121">
        <v>-2798.7947755731439</v>
      </c>
      <c r="H104" s="121">
        <v>0.11766239919703025</v>
      </c>
      <c r="J104" s="118">
        <v>70000</v>
      </c>
      <c r="L104">
        <v>1</v>
      </c>
      <c r="N104" s="121"/>
      <c r="O104" s="121"/>
      <c r="P104" s="121"/>
      <c r="R104">
        <v>139.99000422776544</v>
      </c>
      <c r="S104">
        <v>57.173774910068147</v>
      </c>
      <c r="T104">
        <v>217.78560657664187</v>
      </c>
      <c r="U104">
        <v>94.068729240338627</v>
      </c>
      <c r="X104">
        <v>0.91278274013119698</v>
      </c>
      <c r="Y104">
        <v>0.77883833799128488</v>
      </c>
      <c r="Z104">
        <v>0.50571880863640462</v>
      </c>
      <c r="AA104">
        <v>0.85072881010374446</v>
      </c>
      <c r="AB104">
        <v>0.37929651849760548</v>
      </c>
      <c r="AC104">
        <v>0.86468861222780435</v>
      </c>
      <c r="AD104">
        <v>0.82797713026743902</v>
      </c>
      <c r="AE104">
        <v>0.54183651224204266</v>
      </c>
      <c r="AH104">
        <v>6.3379424358030012E-2</v>
      </c>
      <c r="AI104">
        <v>6.7361942186611623E-2</v>
      </c>
      <c r="AJ104">
        <v>8.3920295764311814E-2</v>
      </c>
      <c r="AK104">
        <v>7.4134259612029907E-2</v>
      </c>
      <c r="AL104">
        <v>0.18448643158780831</v>
      </c>
      <c r="AM104">
        <v>6.2009182900588655E-2</v>
      </c>
      <c r="AN104">
        <v>2.8258409009824792E-2</v>
      </c>
      <c r="AO104">
        <v>0.12071249840271847</v>
      </c>
      <c r="AR104">
        <v>8.1302581306900946E-4</v>
      </c>
      <c r="AS104">
        <v>4.4746823147351162E-3</v>
      </c>
      <c r="AT104">
        <v>4.7479837572020856E-3</v>
      </c>
      <c r="AU104">
        <v>2.029389969784523E-3</v>
      </c>
      <c r="AV104">
        <v>1.9019065107111119E-3</v>
      </c>
      <c r="AW104">
        <v>3.3524038021995753E-3</v>
      </c>
      <c r="AX104">
        <v>3.5558918261274216E-4</v>
      </c>
      <c r="AY104">
        <v>4.0401253843863703E-4</v>
      </c>
      <c r="BB104">
        <v>4.8665376062895088E-2</v>
      </c>
      <c r="BC104">
        <v>3.4867692168222005E-2</v>
      </c>
      <c r="BE104">
        <v>67978.847325939874</v>
      </c>
      <c r="BF104">
        <v>15.001028300441842</v>
      </c>
      <c r="BG104">
        <v>70777.642101513018</v>
      </c>
      <c r="BH104">
        <v>14.883365901244812</v>
      </c>
      <c r="BI104">
        <v>-2798.7947755731439</v>
      </c>
      <c r="BJ104">
        <v>0.11766239919703025</v>
      </c>
    </row>
    <row r="105" spans="3:62" x14ac:dyDescent="0.2">
      <c r="C105" s="121">
        <v>74104.483788753714</v>
      </c>
      <c r="D105">
        <v>17.168618753787822</v>
      </c>
      <c r="E105" s="121">
        <v>75128.680642744599</v>
      </c>
      <c r="F105" s="121">
        <v>17.083870544414172</v>
      </c>
      <c r="G105" s="121">
        <v>-1024.1968539908848</v>
      </c>
      <c r="H105" s="121">
        <v>8.4748209373650241E-2</v>
      </c>
      <c r="J105" s="118">
        <v>72500</v>
      </c>
      <c r="L105">
        <v>1</v>
      </c>
      <c r="N105" s="121"/>
      <c r="O105" s="121"/>
      <c r="P105" s="121"/>
      <c r="R105">
        <v>341.1492170539409</v>
      </c>
      <c r="S105">
        <v>63.73000013099734</v>
      </c>
      <c r="T105">
        <v>322.10403891140879</v>
      </c>
      <c r="U105">
        <v>100.13676559197312</v>
      </c>
      <c r="X105">
        <v>0.75816861624833187</v>
      </c>
      <c r="Y105">
        <v>0.92092221871335511</v>
      </c>
      <c r="Z105">
        <v>0.84791178852540516</v>
      </c>
      <c r="AA105">
        <v>0.60831528872094565</v>
      </c>
      <c r="AB105">
        <v>0.63757548223851879</v>
      </c>
      <c r="AC105">
        <v>0.81617413306080644</v>
      </c>
      <c r="AD105">
        <v>0.61280705746125241</v>
      </c>
      <c r="AE105">
        <v>0.7271454361495735</v>
      </c>
      <c r="AH105">
        <v>0.18204275948501425</v>
      </c>
      <c r="AI105">
        <v>0.15270458323625136</v>
      </c>
      <c r="AJ105">
        <v>0.13924120479778512</v>
      </c>
      <c r="AK105">
        <v>9.1472148823345423E-2</v>
      </c>
      <c r="AL105">
        <v>0.2434290959305897</v>
      </c>
      <c r="AM105">
        <v>0.15947542452143604</v>
      </c>
      <c r="AN105">
        <v>9.8352477084538092E-2</v>
      </c>
      <c r="AO105">
        <v>5.7841917871008119E-2</v>
      </c>
      <c r="AR105">
        <v>8.1167679445127581E-4</v>
      </c>
      <c r="AS105">
        <v>4.6555684363663863E-3</v>
      </c>
      <c r="AT105">
        <v>4.7329780128885406E-3</v>
      </c>
      <c r="AU105">
        <v>1.8877129176835346E-3</v>
      </c>
      <c r="AV105">
        <v>2.0506465646226157E-3</v>
      </c>
      <c r="AW105">
        <v>3.3931700776188814E-3</v>
      </c>
      <c r="AX105">
        <v>3.4692425356150608E-4</v>
      </c>
      <c r="AY105">
        <v>4.7571856907813181E-4</v>
      </c>
      <c r="BB105">
        <v>4.4017286239636397E-2</v>
      </c>
      <c r="BC105">
        <v>5.6850886272507228E-2</v>
      </c>
      <c r="BE105">
        <v>74104.483788753714</v>
      </c>
      <c r="BF105">
        <v>17.168618753787822</v>
      </c>
      <c r="BG105">
        <v>75128.680642744599</v>
      </c>
      <c r="BH105">
        <v>17.083870544414172</v>
      </c>
      <c r="BI105">
        <v>-1024.1968539908848</v>
      </c>
      <c r="BJ105">
        <v>8.4748209373650241E-2</v>
      </c>
    </row>
    <row r="106" spans="3:62" x14ac:dyDescent="0.2">
      <c r="C106" s="121">
        <v>63704.66749546623</v>
      </c>
      <c r="D106">
        <v>18.532348112631212</v>
      </c>
      <c r="E106" s="121">
        <v>64557.983719750882</v>
      </c>
      <c r="F106" s="121">
        <v>18.436299761997951</v>
      </c>
      <c r="G106" s="121">
        <v>-853.31622428465198</v>
      </c>
      <c r="H106" s="121">
        <v>9.6048350633260782E-2</v>
      </c>
      <c r="J106" s="118">
        <v>75000</v>
      </c>
      <c r="L106">
        <v>1</v>
      </c>
      <c r="N106" s="121"/>
      <c r="O106" s="121"/>
      <c r="P106" s="121"/>
      <c r="R106">
        <v>296.78542695527887</v>
      </c>
      <c r="S106">
        <v>59.419272638181702</v>
      </c>
      <c r="T106">
        <v>224.97517743356514</v>
      </c>
      <c r="U106">
        <v>97.392475657515732</v>
      </c>
      <c r="X106">
        <v>0.74035039412490955</v>
      </c>
      <c r="Y106">
        <v>0.79295060542218199</v>
      </c>
      <c r="Z106">
        <v>0.47648393295951919</v>
      </c>
      <c r="AA106">
        <v>0.82815772369966678</v>
      </c>
      <c r="AB106">
        <v>0.75003251506730118</v>
      </c>
      <c r="AC106">
        <v>0.86428228062772239</v>
      </c>
      <c r="AD106">
        <v>0.85131217833905459</v>
      </c>
      <c r="AE106">
        <v>0.74492298895167797</v>
      </c>
      <c r="AH106">
        <v>7.5108700128411199E-2</v>
      </c>
      <c r="AI106">
        <v>0.13009263633323487</v>
      </c>
      <c r="AJ106">
        <v>5.5347868471116168E-2</v>
      </c>
      <c r="AK106">
        <v>8.2344912727853048E-2</v>
      </c>
      <c r="AL106">
        <v>0.15794869934690225</v>
      </c>
      <c r="AM106">
        <v>0.12855009034540199</v>
      </c>
      <c r="AN106">
        <v>3.2507661567188872E-2</v>
      </c>
      <c r="AO106">
        <v>0.31668393211306911</v>
      </c>
      <c r="AR106">
        <v>8.9889552431865472E-4</v>
      </c>
      <c r="AS106">
        <v>4.5345451109368717E-3</v>
      </c>
      <c r="AT106">
        <v>5.3952846144449396E-3</v>
      </c>
      <c r="AU106">
        <v>2.0124312740863459E-3</v>
      </c>
      <c r="AV106">
        <v>1.9149966386795881E-3</v>
      </c>
      <c r="AW106">
        <v>3.3499077060434421E-3</v>
      </c>
      <c r="AX106">
        <v>3.1422319622319468E-4</v>
      </c>
      <c r="AY106">
        <v>4.1267806017214768E-4</v>
      </c>
      <c r="BB106">
        <v>5.7531991721728737E-2</v>
      </c>
      <c r="BC106">
        <v>3.9054975881886903E-2</v>
      </c>
      <c r="BE106">
        <v>63704.66749546623</v>
      </c>
      <c r="BF106">
        <v>18.532348112631212</v>
      </c>
      <c r="BG106">
        <v>64557.983719750882</v>
      </c>
      <c r="BH106">
        <v>18.436299761997951</v>
      </c>
      <c r="BI106">
        <v>-853.31622428465198</v>
      </c>
      <c r="BJ106">
        <v>9.6048350633260782E-2</v>
      </c>
    </row>
    <row r="107" spans="3:62" x14ac:dyDescent="0.2">
      <c r="C107" s="121">
        <v>62911.857457109683</v>
      </c>
      <c r="D107">
        <v>17.279549730277186</v>
      </c>
      <c r="E107" s="121">
        <v>64287.563298961548</v>
      </c>
      <c r="F107" s="121">
        <v>17.165088546302737</v>
      </c>
      <c r="G107" s="121">
        <v>-1375.7058418518645</v>
      </c>
      <c r="H107" s="121">
        <v>0.11446118397444849</v>
      </c>
      <c r="J107" s="118">
        <v>77500</v>
      </c>
      <c r="L107">
        <v>1</v>
      </c>
      <c r="N107" s="121"/>
      <c r="O107" s="121"/>
      <c r="P107" s="121"/>
      <c r="R107">
        <v>301.97228278253033</v>
      </c>
      <c r="S107">
        <v>54.724715731833065</v>
      </c>
      <c r="T107">
        <v>248.81478685891469</v>
      </c>
      <c r="U107">
        <v>109.16236838680611</v>
      </c>
      <c r="X107">
        <v>0.84568199494538687</v>
      </c>
      <c r="Y107">
        <v>0.7260486689721064</v>
      </c>
      <c r="Z107">
        <v>0.69816989027282694</v>
      </c>
      <c r="AA107">
        <v>0.54141108812658012</v>
      </c>
      <c r="AB107">
        <v>0.58745432343742354</v>
      </c>
      <c r="AC107">
        <v>0.59975443280898078</v>
      </c>
      <c r="AD107">
        <v>0.65638944917146891</v>
      </c>
      <c r="AE107">
        <v>0.87122527878504663</v>
      </c>
      <c r="AH107">
        <v>0.2348302585356008</v>
      </c>
      <c r="AI107">
        <v>0.15262794248868772</v>
      </c>
      <c r="AJ107">
        <v>6.0340184512079231E-2</v>
      </c>
      <c r="AK107">
        <v>0.39062291916203695</v>
      </c>
      <c r="AL107">
        <v>7.3716505142300992E-2</v>
      </c>
      <c r="AM107">
        <v>3.6469546705370282E-2</v>
      </c>
      <c r="AN107">
        <v>0.22562549066517745</v>
      </c>
      <c r="AO107">
        <v>0.17724825876368211</v>
      </c>
      <c r="AR107">
        <v>7.213463141692158E-4</v>
      </c>
      <c r="AS107">
        <v>4.7443287385298127E-3</v>
      </c>
      <c r="AT107">
        <v>4.9966377663115402E-3</v>
      </c>
      <c r="AU107">
        <v>2.1495574972099085E-3</v>
      </c>
      <c r="AV107">
        <v>2.051211522032359E-3</v>
      </c>
      <c r="AW107">
        <v>3.2700247346595848E-3</v>
      </c>
      <c r="AX107">
        <v>4.7071903910267388E-4</v>
      </c>
      <c r="AY107">
        <v>4.5165159822424528E-4</v>
      </c>
      <c r="BB107">
        <v>4.8640122435974896E-2</v>
      </c>
      <c r="BC107">
        <v>9.2107967469232777E-2</v>
      </c>
      <c r="BE107">
        <v>62911.857457109683</v>
      </c>
      <c r="BF107">
        <v>17.279549730277186</v>
      </c>
      <c r="BG107">
        <v>64287.563298961548</v>
      </c>
      <c r="BH107">
        <v>17.165088546302737</v>
      </c>
      <c r="BI107">
        <v>-1375.7058418518645</v>
      </c>
      <c r="BJ107">
        <v>0.11446118397444849</v>
      </c>
    </row>
    <row r="108" spans="3:62" x14ac:dyDescent="0.2">
      <c r="C108" s="121">
        <v>75828.487755411799</v>
      </c>
      <c r="D108">
        <v>15.806647296147851</v>
      </c>
      <c r="E108" s="121">
        <v>77237.326198251525</v>
      </c>
      <c r="F108" s="121">
        <v>15.666035209472957</v>
      </c>
      <c r="G108" s="121">
        <v>-1408.8384428397258</v>
      </c>
      <c r="H108" s="121">
        <v>0.14061208667489389</v>
      </c>
      <c r="J108" s="118">
        <v>80000</v>
      </c>
      <c r="L108">
        <v>1</v>
      </c>
      <c r="N108" s="121"/>
      <c r="O108" s="121"/>
      <c r="P108" s="121"/>
      <c r="R108">
        <v>204.79969289291944</v>
      </c>
      <c r="S108">
        <v>71.464627342480071</v>
      </c>
      <c r="T108">
        <v>228.92270167627143</v>
      </c>
      <c r="U108">
        <v>87.880172958287162</v>
      </c>
      <c r="X108">
        <v>0.77337977311776296</v>
      </c>
      <c r="Y108">
        <v>0.69688371438911312</v>
      </c>
      <c r="Z108">
        <v>0.75766374504437339</v>
      </c>
      <c r="AA108">
        <v>0.82470180692777639</v>
      </c>
      <c r="AB108">
        <v>0.8278790544880682</v>
      </c>
      <c r="AC108">
        <v>0.75349289660961893</v>
      </c>
      <c r="AD108">
        <v>0.67081765235008717</v>
      </c>
      <c r="AE108">
        <v>0.68265533417713142</v>
      </c>
      <c r="AH108">
        <v>7.6427707736609118E-2</v>
      </c>
      <c r="AI108">
        <v>9.1874800965356274E-2</v>
      </c>
      <c r="AJ108">
        <v>8.4758901754643179E-2</v>
      </c>
      <c r="AK108">
        <v>0.11960627334263962</v>
      </c>
      <c r="AL108">
        <v>0.14099267277448346</v>
      </c>
      <c r="AM108">
        <v>0.16749575321704879</v>
      </c>
      <c r="AN108">
        <v>6.9206740060158145E-3</v>
      </c>
      <c r="AO108">
        <v>7.2087828575986279E-2</v>
      </c>
      <c r="AR108">
        <v>8.9683812706597976E-4</v>
      </c>
      <c r="AS108">
        <v>4.3994933721842088E-3</v>
      </c>
      <c r="AT108">
        <v>4.839028341129108E-3</v>
      </c>
      <c r="AU108">
        <v>2.1014548133991839E-3</v>
      </c>
      <c r="AV108">
        <v>1.8547612394183314E-3</v>
      </c>
      <c r="AW108">
        <v>3.3132905696472989E-3</v>
      </c>
      <c r="AX108">
        <v>3.3487612246087305E-4</v>
      </c>
      <c r="AY108">
        <v>3.8946397603716217E-4</v>
      </c>
      <c r="BB108">
        <v>3.9443181242327721E-2</v>
      </c>
      <c r="BC108">
        <v>3.1981014705618906E-2</v>
      </c>
      <c r="BE108">
        <v>75828.487755411799</v>
      </c>
      <c r="BF108">
        <v>15.806647296147851</v>
      </c>
      <c r="BG108">
        <v>77237.326198251525</v>
      </c>
      <c r="BH108">
        <v>15.666035209472957</v>
      </c>
      <c r="BI108">
        <v>-1408.8384428397258</v>
      </c>
      <c r="BJ108">
        <v>0.14061208667489389</v>
      </c>
    </row>
    <row r="109" spans="3:62" x14ac:dyDescent="0.2">
      <c r="C109" s="121">
        <v>69941.834512500733</v>
      </c>
      <c r="D109">
        <v>15.801412084672418</v>
      </c>
      <c r="E109" s="121">
        <v>71573.785153057979</v>
      </c>
      <c r="F109" s="121">
        <v>15.732070540282738</v>
      </c>
      <c r="G109" s="121">
        <v>-1631.9506405572465</v>
      </c>
      <c r="H109" s="121">
        <v>6.9341544389679655E-2</v>
      </c>
      <c r="J109" s="118">
        <v>82500</v>
      </c>
      <c r="L109">
        <v>1</v>
      </c>
      <c r="N109" s="121"/>
      <c r="O109" s="121"/>
      <c r="P109" s="121"/>
      <c r="R109">
        <v>324.44887129693228</v>
      </c>
      <c r="S109">
        <v>69.457397208354635</v>
      </c>
      <c r="T109">
        <v>239.09316631991038</v>
      </c>
      <c r="U109">
        <v>88.958234298634736</v>
      </c>
      <c r="X109">
        <v>0.34390129900591682</v>
      </c>
      <c r="Y109">
        <v>0.80747553345973611</v>
      </c>
      <c r="Z109">
        <v>0.78636700697419637</v>
      </c>
      <c r="AA109">
        <v>0.76085779169136414</v>
      </c>
      <c r="AB109">
        <v>0.60996117356930768</v>
      </c>
      <c r="AC109">
        <v>0.80479965905954787</v>
      </c>
      <c r="AD109">
        <v>0.93077012717474172</v>
      </c>
      <c r="AE109">
        <v>0.61395033316824221</v>
      </c>
      <c r="AH109">
        <v>9.3334717840717007E-2</v>
      </c>
      <c r="AI109">
        <v>2.0897060989566674E-2</v>
      </c>
      <c r="AJ109">
        <v>2.0840424571713534E-2</v>
      </c>
      <c r="AK109">
        <v>4.272862401561639E-2</v>
      </c>
      <c r="AL109">
        <v>4.881483638417683E-2</v>
      </c>
      <c r="AM109">
        <v>0.2671063424183201</v>
      </c>
      <c r="AN109">
        <v>7.537914450398131E-2</v>
      </c>
      <c r="AO109">
        <v>0.12475041931137032</v>
      </c>
      <c r="AR109">
        <v>8.4599672603836843E-4</v>
      </c>
      <c r="AS109">
        <v>4.4302267461526343E-3</v>
      </c>
      <c r="AT109">
        <v>4.9593011712718571E-3</v>
      </c>
      <c r="AU109">
        <v>2.1493777829157956E-3</v>
      </c>
      <c r="AV109">
        <v>2.017146008556181E-3</v>
      </c>
      <c r="AW109">
        <v>3.4731936443234135E-3</v>
      </c>
      <c r="AX109">
        <v>3.817246295530809E-4</v>
      </c>
      <c r="AY109">
        <v>4.3334321088779414E-4</v>
      </c>
      <c r="BB109">
        <v>4.6104800238613568E-2</v>
      </c>
      <c r="BC109">
        <v>6.9704829223971032E-2</v>
      </c>
      <c r="BE109">
        <v>69941.834512500733</v>
      </c>
      <c r="BF109">
        <v>15.801412084672418</v>
      </c>
      <c r="BG109">
        <v>71573.785153057979</v>
      </c>
      <c r="BH109">
        <v>15.732070540282738</v>
      </c>
      <c r="BI109">
        <v>-1631.9506405572465</v>
      </c>
      <c r="BJ109">
        <v>6.9341544389679655E-2</v>
      </c>
    </row>
    <row r="110" spans="3:62" x14ac:dyDescent="0.2">
      <c r="C110" s="121">
        <v>66757.424300002793</v>
      </c>
      <c r="D110">
        <v>16.53943121714611</v>
      </c>
      <c r="E110" s="121">
        <v>68573.826587926844</v>
      </c>
      <c r="F110" s="121">
        <v>16.341608063950979</v>
      </c>
      <c r="G110" s="121">
        <v>-1816.4022879240511</v>
      </c>
      <c r="H110" s="121">
        <v>0.19782315319513089</v>
      </c>
      <c r="J110" s="118">
        <v>85000</v>
      </c>
      <c r="L110">
        <v>1</v>
      </c>
      <c r="N110" s="121"/>
      <c r="O110" s="121"/>
      <c r="P110" s="121"/>
      <c r="R110">
        <v>190.96720603727701</v>
      </c>
      <c r="S110">
        <v>74.635922853144052</v>
      </c>
      <c r="T110">
        <v>238.1763467904791</v>
      </c>
      <c r="U110">
        <v>98.747616387281369</v>
      </c>
      <c r="X110">
        <v>0.82562249237019325</v>
      </c>
      <c r="Y110">
        <v>0.92665473522497155</v>
      </c>
      <c r="Z110">
        <v>0.36427520405225067</v>
      </c>
      <c r="AA110">
        <v>0.79074156281515551</v>
      </c>
      <c r="AB110">
        <v>0.89360611992683725</v>
      </c>
      <c r="AC110">
        <v>0.90474384317103929</v>
      </c>
      <c r="AD110">
        <v>0.68892786224088109</v>
      </c>
      <c r="AE110">
        <v>0.59388657758814289</v>
      </c>
      <c r="AH110">
        <v>0.28962647202408076</v>
      </c>
      <c r="AI110">
        <v>0.25880988195286414</v>
      </c>
      <c r="AJ110">
        <v>6.2033970698599283E-2</v>
      </c>
      <c r="AK110">
        <v>5.6545681164814177E-2</v>
      </c>
      <c r="AL110">
        <v>3.7951700992374882E-2</v>
      </c>
      <c r="AM110">
        <v>6.1153081431956857E-2</v>
      </c>
      <c r="AN110">
        <v>4.5897132631526727E-2</v>
      </c>
      <c r="AO110">
        <v>0.12335611392200208</v>
      </c>
      <c r="AR110">
        <v>8.6907787297705469E-4</v>
      </c>
      <c r="AS110">
        <v>4.6893261842124723E-3</v>
      </c>
      <c r="AT110">
        <v>4.8338408393085886E-3</v>
      </c>
      <c r="AU110">
        <v>2.2480786149445819E-3</v>
      </c>
      <c r="AV110">
        <v>1.936631561452139E-3</v>
      </c>
      <c r="AW110">
        <v>3.4217459195425848E-3</v>
      </c>
      <c r="AX110">
        <v>5.73405141367056E-4</v>
      </c>
      <c r="AY110">
        <v>4.0893622537596511E-4</v>
      </c>
      <c r="BB110">
        <v>4.9758950574434122E-2</v>
      </c>
      <c r="BC110">
        <v>4.1519436342894601E-2</v>
      </c>
      <c r="BE110">
        <v>66757.424300002793</v>
      </c>
      <c r="BF110">
        <v>16.53943121714611</v>
      </c>
      <c r="BG110">
        <v>68573.826587926844</v>
      </c>
      <c r="BH110">
        <v>16.341608063950979</v>
      </c>
      <c r="BI110">
        <v>-1816.4022879240511</v>
      </c>
      <c r="BJ110">
        <v>0.19782315319513089</v>
      </c>
    </row>
    <row r="111" spans="3:62" x14ac:dyDescent="0.2">
      <c r="C111" s="121">
        <v>76510.15444048465</v>
      </c>
      <c r="D111">
        <v>15.714139043756717</v>
      </c>
      <c r="E111" s="121">
        <v>78070.644758694427</v>
      </c>
      <c r="F111" s="121">
        <v>15.590639035297983</v>
      </c>
      <c r="G111" s="121">
        <v>-1560.4903182097769</v>
      </c>
      <c r="H111" s="121">
        <v>0.1235000084587341</v>
      </c>
      <c r="J111" s="118">
        <v>87500</v>
      </c>
      <c r="L111">
        <v>1</v>
      </c>
      <c r="N111" s="121"/>
      <c r="O111" s="121"/>
      <c r="P111" s="121"/>
      <c r="R111">
        <v>289.56739098264251</v>
      </c>
      <c r="S111">
        <v>70.093059309932357</v>
      </c>
      <c r="T111">
        <v>239.97348155820939</v>
      </c>
      <c r="U111">
        <v>87.286406488182777</v>
      </c>
      <c r="X111">
        <v>0.87492316189085861</v>
      </c>
      <c r="Y111">
        <v>0.96034587029497831</v>
      </c>
      <c r="Z111">
        <v>0.91060139221100789</v>
      </c>
      <c r="AA111">
        <v>0.91856640747816276</v>
      </c>
      <c r="AB111">
        <v>0.79180276175329412</v>
      </c>
      <c r="AC111">
        <v>0.81248173289474479</v>
      </c>
      <c r="AD111">
        <v>0.85665192022213676</v>
      </c>
      <c r="AE111">
        <v>0.90292527310403092</v>
      </c>
      <c r="AH111">
        <v>0.12459867428573657</v>
      </c>
      <c r="AI111">
        <v>9.2438190027178235E-2</v>
      </c>
      <c r="AJ111">
        <v>0.1921951336658273</v>
      </c>
      <c r="AK111">
        <v>0.15648723262384001</v>
      </c>
      <c r="AL111">
        <v>0.19698181541053739</v>
      </c>
      <c r="AM111">
        <v>0.13203947862772281</v>
      </c>
      <c r="AN111">
        <v>2.2431231430390275E-2</v>
      </c>
      <c r="AO111">
        <v>0.15104034771663633</v>
      </c>
      <c r="AR111">
        <v>6.9640243374160377E-4</v>
      </c>
      <c r="AS111">
        <v>4.6948634377325105E-3</v>
      </c>
      <c r="AT111">
        <v>4.9101723252303444E-3</v>
      </c>
      <c r="AU111">
        <v>1.8648919277097446E-3</v>
      </c>
      <c r="AV111">
        <v>2.4148346892517436E-3</v>
      </c>
      <c r="AW111">
        <v>3.3918903954782303E-3</v>
      </c>
      <c r="AX111">
        <v>4.5230241938520876E-4</v>
      </c>
      <c r="AY111">
        <v>5.0835017024286611E-4</v>
      </c>
      <c r="BB111">
        <v>4.847624799228361E-2</v>
      </c>
      <c r="BC111">
        <v>8.2642597808702423E-2</v>
      </c>
      <c r="BE111">
        <v>76510.15444048465</v>
      </c>
      <c r="BF111">
        <v>15.714139043756717</v>
      </c>
      <c r="BG111">
        <v>78070.644758694427</v>
      </c>
      <c r="BH111">
        <v>15.590639035297983</v>
      </c>
      <c r="BI111">
        <v>-1560.4903182097769</v>
      </c>
      <c r="BJ111">
        <v>0.1235000084587341</v>
      </c>
    </row>
    <row r="112" spans="3:62" x14ac:dyDescent="0.2">
      <c r="C112" s="121">
        <v>73291.656874932538</v>
      </c>
      <c r="D112">
        <v>16.408703324840882</v>
      </c>
      <c r="E112" s="121">
        <v>73760.773393431533</v>
      </c>
      <c r="F112" s="121">
        <v>16.324835843196912</v>
      </c>
      <c r="G112" s="121">
        <v>-469.11651849899499</v>
      </c>
      <c r="H112" s="121">
        <v>8.3867481643970621E-2</v>
      </c>
      <c r="J112" s="118">
        <v>90000</v>
      </c>
      <c r="L112">
        <v>1</v>
      </c>
      <c r="N112" s="121"/>
      <c r="O112" s="121"/>
      <c r="P112" s="121"/>
      <c r="R112">
        <v>114.41093512688036</v>
      </c>
      <c r="S112">
        <v>70.261669411951786</v>
      </c>
      <c r="T112">
        <v>249.87735833692264</v>
      </c>
      <c r="U112">
        <v>91.122949918704961</v>
      </c>
      <c r="X112">
        <v>0.78921120940834533</v>
      </c>
      <c r="Y112">
        <v>0.79904164186647919</v>
      </c>
      <c r="Z112">
        <v>0.6764560306906533</v>
      </c>
      <c r="AA112">
        <v>0.81144109481191085</v>
      </c>
      <c r="AB112">
        <v>0.81430104622857125</v>
      </c>
      <c r="AC112">
        <v>0.8676540044483898</v>
      </c>
      <c r="AD112">
        <v>0.59051217596830552</v>
      </c>
      <c r="AE112">
        <v>0.79034378841006725</v>
      </c>
      <c r="AH112">
        <v>0.21571617074603611</v>
      </c>
      <c r="AI112">
        <v>4.0026886007730633E-2</v>
      </c>
      <c r="AJ112">
        <v>3.0660413439965062E-2</v>
      </c>
      <c r="AK112">
        <v>7.4964196288928586E-2</v>
      </c>
      <c r="AL112">
        <v>0.14716650324669878</v>
      </c>
      <c r="AM112">
        <v>0.17648366315211983</v>
      </c>
      <c r="AN112">
        <v>0.15239931815495722</v>
      </c>
      <c r="AO112">
        <v>0.20727597101650519</v>
      </c>
      <c r="AR112">
        <v>1.0729017390783691E-3</v>
      </c>
      <c r="AS112">
        <v>4.7011629514563946E-3</v>
      </c>
      <c r="AT112">
        <v>5.0767803994137273E-3</v>
      </c>
      <c r="AU112">
        <v>1.8181804125368527E-3</v>
      </c>
      <c r="AV112">
        <v>2.2322282730874443E-3</v>
      </c>
      <c r="AW112">
        <v>3.4867204022615006E-3</v>
      </c>
      <c r="AX112">
        <v>2.6150486567258659E-4</v>
      </c>
      <c r="AY112">
        <v>4.3273714819349327E-4</v>
      </c>
      <c r="BB112">
        <v>4.0995088455494794E-2</v>
      </c>
      <c r="BC112">
        <v>3.9164313525863532E-2</v>
      </c>
      <c r="BE112">
        <v>73291.656874932538</v>
      </c>
      <c r="BF112">
        <v>16.408703324840882</v>
      </c>
      <c r="BG112">
        <v>73760.773393431533</v>
      </c>
      <c r="BH112">
        <v>16.324835843196912</v>
      </c>
      <c r="BI112">
        <v>-469.11651849899499</v>
      </c>
      <c r="BJ112">
        <v>8.3867481643970621E-2</v>
      </c>
    </row>
    <row r="113" spans="3:62" x14ac:dyDescent="0.2">
      <c r="C113" s="121">
        <v>75540.929857495474</v>
      </c>
      <c r="D113">
        <v>15.75499777272772</v>
      </c>
      <c r="E113" s="121">
        <v>77415.102996768037</v>
      </c>
      <c r="F113" s="121">
        <v>15.580436228645405</v>
      </c>
      <c r="G113" s="121">
        <v>-1874.1731392725633</v>
      </c>
      <c r="H113" s="121">
        <v>0.17456154408231406</v>
      </c>
      <c r="J113" s="118">
        <v>92500</v>
      </c>
      <c r="L113">
        <v>1</v>
      </c>
      <c r="N113" s="121"/>
      <c r="O113" s="121"/>
      <c r="P113" s="121"/>
      <c r="R113">
        <v>147.54035203910286</v>
      </c>
      <c r="S113">
        <v>56.73738972135304</v>
      </c>
      <c r="T113">
        <v>223.79810637247775</v>
      </c>
      <c r="U113">
        <v>100.67998907625773</v>
      </c>
      <c r="X113">
        <v>0.57851225102277148</v>
      </c>
      <c r="Y113">
        <v>0.87886720728850143</v>
      </c>
      <c r="Z113">
        <v>0.8082310321358368</v>
      </c>
      <c r="AA113">
        <v>0.83432879536659932</v>
      </c>
      <c r="AB113">
        <v>0.5244932103913682</v>
      </c>
      <c r="AC113">
        <v>0.70103568280495066</v>
      </c>
      <c r="AD113">
        <v>0.7594684349113564</v>
      </c>
      <c r="AE113">
        <v>0.79657793486812789</v>
      </c>
      <c r="AH113">
        <v>0.18708618675795707</v>
      </c>
      <c r="AI113">
        <v>0.18752955766681201</v>
      </c>
      <c r="AJ113">
        <v>0.13415306941934457</v>
      </c>
      <c r="AK113">
        <v>0.19981231125409105</v>
      </c>
      <c r="AL113">
        <v>0.1320481104865443</v>
      </c>
      <c r="AM113">
        <v>4.982043501164235E-2</v>
      </c>
      <c r="AN113">
        <v>0.13842168090664542</v>
      </c>
      <c r="AO113">
        <v>0.24433813158739415</v>
      </c>
      <c r="AR113">
        <v>7.6549542809246842E-4</v>
      </c>
      <c r="AS113">
        <v>4.4093807863746746E-3</v>
      </c>
      <c r="AT113">
        <v>4.8914922199664026E-3</v>
      </c>
      <c r="AU113">
        <v>1.9588195596676569E-3</v>
      </c>
      <c r="AV113">
        <v>1.9949158109741475E-3</v>
      </c>
      <c r="AW113">
        <v>3.5289170443991713E-3</v>
      </c>
      <c r="AX113">
        <v>4.4779835672559276E-4</v>
      </c>
      <c r="AY113">
        <v>4.2916504771724423E-4</v>
      </c>
      <c r="BB113">
        <v>4.0822230487391108E-2</v>
      </c>
      <c r="BC113">
        <v>3.8154422402128935E-2</v>
      </c>
      <c r="BE113">
        <v>75540.929857495474</v>
      </c>
      <c r="BF113">
        <v>15.75499777272772</v>
      </c>
      <c r="BG113">
        <v>77415.102996768037</v>
      </c>
      <c r="BH113">
        <v>15.580436228645405</v>
      </c>
      <c r="BI113">
        <v>-1874.1731392725633</v>
      </c>
      <c r="BJ113">
        <v>0.17456154408231406</v>
      </c>
    </row>
    <row r="114" spans="3:62" x14ac:dyDescent="0.2">
      <c r="C114" s="121">
        <v>73202.132273668802</v>
      </c>
      <c r="D114">
        <v>15.184604230873287</v>
      </c>
      <c r="E114" s="121">
        <v>75048.655964735823</v>
      </c>
      <c r="F114" s="121">
        <v>15.047808711558131</v>
      </c>
      <c r="G114" s="121">
        <v>-1846.523691067021</v>
      </c>
      <c r="H114" s="121">
        <v>0.13679551931515554</v>
      </c>
      <c r="J114" s="118">
        <v>95000</v>
      </c>
      <c r="L114">
        <v>1</v>
      </c>
      <c r="N114" s="121"/>
      <c r="O114" s="121"/>
      <c r="P114" s="121"/>
      <c r="R114">
        <v>364.06776929342959</v>
      </c>
      <c r="S114">
        <v>59.356879245811299</v>
      </c>
      <c r="T114">
        <v>241.44040062744799</v>
      </c>
      <c r="U114">
        <v>73.009773459913816</v>
      </c>
      <c r="X114">
        <v>0.60227051902514639</v>
      </c>
      <c r="Y114">
        <v>0.56177662378826132</v>
      </c>
      <c r="Z114">
        <v>0.72173536377275771</v>
      </c>
      <c r="AA114">
        <v>0.84548293072133629</v>
      </c>
      <c r="AB114">
        <v>0.84564357665536627</v>
      </c>
      <c r="AC114">
        <v>0.66408663338001839</v>
      </c>
      <c r="AD114">
        <v>0.88333175308727485</v>
      </c>
      <c r="AE114">
        <v>0.7335261260276148</v>
      </c>
      <c r="AH114">
        <v>0.10018234040299334</v>
      </c>
      <c r="AI114">
        <v>4.7645619002970707E-2</v>
      </c>
      <c r="AJ114">
        <v>0.14268470594822635</v>
      </c>
      <c r="AK114">
        <v>0.25160640222787511</v>
      </c>
      <c r="AL114">
        <v>8.58045992761165E-2</v>
      </c>
      <c r="AM114">
        <v>0.30162354176819117</v>
      </c>
      <c r="AN114">
        <v>0.18062230594336692</v>
      </c>
      <c r="AO114">
        <v>1.3083934842820888E-2</v>
      </c>
      <c r="AR114">
        <v>9.4814058429559811E-4</v>
      </c>
      <c r="AS114">
        <v>4.1339177356314732E-3</v>
      </c>
      <c r="AT114">
        <v>5.0155477564697293E-3</v>
      </c>
      <c r="AU114">
        <v>2.0617022034498111E-3</v>
      </c>
      <c r="AV114">
        <v>1.9886029503955044E-3</v>
      </c>
      <c r="AW114">
        <v>3.3078000133763543E-3</v>
      </c>
      <c r="AX114">
        <v>4.4937436195136016E-4</v>
      </c>
      <c r="AY114">
        <v>5.4357334999299844E-4</v>
      </c>
      <c r="BB114">
        <v>5.6786647881868157E-2</v>
      </c>
      <c r="BC114">
        <v>3.9158235979025575E-2</v>
      </c>
      <c r="BE114">
        <v>73202.132273668802</v>
      </c>
      <c r="BF114">
        <v>15.184604230873287</v>
      </c>
      <c r="BG114">
        <v>75048.655964735823</v>
      </c>
      <c r="BH114">
        <v>15.047808711558131</v>
      </c>
      <c r="BI114">
        <v>-1846.523691067021</v>
      </c>
      <c r="BJ114">
        <v>0.13679551931515554</v>
      </c>
    </row>
    <row r="115" spans="3:62" x14ac:dyDescent="0.2">
      <c r="C115" s="121">
        <v>74914.064059473487</v>
      </c>
      <c r="D115">
        <v>13.214874156758992</v>
      </c>
      <c r="E115" s="121">
        <v>76971.787930422695</v>
      </c>
      <c r="F115" s="121">
        <v>13.072244455671274</v>
      </c>
      <c r="G115" s="121">
        <v>-2057.7238709492085</v>
      </c>
      <c r="H115" s="121">
        <v>0.14262970108771711</v>
      </c>
      <c r="J115" s="118">
        <v>97500</v>
      </c>
      <c r="L115">
        <v>1</v>
      </c>
      <c r="N115" s="121"/>
      <c r="O115" s="121"/>
      <c r="P115" s="121"/>
      <c r="R115">
        <v>304.55282989617712</v>
      </c>
      <c r="S115">
        <v>54.705550001648469</v>
      </c>
      <c r="T115">
        <v>250.39266410359704</v>
      </c>
      <c r="U115">
        <v>114.42563421817214</v>
      </c>
      <c r="X115">
        <v>0.93960969521725024</v>
      </c>
      <c r="Y115">
        <v>0.92805401290134448</v>
      </c>
      <c r="Z115">
        <v>0.87181048581267429</v>
      </c>
      <c r="AA115">
        <v>0.76633393210806189</v>
      </c>
      <c r="AB115">
        <v>0.58217452558142935</v>
      </c>
      <c r="AC115">
        <v>0.69427032018772361</v>
      </c>
      <c r="AD115">
        <v>0.81716321587414364</v>
      </c>
      <c r="AE115">
        <v>0.60173240312849119</v>
      </c>
      <c r="AH115">
        <v>8.3432639655162566E-2</v>
      </c>
      <c r="AI115">
        <v>0.12018248419232935</v>
      </c>
      <c r="AJ115">
        <v>4.1306755048205024E-2</v>
      </c>
      <c r="AK115">
        <v>2.0984395945384926E-2</v>
      </c>
      <c r="AL115">
        <v>0.17491877126443478</v>
      </c>
      <c r="AM115">
        <v>3.3637060874288194E-2</v>
      </c>
      <c r="AN115">
        <v>0.374449636268537</v>
      </c>
      <c r="AO115">
        <v>0.21921622799836415</v>
      </c>
      <c r="AR115">
        <v>6.9258336845563772E-4</v>
      </c>
      <c r="AS115">
        <v>4.2908421378011659E-3</v>
      </c>
      <c r="AT115">
        <v>5.4783669110570754E-3</v>
      </c>
      <c r="AU115">
        <v>1.7727216351818061E-3</v>
      </c>
      <c r="AV115">
        <v>1.9195136064994334E-3</v>
      </c>
      <c r="AW115">
        <v>3.6123377800413303E-3</v>
      </c>
      <c r="AX115">
        <v>4.0509253121412403E-4</v>
      </c>
      <c r="AY115">
        <v>4.5611274904611143E-4</v>
      </c>
      <c r="BB115">
        <v>4.8158915270852712E-2</v>
      </c>
      <c r="BC115">
        <v>5.4729958259415179E-2</v>
      </c>
      <c r="BE115">
        <v>74914.064059473487</v>
      </c>
      <c r="BF115">
        <v>13.214874156758992</v>
      </c>
      <c r="BG115">
        <v>76971.787930422695</v>
      </c>
      <c r="BH115">
        <v>13.072244455671274</v>
      </c>
      <c r="BI115">
        <v>-2057.7238709492085</v>
      </c>
      <c r="BJ115">
        <v>0.14262970108771711</v>
      </c>
    </row>
    <row r="116" spans="3:62" x14ac:dyDescent="0.2">
      <c r="C116" s="121">
        <v>67156.624244365797</v>
      </c>
      <c r="D116">
        <v>16.241347455180897</v>
      </c>
      <c r="E116" s="121">
        <v>69263.372492305629</v>
      </c>
      <c r="F116" s="121">
        <v>16.079955735075856</v>
      </c>
      <c r="G116" s="121">
        <v>-2106.7482479398313</v>
      </c>
      <c r="H116" s="121">
        <v>0.16139172010504055</v>
      </c>
      <c r="J116" s="118">
        <v>100000</v>
      </c>
      <c r="L116">
        <v>1</v>
      </c>
      <c r="N116" s="121"/>
      <c r="O116" s="121"/>
      <c r="P116" s="121"/>
      <c r="R116">
        <v>165.8346248927858</v>
      </c>
      <c r="S116">
        <v>62.737396079530868</v>
      </c>
      <c r="T116">
        <v>243.39656323854325</v>
      </c>
      <c r="U116">
        <v>103.42043168769844</v>
      </c>
      <c r="X116">
        <v>0.86914848924190424</v>
      </c>
      <c r="Y116">
        <v>0.60459930767447878</v>
      </c>
      <c r="Z116">
        <v>0.85145849379748573</v>
      </c>
      <c r="AA116">
        <v>0.73162556583692695</v>
      </c>
      <c r="AB116">
        <v>0.8010192717909943</v>
      </c>
      <c r="AC116">
        <v>0.8952588640289616</v>
      </c>
      <c r="AD116">
        <v>0.7319962014365804</v>
      </c>
      <c r="AE116">
        <v>0.86907010602733359</v>
      </c>
      <c r="AH116">
        <v>4.6270448235014916E-2</v>
      </c>
      <c r="AI116">
        <v>7.070735780924986E-3</v>
      </c>
      <c r="AJ116">
        <v>5.8980974401595221E-2</v>
      </c>
      <c r="AK116">
        <v>0.26967277622821983</v>
      </c>
      <c r="AL116">
        <v>0.17282668657667455</v>
      </c>
      <c r="AM116">
        <v>8.597332973765015E-2</v>
      </c>
      <c r="AN116">
        <v>8.6481845653339828E-2</v>
      </c>
      <c r="AO116">
        <v>0.11124374506736134</v>
      </c>
      <c r="AR116">
        <v>8.182914141490837E-4</v>
      </c>
      <c r="AS116">
        <v>4.5684634559982618E-3</v>
      </c>
      <c r="AT116">
        <v>5.0314065620096216E-3</v>
      </c>
      <c r="AU116">
        <v>2.0408086369176903E-3</v>
      </c>
      <c r="AV116">
        <v>1.9009347738504071E-3</v>
      </c>
      <c r="AW116">
        <v>3.2905349872265907E-3</v>
      </c>
      <c r="AX116">
        <v>3.9534245498960656E-4</v>
      </c>
      <c r="AY116">
        <v>4.9228728447481274E-4</v>
      </c>
      <c r="BB116">
        <v>4.3995625049444397E-2</v>
      </c>
      <c r="BC116">
        <v>2.4165775495959135E-2</v>
      </c>
      <c r="BE116">
        <v>67156.624244365797</v>
      </c>
      <c r="BF116">
        <v>16.241347455180897</v>
      </c>
      <c r="BG116">
        <v>69263.372492305629</v>
      </c>
      <c r="BH116">
        <v>16.079955735075856</v>
      </c>
      <c r="BI116">
        <v>-2106.7482479398313</v>
      </c>
      <c r="BJ116">
        <v>0.16139172010504055</v>
      </c>
    </row>
    <row r="117" spans="3:62" x14ac:dyDescent="0.2">
      <c r="C117" s="121">
        <v>73937.385584608128</v>
      </c>
      <c r="D117">
        <v>17.00882405468413</v>
      </c>
      <c r="E117" s="121">
        <v>75392.58365252112</v>
      </c>
      <c r="F117" s="121">
        <v>16.91950929962784</v>
      </c>
      <c r="G117" s="121">
        <v>-1455.198067912992</v>
      </c>
      <c r="H117" s="121">
        <v>8.9314755056289385E-2</v>
      </c>
      <c r="J117" s="118">
        <v>102500</v>
      </c>
      <c r="L117">
        <v>1</v>
      </c>
      <c r="N117" s="121"/>
      <c r="O117" s="121"/>
      <c r="P117" s="121"/>
      <c r="R117">
        <v>266.78046390187257</v>
      </c>
      <c r="S117">
        <v>61.048626205958769</v>
      </c>
      <c r="T117">
        <v>205.12350137441746</v>
      </c>
      <c r="U117">
        <v>97.206110527792816</v>
      </c>
      <c r="X117">
        <v>0.65008401704229646</v>
      </c>
      <c r="Y117">
        <v>0.89652283903219732</v>
      </c>
      <c r="Z117">
        <v>0.31799696636591757</v>
      </c>
      <c r="AA117">
        <v>0.56589095447015525</v>
      </c>
      <c r="AB117">
        <v>0.50777523302340344</v>
      </c>
      <c r="AC117">
        <v>0.84118851763070546</v>
      </c>
      <c r="AD117">
        <v>0.88116189883711349</v>
      </c>
      <c r="AE117">
        <v>0.82496559696050853</v>
      </c>
      <c r="AH117">
        <v>8.0576654883217635E-2</v>
      </c>
      <c r="AI117">
        <v>0.1329281340441143</v>
      </c>
      <c r="AJ117">
        <v>6.8858088479034185E-2</v>
      </c>
      <c r="AK117">
        <v>7.2768470080959768E-2</v>
      </c>
      <c r="AL117">
        <v>6.4705575878301502E-2</v>
      </c>
      <c r="AM117">
        <v>0.14724248918982819</v>
      </c>
      <c r="AN117">
        <v>0.11485812641264359</v>
      </c>
      <c r="AO117">
        <v>9.1994539572406442E-2</v>
      </c>
      <c r="AR117">
        <v>1.0773595193928065E-3</v>
      </c>
      <c r="AS117">
        <v>4.6487733116833407E-3</v>
      </c>
      <c r="AT117">
        <v>4.3272570781740247E-3</v>
      </c>
      <c r="AU117">
        <v>2.0664764429938476E-3</v>
      </c>
      <c r="AV117">
        <v>2.0251174574068553E-3</v>
      </c>
      <c r="AW117">
        <v>3.3578518721270375E-3</v>
      </c>
      <c r="AX117">
        <v>3.7138159641270145E-4</v>
      </c>
      <c r="AY117">
        <v>4.333283093306174E-4</v>
      </c>
      <c r="BB117">
        <v>5.404828522025773E-2</v>
      </c>
      <c r="BC117">
        <v>3.8728313762929074E-2</v>
      </c>
      <c r="BE117">
        <v>73937.385584608128</v>
      </c>
      <c r="BF117">
        <v>17.00882405468413</v>
      </c>
      <c r="BG117">
        <v>75392.58365252112</v>
      </c>
      <c r="BH117">
        <v>16.91950929962784</v>
      </c>
      <c r="BI117">
        <v>-1455.198067912992</v>
      </c>
      <c r="BJ117">
        <v>8.9314755056289385E-2</v>
      </c>
    </row>
    <row r="118" spans="3:62" x14ac:dyDescent="0.2">
      <c r="C118" s="123">
        <v>74877.983077845449</v>
      </c>
      <c r="D118">
        <v>15.991999340910258</v>
      </c>
      <c r="E118" s="123">
        <v>74977.886018560879</v>
      </c>
      <c r="F118" s="123">
        <v>15.918215144506037</v>
      </c>
      <c r="G118" s="123">
        <v>-99.902940715430304</v>
      </c>
      <c r="H118" s="123">
        <v>7.3784196404220737E-2</v>
      </c>
      <c r="J118" s="118">
        <v>105000</v>
      </c>
      <c r="L118">
        <v>1</v>
      </c>
      <c r="N118" s="121"/>
      <c r="O118" s="121"/>
      <c r="P118" s="121"/>
      <c r="R118">
        <v>360.81352516658865</v>
      </c>
      <c r="S118">
        <v>64.945370051343858</v>
      </c>
      <c r="T118">
        <v>291.5958593648482</v>
      </c>
      <c r="U118">
        <v>92.604587459366101</v>
      </c>
      <c r="X118">
        <v>0.95785799682530026</v>
      </c>
      <c r="Y118">
        <v>0.75550357244036992</v>
      </c>
      <c r="Z118">
        <v>0.94056763345285188</v>
      </c>
      <c r="AA118">
        <v>0.80351045377212882</v>
      </c>
      <c r="AB118">
        <v>0.69691107421700094</v>
      </c>
      <c r="AC118">
        <v>0.54524350736218874</v>
      </c>
      <c r="AD118">
        <v>0.84097827934383895</v>
      </c>
      <c r="AE118">
        <v>0.66084713400369677</v>
      </c>
      <c r="AH118">
        <v>9.1207123182197258E-2</v>
      </c>
      <c r="AI118">
        <v>1.0924053687064283E-2</v>
      </c>
      <c r="AJ118">
        <v>0.15959614736321004</v>
      </c>
      <c r="AK118">
        <v>0.12275715885632932</v>
      </c>
      <c r="AL118">
        <v>0.19956064479998958</v>
      </c>
      <c r="AM118">
        <v>0.10292335690725785</v>
      </c>
      <c r="AN118">
        <v>9.6863962214335575E-2</v>
      </c>
      <c r="AO118">
        <v>0.23815697442195627</v>
      </c>
      <c r="AR118">
        <v>6.9551545611733331E-4</v>
      </c>
      <c r="AS118">
        <v>4.3636181235917806E-3</v>
      </c>
      <c r="AT118">
        <v>4.9229078591227528E-3</v>
      </c>
      <c r="AU118">
        <v>2.1637613881648754E-3</v>
      </c>
      <c r="AV118">
        <v>1.8501778207703102E-3</v>
      </c>
      <c r="AW118">
        <v>3.4113969889562057E-3</v>
      </c>
      <c r="AX118">
        <v>4.5608302749222673E-4</v>
      </c>
      <c r="AY118">
        <v>4.9164448850691489E-4</v>
      </c>
      <c r="BB118">
        <v>5.7414432213211297E-2</v>
      </c>
      <c r="BC118">
        <v>4.7657162244935991E-2</v>
      </c>
      <c r="BE118">
        <v>74877.983077845449</v>
      </c>
      <c r="BF118">
        <v>15.991999340910258</v>
      </c>
      <c r="BG118">
        <v>74977.886018560879</v>
      </c>
      <c r="BH118">
        <v>15.918215144506037</v>
      </c>
      <c r="BI118">
        <v>-99.902940715430304</v>
      </c>
      <c r="BJ118">
        <v>7.3784196404220737E-2</v>
      </c>
    </row>
    <row r="119" spans="3:62" x14ac:dyDescent="0.2">
      <c r="C119" s="121">
        <v>67053.447477823764</v>
      </c>
      <c r="D119">
        <v>17.079219034253729</v>
      </c>
      <c r="E119" s="121">
        <v>68451.792984922547</v>
      </c>
      <c r="F119" s="121">
        <v>16.979581147806002</v>
      </c>
      <c r="G119" s="121">
        <v>-1398.3455070987839</v>
      </c>
      <c r="H119" s="121">
        <v>9.9637886447727197E-2</v>
      </c>
      <c r="J119" s="118">
        <v>107500</v>
      </c>
      <c r="L119">
        <v>1</v>
      </c>
      <c r="N119" s="121"/>
      <c r="O119" s="121"/>
      <c r="P119" s="121"/>
      <c r="R119">
        <v>364.20326207613499</v>
      </c>
      <c r="S119">
        <v>65.585492044936558</v>
      </c>
      <c r="T119">
        <v>279.17703941778774</v>
      </c>
      <c r="U119">
        <v>91.219593646155445</v>
      </c>
      <c r="X119">
        <v>0.46883964046477905</v>
      </c>
      <c r="Y119">
        <v>0.76381176703288867</v>
      </c>
      <c r="Z119">
        <v>0.60134312003960411</v>
      </c>
      <c r="AA119">
        <v>0.71377725565635264</v>
      </c>
      <c r="AB119">
        <v>0.53269889374964163</v>
      </c>
      <c r="AC119">
        <v>0.83804931995947918</v>
      </c>
      <c r="AD119">
        <v>0.86545878874122761</v>
      </c>
      <c r="AE119">
        <v>0.90224030966923041</v>
      </c>
      <c r="AH119">
        <v>7.2949723854104698E-2</v>
      </c>
      <c r="AI119">
        <v>0.20179031764837818</v>
      </c>
      <c r="AJ119">
        <v>7.2181683801990415E-2</v>
      </c>
      <c r="AK119">
        <v>0.15918346313265319</v>
      </c>
      <c r="AL119">
        <v>0.13110340010562394</v>
      </c>
      <c r="AM119">
        <v>0.13654379162266173</v>
      </c>
      <c r="AN119">
        <v>0.16082057131175032</v>
      </c>
      <c r="AO119">
        <v>9.7278116628620959E-2</v>
      </c>
      <c r="AR119">
        <v>7.5426930110277391E-4</v>
      </c>
      <c r="AS119">
        <v>4.755250730915872E-3</v>
      </c>
      <c r="AT119">
        <v>4.9124795138872045E-3</v>
      </c>
      <c r="AU119">
        <v>1.9723394064755009E-3</v>
      </c>
      <c r="AV119">
        <v>2.104613101659436E-3</v>
      </c>
      <c r="AW119">
        <v>3.2429903650005531E-3</v>
      </c>
      <c r="AX119">
        <v>3.4050452214773276E-4</v>
      </c>
      <c r="AY119">
        <v>3.8951760421210096E-4</v>
      </c>
      <c r="BB119">
        <v>4.3880167899707598E-2</v>
      </c>
      <c r="BC119">
        <v>7.3834610852268279E-2</v>
      </c>
      <c r="BE119">
        <v>67053.447477823764</v>
      </c>
      <c r="BF119">
        <v>17.079219034253729</v>
      </c>
      <c r="BG119">
        <v>68451.792984922547</v>
      </c>
      <c r="BH119">
        <v>16.979581147806002</v>
      </c>
      <c r="BI119">
        <v>-1398.3455070987839</v>
      </c>
      <c r="BJ119">
        <v>9.9637886447727197E-2</v>
      </c>
    </row>
    <row r="120" spans="3:62" x14ac:dyDescent="0.2">
      <c r="C120" s="121">
        <v>77056.391583733159</v>
      </c>
      <c r="D120">
        <v>16.087421083348623</v>
      </c>
      <c r="E120" s="121">
        <v>79528.73504940595</v>
      </c>
      <c r="F120" s="121">
        <v>15.896671784335515</v>
      </c>
      <c r="G120" s="121">
        <v>-2472.3434656727914</v>
      </c>
      <c r="H120" s="121">
        <v>0.19074929901310789</v>
      </c>
      <c r="J120" s="118">
        <v>110000</v>
      </c>
      <c r="L120">
        <v>1</v>
      </c>
      <c r="N120" s="121"/>
      <c r="O120" s="121"/>
      <c r="P120" s="121"/>
      <c r="R120">
        <v>298.69236580062631</v>
      </c>
      <c r="S120">
        <v>73.639355662823988</v>
      </c>
      <c r="T120">
        <v>240.93729812948928</v>
      </c>
      <c r="U120">
        <v>89.982787364719869</v>
      </c>
      <c r="X120">
        <v>0.78572373519384309</v>
      </c>
      <c r="Y120">
        <v>0.86238032574375101</v>
      </c>
      <c r="Z120">
        <v>0.81145759365701786</v>
      </c>
      <c r="AA120">
        <v>0.827100964090693</v>
      </c>
      <c r="AB120">
        <v>0.76529303828039752</v>
      </c>
      <c r="AC120">
        <v>0.776354702464081</v>
      </c>
      <c r="AD120">
        <v>0.71491291472203888</v>
      </c>
      <c r="AE120">
        <v>0.80251192130366511</v>
      </c>
      <c r="AH120">
        <v>7.8740409211417006E-2</v>
      </c>
      <c r="AI120">
        <v>0.28219275277809397</v>
      </c>
      <c r="AJ120">
        <v>0.21690590188854675</v>
      </c>
      <c r="AK120">
        <v>4.0011504675821152E-2</v>
      </c>
      <c r="AL120">
        <v>7.3563126015913527E-2</v>
      </c>
      <c r="AM120">
        <v>0.27260543118040348</v>
      </c>
      <c r="AN120">
        <v>0.2196383374536367</v>
      </c>
      <c r="AO120">
        <v>0.14198931832443951</v>
      </c>
      <c r="AR120">
        <v>9.7890449992477091E-4</v>
      </c>
      <c r="AS120">
        <v>4.3462426442091254E-3</v>
      </c>
      <c r="AT120">
        <v>5.0687939993405706E-3</v>
      </c>
      <c r="AU120">
        <v>2.0740705509693091E-3</v>
      </c>
      <c r="AV120">
        <v>2.0800859676871619E-3</v>
      </c>
      <c r="AW120">
        <v>3.8380724471128724E-3</v>
      </c>
      <c r="AX120">
        <v>4.107390402289246E-4</v>
      </c>
      <c r="AY120">
        <v>4.257098744840284E-4</v>
      </c>
      <c r="BB120">
        <v>6.0348876994071432E-2</v>
      </c>
      <c r="BC120">
        <v>6.3266386877185776E-2</v>
      </c>
      <c r="BE120">
        <v>77056.391583733159</v>
      </c>
      <c r="BF120">
        <v>16.087421083348623</v>
      </c>
      <c r="BG120">
        <v>79528.73504940595</v>
      </c>
      <c r="BH120">
        <v>15.896671784335515</v>
      </c>
      <c r="BI120">
        <v>-2472.3434656727914</v>
      </c>
      <c r="BJ120">
        <v>0.19074929901310789</v>
      </c>
    </row>
    <row r="121" spans="3:62" x14ac:dyDescent="0.2">
      <c r="C121" s="121">
        <v>77466.24055840724</v>
      </c>
      <c r="D121">
        <v>16.93920190021063</v>
      </c>
      <c r="E121" s="121">
        <v>79726.286789329592</v>
      </c>
      <c r="F121" s="121">
        <v>16.824727183852016</v>
      </c>
      <c r="G121" s="121">
        <v>-2260.0462309223512</v>
      </c>
      <c r="H121" s="121">
        <v>0.11447471635861461</v>
      </c>
      <c r="J121" s="118">
        <v>112500</v>
      </c>
      <c r="L121">
        <v>1</v>
      </c>
      <c r="N121" s="121"/>
      <c r="O121" s="121"/>
      <c r="P121" s="121"/>
      <c r="R121">
        <v>77.094446637558519</v>
      </c>
      <c r="S121">
        <v>68.41456109747638</v>
      </c>
      <c r="T121">
        <v>247.11293683707297</v>
      </c>
      <c r="U121">
        <v>92.449830543473766</v>
      </c>
      <c r="X121">
        <v>0.66824274761175884</v>
      </c>
      <c r="Y121">
        <v>0.9315890020175932</v>
      </c>
      <c r="Z121">
        <v>0.44692633366907453</v>
      </c>
      <c r="AA121">
        <v>0.43793728213841804</v>
      </c>
      <c r="AB121">
        <v>0.74557920162123825</v>
      </c>
      <c r="AC121">
        <v>0.91811217863435468</v>
      </c>
      <c r="AD121">
        <v>0.83082005570437256</v>
      </c>
      <c r="AE121">
        <v>0.91416170270873021</v>
      </c>
      <c r="AH121">
        <v>5.5466565679479607E-2</v>
      </c>
      <c r="AI121">
        <v>3.4717036720809613E-2</v>
      </c>
      <c r="AJ121">
        <v>0.20333466008931089</v>
      </c>
      <c r="AK121">
        <v>0.11024978721520418</v>
      </c>
      <c r="AL121">
        <v>0.11792411665816771</v>
      </c>
      <c r="AM121">
        <v>9.4416581398092281E-2</v>
      </c>
      <c r="AN121">
        <v>4.1689116290608341E-2</v>
      </c>
      <c r="AO121">
        <v>0.11282175160370345</v>
      </c>
      <c r="AR121">
        <v>7.869034688674023E-4</v>
      </c>
      <c r="AS121">
        <v>4.5918928086152722E-3</v>
      </c>
      <c r="AT121">
        <v>4.7867704990102169E-3</v>
      </c>
      <c r="AU121">
        <v>2.2587513168568218E-3</v>
      </c>
      <c r="AV121">
        <v>1.9150289361612367E-3</v>
      </c>
      <c r="AW121">
        <v>3.5007023422475303E-3</v>
      </c>
      <c r="AX121">
        <v>3.5958118723086979E-4</v>
      </c>
      <c r="AY121">
        <v>5.1915214806508292E-4</v>
      </c>
      <c r="BB121">
        <v>4.9619712880236588E-2</v>
      </c>
      <c r="BC121">
        <v>1.5926400105202677E-2</v>
      </c>
      <c r="BE121">
        <v>77466.24055840724</v>
      </c>
      <c r="BF121">
        <v>16.93920190021063</v>
      </c>
      <c r="BG121">
        <v>79726.286789329592</v>
      </c>
      <c r="BH121">
        <v>16.824727183852016</v>
      </c>
      <c r="BI121">
        <v>-2260.0462309223512</v>
      </c>
      <c r="BJ121">
        <v>0.11447471635861461</v>
      </c>
    </row>
    <row r="122" spans="3:62" x14ac:dyDescent="0.2">
      <c r="C122" s="121">
        <v>61514.317245685605</v>
      </c>
      <c r="D122">
        <v>17.844375658785228</v>
      </c>
      <c r="E122" s="121">
        <v>62975.719239082056</v>
      </c>
      <c r="F122" s="121">
        <v>17.755809291794769</v>
      </c>
      <c r="G122" s="121">
        <v>-1461.4019933964519</v>
      </c>
      <c r="H122" s="121">
        <v>8.85663669904595E-2</v>
      </c>
      <c r="J122" s="118">
        <v>115000</v>
      </c>
      <c r="L122">
        <v>1</v>
      </c>
      <c r="N122" s="121"/>
      <c r="O122" s="121"/>
      <c r="P122" s="121"/>
      <c r="R122">
        <v>171.42575989973267</v>
      </c>
      <c r="S122">
        <v>64.278895244589506</v>
      </c>
      <c r="T122">
        <v>266.70790935729735</v>
      </c>
      <c r="U122">
        <v>78.377750992162845</v>
      </c>
      <c r="X122">
        <v>0.87480194319767968</v>
      </c>
      <c r="Y122">
        <v>0.78952873205305263</v>
      </c>
      <c r="Z122">
        <v>0.94622192578021747</v>
      </c>
      <c r="AA122">
        <v>0.89781718362951279</v>
      </c>
      <c r="AB122">
        <v>0.84893486462098355</v>
      </c>
      <c r="AC122">
        <v>0.61519316506195765</v>
      </c>
      <c r="AD122">
        <v>0.81462385597924281</v>
      </c>
      <c r="AE122">
        <v>0.95081902360922277</v>
      </c>
      <c r="AH122">
        <v>9.82342184292051E-2</v>
      </c>
      <c r="AI122">
        <v>0.1143684849341986</v>
      </c>
      <c r="AJ122">
        <v>6.1289790033751679E-2</v>
      </c>
      <c r="AK122">
        <v>0.54123600100520353</v>
      </c>
      <c r="AL122">
        <v>0.51890921317838912</v>
      </c>
      <c r="AM122">
        <v>0.30578649186186402</v>
      </c>
      <c r="AN122">
        <v>0.34039498161180903</v>
      </c>
      <c r="AO122">
        <v>7.905316055869005E-2</v>
      </c>
      <c r="AR122">
        <v>1.0347999058711865E-3</v>
      </c>
      <c r="AS122">
        <v>4.039327238982854E-3</v>
      </c>
      <c r="AT122">
        <v>4.9320807480251168E-3</v>
      </c>
      <c r="AU122">
        <v>1.8102775579543113E-3</v>
      </c>
      <c r="AV122">
        <v>1.9348743018840935E-3</v>
      </c>
      <c r="AW122">
        <v>3.5099322109952702E-3</v>
      </c>
      <c r="AX122">
        <v>4.202758269865603E-4</v>
      </c>
      <c r="AY122">
        <v>4.475366679542736E-4</v>
      </c>
      <c r="BB122">
        <v>4.610607687307279E-2</v>
      </c>
      <c r="BC122">
        <v>1.4625301054750546E-2</v>
      </c>
      <c r="BE122">
        <v>61514.317245685605</v>
      </c>
      <c r="BF122">
        <v>17.844375658785228</v>
      </c>
      <c r="BG122">
        <v>62975.719239082056</v>
      </c>
      <c r="BH122">
        <v>17.755809291794769</v>
      </c>
      <c r="BI122">
        <v>-1461.4019933964519</v>
      </c>
      <c r="BJ122">
        <v>8.85663669904595E-2</v>
      </c>
    </row>
    <row r="123" spans="3:62" x14ac:dyDescent="0.2">
      <c r="C123" s="121">
        <v>69900.659978349737</v>
      </c>
      <c r="D123">
        <v>15.576247708968939</v>
      </c>
      <c r="E123" s="121">
        <v>72064.321073989646</v>
      </c>
      <c r="F123" s="121">
        <v>15.371102796946445</v>
      </c>
      <c r="G123" s="121">
        <v>-2163.661095639909</v>
      </c>
      <c r="H123" s="121">
        <v>0.20514491202249374</v>
      </c>
      <c r="J123" s="118">
        <v>117500</v>
      </c>
      <c r="L123">
        <v>1</v>
      </c>
      <c r="N123" s="121"/>
      <c r="O123" s="121"/>
      <c r="P123" s="121"/>
      <c r="R123">
        <v>329.20410694182203</v>
      </c>
      <c r="S123">
        <v>64.153668934231035</v>
      </c>
      <c r="T123">
        <v>219.98592293873503</v>
      </c>
      <c r="U123">
        <v>94.381303630957348</v>
      </c>
      <c r="X123">
        <v>0.76246493029735962</v>
      </c>
      <c r="Y123">
        <v>0.81036885590134655</v>
      </c>
      <c r="Z123">
        <v>0.73487000588825346</v>
      </c>
      <c r="AA123">
        <v>0.50295917213603303</v>
      </c>
      <c r="AB123">
        <v>0.82370812050433473</v>
      </c>
      <c r="AC123">
        <v>0.82568454189188722</v>
      </c>
      <c r="AD123">
        <v>0.80367074670938121</v>
      </c>
      <c r="AE123">
        <v>0.83293345217501125</v>
      </c>
      <c r="AH123">
        <v>0.35115301208256611</v>
      </c>
      <c r="AI123">
        <v>0.18546653198703622</v>
      </c>
      <c r="AJ123">
        <v>5.6616246778096624E-2</v>
      </c>
      <c r="AK123">
        <v>8.0521536646171343E-2</v>
      </c>
      <c r="AL123">
        <v>3.5613252732863754E-2</v>
      </c>
      <c r="AM123">
        <v>2.8173741864890745E-2</v>
      </c>
      <c r="AN123">
        <v>0.16355656918410222</v>
      </c>
      <c r="AO123">
        <v>0.13422013958881562</v>
      </c>
      <c r="AR123">
        <v>7.4181126002617376E-4</v>
      </c>
      <c r="AS123">
        <v>4.1991705324950042E-3</v>
      </c>
      <c r="AT123">
        <v>4.7800656914759338E-3</v>
      </c>
      <c r="AU123">
        <v>2.0043643368194974E-3</v>
      </c>
      <c r="AV123">
        <v>2.0141181394489616E-3</v>
      </c>
      <c r="AW123">
        <v>3.2652061379899698E-3</v>
      </c>
      <c r="AX123">
        <v>4.2935774562014029E-4</v>
      </c>
      <c r="AY123">
        <v>3.9776888084926533E-4</v>
      </c>
      <c r="BB123">
        <v>4.786841236413765E-2</v>
      </c>
      <c r="BC123">
        <v>9.0867793298614385E-2</v>
      </c>
      <c r="BE123">
        <v>69900.659978349737</v>
      </c>
      <c r="BF123">
        <v>15.576247708968939</v>
      </c>
      <c r="BG123">
        <v>72064.321073989646</v>
      </c>
      <c r="BH123">
        <v>15.371102796946445</v>
      </c>
      <c r="BI123">
        <v>-2163.661095639909</v>
      </c>
      <c r="BJ123">
        <v>0.20514491202249374</v>
      </c>
    </row>
    <row r="124" spans="3:62" x14ac:dyDescent="0.2">
      <c r="C124" s="121">
        <v>69159.447612949181</v>
      </c>
      <c r="D124">
        <v>15.004911425417985</v>
      </c>
      <c r="E124" s="121">
        <v>70645.859916028348</v>
      </c>
      <c r="F124" s="121">
        <v>14.918485973928744</v>
      </c>
      <c r="G124" s="121">
        <v>-1486.412303079167</v>
      </c>
      <c r="H124" s="121">
        <v>8.6425451489240857E-2</v>
      </c>
      <c r="J124" s="118">
        <v>120000</v>
      </c>
      <c r="L124">
        <v>1</v>
      </c>
      <c r="N124" s="121"/>
      <c r="O124" s="121"/>
      <c r="P124" s="121"/>
      <c r="R124">
        <v>307.96914269206428</v>
      </c>
      <c r="S124">
        <v>58.827434734261153</v>
      </c>
      <c r="T124">
        <v>279.62986810586028</v>
      </c>
      <c r="U124">
        <v>100.11963532646888</v>
      </c>
      <c r="X124">
        <v>0.89461224488025892</v>
      </c>
      <c r="Y124">
        <v>0.84910684510189249</v>
      </c>
      <c r="Z124">
        <v>0.66306846857604018</v>
      </c>
      <c r="AA124">
        <v>0.79617358687937334</v>
      </c>
      <c r="AB124">
        <v>0.72415080902508611</v>
      </c>
      <c r="AC124">
        <v>0.89559610387675259</v>
      </c>
      <c r="AD124">
        <v>0.83424941248526274</v>
      </c>
      <c r="AE124">
        <v>0.88251304434743216</v>
      </c>
      <c r="AH124">
        <v>4.574419307139288E-2</v>
      </c>
      <c r="AI124">
        <v>5.2895972289773052E-2</v>
      </c>
      <c r="AJ124">
        <v>8.3257278069363339E-2</v>
      </c>
      <c r="AK124">
        <v>0.1689157880414065</v>
      </c>
      <c r="AL124">
        <v>0.15545607733117495</v>
      </c>
      <c r="AM124">
        <v>8.466765886998151E-2</v>
      </c>
      <c r="AN124">
        <v>9.9095144793661882E-2</v>
      </c>
      <c r="AO124">
        <v>0.15896142037041927</v>
      </c>
      <c r="AR124">
        <v>9.5272454540762386E-4</v>
      </c>
      <c r="AS124">
        <v>4.5943205095414497E-3</v>
      </c>
      <c r="AT124">
        <v>5.1772141846180286E-3</v>
      </c>
      <c r="AU124">
        <v>1.8755675229499514E-3</v>
      </c>
      <c r="AV124">
        <v>2.2851575231841448E-3</v>
      </c>
      <c r="AW124">
        <v>3.7975014500244431E-3</v>
      </c>
      <c r="AX124">
        <v>4.070473751516257E-4</v>
      </c>
      <c r="AY124">
        <v>4.1740064278505067E-4</v>
      </c>
      <c r="BB124">
        <v>4.7984101301750202E-2</v>
      </c>
      <c r="BC124">
        <v>6.8654790401666999E-2</v>
      </c>
      <c r="BE124">
        <v>69159.447612949181</v>
      </c>
      <c r="BF124">
        <v>15.004911425417985</v>
      </c>
      <c r="BG124">
        <v>70645.859916028348</v>
      </c>
      <c r="BH124">
        <v>14.918485973928744</v>
      </c>
      <c r="BI124">
        <v>-1486.412303079167</v>
      </c>
      <c r="BJ124">
        <v>8.6425451489240857E-2</v>
      </c>
    </row>
    <row r="125" spans="3:62" x14ac:dyDescent="0.2">
      <c r="C125" s="121">
        <v>68809.148288148383</v>
      </c>
      <c r="D125">
        <v>14.699643929276299</v>
      </c>
      <c r="E125" s="121">
        <v>70104.757239517799</v>
      </c>
      <c r="F125" s="121">
        <v>14.61589928929919</v>
      </c>
      <c r="G125" s="121">
        <v>-1295.6089513694169</v>
      </c>
      <c r="H125" s="121">
        <v>8.3744639977108903E-2</v>
      </c>
      <c r="J125" s="118">
        <v>122500</v>
      </c>
      <c r="L125">
        <v>1</v>
      </c>
      <c r="N125" s="121"/>
      <c r="O125" s="121"/>
      <c r="P125" s="121"/>
      <c r="R125">
        <v>168.22512349102806</v>
      </c>
      <c r="S125">
        <v>61.145206774671401</v>
      </c>
      <c r="T125">
        <v>269.53406976446109</v>
      </c>
      <c r="U125">
        <v>93.196247304864897</v>
      </c>
      <c r="X125">
        <v>0.94210428148145575</v>
      </c>
      <c r="Y125">
        <v>0.64263783952550768</v>
      </c>
      <c r="Z125">
        <v>0.78458510028358397</v>
      </c>
      <c r="AA125">
        <v>0.71507579972144253</v>
      </c>
      <c r="AB125">
        <v>0.74170730792855877</v>
      </c>
      <c r="AC125">
        <v>0.7709411656893751</v>
      </c>
      <c r="AD125">
        <v>0.4775042854534276</v>
      </c>
      <c r="AE125">
        <v>0.41235713387797607</v>
      </c>
      <c r="AH125">
        <v>0.18700978760672438</v>
      </c>
      <c r="AI125">
        <v>0.10569920705222868</v>
      </c>
      <c r="AJ125">
        <v>0.11363471251508528</v>
      </c>
      <c r="AK125">
        <v>0.1356884279461269</v>
      </c>
      <c r="AL125">
        <v>0.33872133733192833</v>
      </c>
      <c r="AM125">
        <v>0.11946526500788146</v>
      </c>
      <c r="AN125">
        <v>0.25097928548724546</v>
      </c>
      <c r="AO125">
        <v>0.21911472514529973</v>
      </c>
      <c r="AR125">
        <v>9.2271328298132449E-4</v>
      </c>
      <c r="AS125">
        <v>4.8704985778762477E-3</v>
      </c>
      <c r="AT125">
        <v>4.7926610590983921E-3</v>
      </c>
      <c r="AU125">
        <v>2.0595236873999223E-3</v>
      </c>
      <c r="AV125">
        <v>1.9488177172659927E-3</v>
      </c>
      <c r="AW125">
        <v>3.5585615936651882E-3</v>
      </c>
      <c r="AX125">
        <v>4.4658613849557494E-4</v>
      </c>
      <c r="AY125">
        <v>3.3976284513525802E-4</v>
      </c>
      <c r="BB125">
        <v>4.6621916686891494E-2</v>
      </c>
      <c r="BC125">
        <v>3.7250835230253396E-2</v>
      </c>
      <c r="BE125">
        <v>68809.148288148383</v>
      </c>
      <c r="BF125">
        <v>14.699643929276299</v>
      </c>
      <c r="BG125">
        <v>70104.757239517799</v>
      </c>
      <c r="BH125">
        <v>14.61589928929919</v>
      </c>
      <c r="BI125">
        <v>-1295.6089513694169</v>
      </c>
      <c r="BJ125">
        <v>8.3744639977108903E-2</v>
      </c>
    </row>
    <row r="126" spans="3:62" x14ac:dyDescent="0.2">
      <c r="C126" s="121">
        <v>77458.55895628198</v>
      </c>
      <c r="D126">
        <v>15.115951922850041</v>
      </c>
      <c r="E126" s="121">
        <v>79979.12984224486</v>
      </c>
      <c r="F126" s="121">
        <v>14.985565773075988</v>
      </c>
      <c r="G126" s="121">
        <v>-2520.5708859628794</v>
      </c>
      <c r="H126" s="121">
        <v>0.13038614977405238</v>
      </c>
      <c r="J126" s="118">
        <v>125000</v>
      </c>
      <c r="L126">
        <v>1</v>
      </c>
      <c r="N126" s="121"/>
      <c r="O126" s="121"/>
      <c r="P126" s="121"/>
      <c r="R126">
        <v>169.34060588686441</v>
      </c>
      <c r="S126">
        <v>61.517511677108622</v>
      </c>
      <c r="T126">
        <v>285.06879621066327</v>
      </c>
      <c r="U126">
        <v>86.294911193707605</v>
      </c>
      <c r="X126">
        <v>0.51768945667249811</v>
      </c>
      <c r="Y126">
        <v>0.83499210745702479</v>
      </c>
      <c r="Z126">
        <v>0.55106798299455428</v>
      </c>
      <c r="AA126">
        <v>0.75402338871491459</v>
      </c>
      <c r="AB126">
        <v>0.87512712045193553</v>
      </c>
      <c r="AC126">
        <v>0.91075124516347161</v>
      </c>
      <c r="AD126">
        <v>0.77527557529238988</v>
      </c>
      <c r="AE126">
        <v>0.94520622527719755</v>
      </c>
      <c r="AH126">
        <v>8.6905071403566847E-2</v>
      </c>
      <c r="AI126">
        <v>9.5137132758802867E-2</v>
      </c>
      <c r="AJ126">
        <v>0.12402429013483252</v>
      </c>
      <c r="AK126">
        <v>0.12292568516172986</v>
      </c>
      <c r="AL126">
        <v>0.29712537677030171</v>
      </c>
      <c r="AM126">
        <v>0.10315163002667704</v>
      </c>
      <c r="AN126">
        <v>0.29267916950135242</v>
      </c>
      <c r="AO126">
        <v>9.4772922006885141E-2</v>
      </c>
      <c r="AR126">
        <v>9.6761938648071144E-4</v>
      </c>
      <c r="AS126">
        <v>4.1475684836906543E-3</v>
      </c>
      <c r="AT126">
        <v>4.6525269255026768E-3</v>
      </c>
      <c r="AU126">
        <v>2.1525839730869301E-3</v>
      </c>
      <c r="AV126">
        <v>1.8962555709380611E-3</v>
      </c>
      <c r="AW126">
        <v>3.6222749233589813E-3</v>
      </c>
      <c r="AX126">
        <v>4.0876497687847291E-4</v>
      </c>
      <c r="AY126">
        <v>5.6981418042600929E-4</v>
      </c>
      <c r="BB126">
        <v>5.4532451198063714E-2</v>
      </c>
      <c r="BC126">
        <v>7.837831985939725E-2</v>
      </c>
      <c r="BE126">
        <v>77458.55895628198</v>
      </c>
      <c r="BF126">
        <v>15.115951922850041</v>
      </c>
      <c r="BG126">
        <v>79979.12984224486</v>
      </c>
      <c r="BH126">
        <v>14.985565773075988</v>
      </c>
      <c r="BI126">
        <v>-2520.5708859628794</v>
      </c>
      <c r="BJ126">
        <v>0.13038614977405238</v>
      </c>
    </row>
    <row r="127" spans="3:62" x14ac:dyDescent="0.2">
      <c r="C127" s="121">
        <v>76919.908790879155</v>
      </c>
      <c r="D127">
        <v>15.141620549269415</v>
      </c>
      <c r="E127" s="121">
        <v>77811.109731894903</v>
      </c>
      <c r="F127" s="121">
        <v>15.085443553858688</v>
      </c>
      <c r="G127" s="121">
        <v>-891.20094101574796</v>
      </c>
      <c r="H127" s="121">
        <v>5.617699541072696E-2</v>
      </c>
      <c r="J127" s="118">
        <v>127500</v>
      </c>
      <c r="L127">
        <v>0.999</v>
      </c>
      <c r="N127" s="121"/>
      <c r="O127" s="121"/>
      <c r="P127" s="121"/>
      <c r="R127">
        <v>427.84998092691978</v>
      </c>
      <c r="S127">
        <v>68.035810724757511</v>
      </c>
      <c r="T127">
        <v>253.76940196627149</v>
      </c>
      <c r="U127">
        <v>96.545011710010712</v>
      </c>
      <c r="X127">
        <v>0.58271364397954861</v>
      </c>
      <c r="Y127">
        <v>0.9391668153189876</v>
      </c>
      <c r="Z127">
        <v>0.71137711718740804</v>
      </c>
      <c r="AA127">
        <v>0.68813354634987733</v>
      </c>
      <c r="AB127">
        <v>0.80691832421773868</v>
      </c>
      <c r="AC127">
        <v>0.74521869146638642</v>
      </c>
      <c r="AD127">
        <v>0.7831629826911144</v>
      </c>
      <c r="AE127">
        <v>0.9038658006906235</v>
      </c>
      <c r="AH127">
        <v>0.2510926079429473</v>
      </c>
      <c r="AI127">
        <v>7.5931983667248848E-2</v>
      </c>
      <c r="AJ127">
        <v>0.12221889558237276</v>
      </c>
      <c r="AK127">
        <v>7.7538625925979932E-2</v>
      </c>
      <c r="AL127">
        <v>4.8091065212867989E-2</v>
      </c>
      <c r="AM127">
        <v>8.2166862395671614E-2</v>
      </c>
      <c r="AN127">
        <v>3.4382191306660648E-2</v>
      </c>
      <c r="AO127">
        <v>1.4556698829952475E-2</v>
      </c>
      <c r="AR127">
        <v>9.3027306874382543E-4</v>
      </c>
      <c r="AS127">
        <v>4.4589666602926417E-3</v>
      </c>
      <c r="AT127">
        <v>5.3164179099052244E-3</v>
      </c>
      <c r="AU127">
        <v>1.9958838081177541E-3</v>
      </c>
      <c r="AV127">
        <v>1.953854232690279E-3</v>
      </c>
      <c r="AW127">
        <v>3.1306719839806728E-3</v>
      </c>
      <c r="AX127">
        <v>3.3046251412305506E-4</v>
      </c>
      <c r="AY127">
        <v>5.4233739244125001E-4</v>
      </c>
      <c r="BB127">
        <v>5.1890740901230137E-2</v>
      </c>
      <c r="BC127">
        <v>1.9878142379723233E-2</v>
      </c>
      <c r="BE127">
        <v>76919.908790879155</v>
      </c>
      <c r="BF127">
        <v>15.141620549269415</v>
      </c>
      <c r="BG127">
        <v>77811.109731894903</v>
      </c>
      <c r="BH127">
        <v>15.085443553858688</v>
      </c>
      <c r="BI127">
        <v>-891.20094101574796</v>
      </c>
      <c r="BJ127">
        <v>5.617699541072696E-2</v>
      </c>
    </row>
    <row r="128" spans="3:62" x14ac:dyDescent="0.2">
      <c r="C128" s="121">
        <v>58613.829209699135</v>
      </c>
      <c r="D128">
        <v>19.114439275885804</v>
      </c>
      <c r="E128" s="121">
        <v>60372.65134826563</v>
      </c>
      <c r="F128" s="121">
        <v>19.060284209700736</v>
      </c>
      <c r="G128" s="121">
        <v>-1758.8221385664947</v>
      </c>
      <c r="H128" s="121">
        <v>5.4155066185067824E-2</v>
      </c>
      <c r="J128" s="118">
        <v>130000</v>
      </c>
      <c r="L128">
        <v>0.999</v>
      </c>
      <c r="N128" s="121"/>
      <c r="O128" s="121"/>
      <c r="P128" s="121"/>
      <c r="R128">
        <v>123.27541949905454</v>
      </c>
      <c r="S128">
        <v>56.671735295236857</v>
      </c>
      <c r="T128">
        <v>227.86088097512408</v>
      </c>
      <c r="U128">
        <v>105.58250080543381</v>
      </c>
      <c r="X128">
        <v>0.91958936270823965</v>
      </c>
      <c r="Y128">
        <v>0.79263974851108687</v>
      </c>
      <c r="Z128">
        <v>0.52352662363865698</v>
      </c>
      <c r="AA128">
        <v>0.83349368371071364</v>
      </c>
      <c r="AB128">
        <v>0.52908066116588304</v>
      </c>
      <c r="AC128">
        <v>0.80711970211285422</v>
      </c>
      <c r="AD128">
        <v>0.55129018038340782</v>
      </c>
      <c r="AE128">
        <v>0.66086927573231846</v>
      </c>
      <c r="AH128">
        <v>4.7315454579927696E-2</v>
      </c>
      <c r="AI128">
        <v>0.15958004962557326</v>
      </c>
      <c r="AJ128">
        <v>0.13312518607923518</v>
      </c>
      <c r="AK128">
        <v>4.1763563084542543E-3</v>
      </c>
      <c r="AL128">
        <v>0.11284151667385267</v>
      </c>
      <c r="AM128">
        <v>0.12303820993711434</v>
      </c>
      <c r="AN128">
        <v>7.1104025394340464E-2</v>
      </c>
      <c r="AO128">
        <v>8.0602664383131351E-2</v>
      </c>
      <c r="AR128">
        <v>8.751978999845156E-4</v>
      </c>
      <c r="AS128">
        <v>4.1468861250507248E-3</v>
      </c>
      <c r="AT128">
        <v>5.1018034036858229E-3</v>
      </c>
      <c r="AU128">
        <v>1.8537200081558758E-3</v>
      </c>
      <c r="AV128">
        <v>1.9769042276029619E-3</v>
      </c>
      <c r="AW128">
        <v>3.6141045721145293E-3</v>
      </c>
      <c r="AX128">
        <v>3.3696398534030931E-4</v>
      </c>
      <c r="AY128">
        <v>3.1910720946787941E-4</v>
      </c>
      <c r="BB128">
        <v>5.6385803796703104E-2</v>
      </c>
      <c r="BC128">
        <v>2.4462201833685734E-2</v>
      </c>
      <c r="BE128">
        <v>58613.829209699135</v>
      </c>
      <c r="BF128">
        <v>19.114439275885804</v>
      </c>
      <c r="BG128">
        <v>60372.65134826563</v>
      </c>
      <c r="BH128">
        <v>19.060284209700736</v>
      </c>
      <c r="BI128">
        <v>-1758.8221385664947</v>
      </c>
      <c r="BJ128">
        <v>5.4155066185067824E-2</v>
      </c>
    </row>
    <row r="129" spans="3:62" x14ac:dyDescent="0.2">
      <c r="C129" s="121">
        <v>85574.471831119983</v>
      </c>
      <c r="D129">
        <v>14.27564569329412</v>
      </c>
      <c r="E129" s="121">
        <v>87519.731739883428</v>
      </c>
      <c r="F129" s="121">
        <v>14.115288751136028</v>
      </c>
      <c r="G129" s="121">
        <v>-1945.2599087634444</v>
      </c>
      <c r="H129" s="121">
        <v>0.16035694215809215</v>
      </c>
      <c r="J129" s="118">
        <v>132500</v>
      </c>
      <c r="L129">
        <v>0.999</v>
      </c>
      <c r="N129" s="121"/>
      <c r="O129" s="121"/>
      <c r="P129" s="121"/>
      <c r="R129">
        <v>221.76147115436694</v>
      </c>
      <c r="S129">
        <v>67.918010304832166</v>
      </c>
      <c r="T129">
        <v>274.60223680130036</v>
      </c>
      <c r="U129">
        <v>84.215671870623041</v>
      </c>
      <c r="X129">
        <v>0.70180173028033488</v>
      </c>
      <c r="Y129">
        <v>0.75286369892253258</v>
      </c>
      <c r="Z129">
        <v>0.78340199575889347</v>
      </c>
      <c r="AA129">
        <v>0.8491776596625159</v>
      </c>
      <c r="AB129">
        <v>0.69059237152007746</v>
      </c>
      <c r="AC129">
        <v>0.83502163925559736</v>
      </c>
      <c r="AD129">
        <v>0.85340328795744613</v>
      </c>
      <c r="AE129">
        <v>0.75937704786572602</v>
      </c>
      <c r="AH129">
        <v>4.7773960450984032E-2</v>
      </c>
      <c r="AI129">
        <v>1.4855721208756001E-2</v>
      </c>
      <c r="AJ129">
        <v>0.10501397721795502</v>
      </c>
      <c r="AK129">
        <v>0.40223837246172789</v>
      </c>
      <c r="AL129">
        <v>0.13456581276296387</v>
      </c>
      <c r="AM129">
        <v>0.14538488484286516</v>
      </c>
      <c r="AN129">
        <v>5.9261435394423856E-2</v>
      </c>
      <c r="AO129">
        <v>0.20667238662814402</v>
      </c>
      <c r="AR129">
        <v>9.7810545636145552E-4</v>
      </c>
      <c r="AS129">
        <v>4.0862011678824773E-3</v>
      </c>
      <c r="AT129">
        <v>4.6751387741086501E-3</v>
      </c>
      <c r="AU129">
        <v>1.8878951052713571E-3</v>
      </c>
      <c r="AV129">
        <v>1.9740355131373987E-3</v>
      </c>
      <c r="AW129">
        <v>3.2204183181709007E-3</v>
      </c>
      <c r="AX129">
        <v>4.1737874393221741E-4</v>
      </c>
      <c r="AY129">
        <v>4.5478594528147731E-4</v>
      </c>
      <c r="BB129">
        <v>5.5087837183677046E-2</v>
      </c>
      <c r="BC129">
        <v>9.5524939843968704E-2</v>
      </c>
      <c r="BE129">
        <v>85574.471831119983</v>
      </c>
      <c r="BF129">
        <v>14.27564569329412</v>
      </c>
      <c r="BG129">
        <v>87519.731739883428</v>
      </c>
      <c r="BH129">
        <v>14.115288751136028</v>
      </c>
      <c r="BI129">
        <v>-1945.2599087634444</v>
      </c>
      <c r="BJ129">
        <v>0.16035694215809215</v>
      </c>
    </row>
    <row r="130" spans="3:62" x14ac:dyDescent="0.2">
      <c r="C130" s="121">
        <v>81242.549415033529</v>
      </c>
      <c r="D130">
        <v>13.320046893572128</v>
      </c>
      <c r="E130" s="121">
        <v>83677.457785727645</v>
      </c>
      <c r="F130" s="121">
        <v>13.222698575575178</v>
      </c>
      <c r="G130" s="121">
        <v>-2434.9083706941165</v>
      </c>
      <c r="H130" s="121">
        <v>9.7348317996949874E-2</v>
      </c>
      <c r="J130" s="118">
        <v>135000</v>
      </c>
      <c r="L130">
        <v>0.999</v>
      </c>
      <c r="N130" s="121"/>
      <c r="O130" s="121"/>
      <c r="P130" s="121"/>
      <c r="R130">
        <v>189.99390813261985</v>
      </c>
      <c r="S130">
        <v>64.243961793324587</v>
      </c>
      <c r="T130">
        <v>288.55732258443646</v>
      </c>
      <c r="U130">
        <v>112.96136666318564</v>
      </c>
      <c r="X130">
        <v>0.66812726848579818</v>
      </c>
      <c r="Y130">
        <v>0.74524667254999966</v>
      </c>
      <c r="Z130">
        <v>0.68234461784493683</v>
      </c>
      <c r="AA130">
        <v>0.73968282541175612</v>
      </c>
      <c r="AB130">
        <v>0.82478314051710189</v>
      </c>
      <c r="AC130">
        <v>0.56505387498575588</v>
      </c>
      <c r="AD130">
        <v>0.81140626148544748</v>
      </c>
      <c r="AE130">
        <v>0.80387310329552852</v>
      </c>
      <c r="AH130">
        <v>3.4241955614883857E-2</v>
      </c>
      <c r="AI130">
        <v>0.15359123872318781</v>
      </c>
      <c r="AJ130">
        <v>0.14874340080319159</v>
      </c>
      <c r="AK130">
        <v>6.867037789147179E-2</v>
      </c>
      <c r="AL130">
        <v>4.4803374862299572E-2</v>
      </c>
      <c r="AM130">
        <v>8.9803629770423665E-2</v>
      </c>
      <c r="AN130">
        <v>2.9296564659177182E-2</v>
      </c>
      <c r="AO130">
        <v>8.2615049379195282E-2</v>
      </c>
      <c r="AR130">
        <v>9.0061879834468783E-4</v>
      </c>
      <c r="AS130">
        <v>4.4485224096500455E-3</v>
      </c>
      <c r="AT130">
        <v>4.9274644983154561E-3</v>
      </c>
      <c r="AU130">
        <v>2.1810848598837751E-3</v>
      </c>
      <c r="AV130">
        <v>2.0797459079350267E-3</v>
      </c>
      <c r="AW130">
        <v>3.3196476976816575E-3</v>
      </c>
      <c r="AX130">
        <v>4.2514100123569598E-4</v>
      </c>
      <c r="AY130">
        <v>5.0089472422754078E-4</v>
      </c>
      <c r="BB130">
        <v>5.0549095078435413E-2</v>
      </c>
      <c r="BC130">
        <v>6.7609818929064702E-2</v>
      </c>
      <c r="BE130">
        <v>81242.549415033529</v>
      </c>
      <c r="BF130">
        <v>13.320046893572128</v>
      </c>
      <c r="BG130">
        <v>83677.457785727645</v>
      </c>
      <c r="BH130">
        <v>13.222698575575178</v>
      </c>
      <c r="BI130">
        <v>-2434.9083706941165</v>
      </c>
      <c r="BJ130">
        <v>9.7348317996949874E-2</v>
      </c>
    </row>
    <row r="131" spans="3:62" x14ac:dyDescent="0.2">
      <c r="C131" s="121">
        <v>60599.943349464826</v>
      </c>
      <c r="D131">
        <v>18.86392780062393</v>
      </c>
      <c r="E131" s="121">
        <v>62274.856950407266</v>
      </c>
      <c r="F131" s="121">
        <v>18.749042090125307</v>
      </c>
      <c r="G131" s="121">
        <v>-1674.9136009424401</v>
      </c>
      <c r="H131" s="121">
        <v>0.11488571049862273</v>
      </c>
      <c r="J131" s="118">
        <v>137500</v>
      </c>
      <c r="L131">
        <v>0.999</v>
      </c>
      <c r="N131" s="121"/>
      <c r="O131" s="121"/>
      <c r="P131" s="121"/>
      <c r="R131">
        <v>259.06979840377312</v>
      </c>
      <c r="S131">
        <v>61.783441437777277</v>
      </c>
      <c r="T131">
        <v>276.68115435114208</v>
      </c>
      <c r="U131">
        <v>111.69953914508554</v>
      </c>
      <c r="X131">
        <v>0.68385322219187572</v>
      </c>
      <c r="Y131">
        <v>0.74829880950769068</v>
      </c>
      <c r="Z131">
        <v>0.80257342197397818</v>
      </c>
      <c r="AA131">
        <v>0.88040050926732993</v>
      </c>
      <c r="AB131">
        <v>0.7411209795090663</v>
      </c>
      <c r="AC131">
        <v>0.79489926063642879</v>
      </c>
      <c r="AD131">
        <v>0.85791556951337489</v>
      </c>
      <c r="AE131">
        <v>0.61487757020226075</v>
      </c>
      <c r="AH131">
        <v>4.9799040556615548E-2</v>
      </c>
      <c r="AI131">
        <v>0.17940431417633829</v>
      </c>
      <c r="AJ131">
        <v>2.676669619384775E-2</v>
      </c>
      <c r="AK131">
        <v>0.28521346843260442</v>
      </c>
      <c r="AL131">
        <v>8.4144048749179579E-2</v>
      </c>
      <c r="AM131">
        <v>6.6298646816838169E-2</v>
      </c>
      <c r="AN131">
        <v>0.13664310026749604</v>
      </c>
      <c r="AO131">
        <v>7.4647134079661726E-2</v>
      </c>
      <c r="AR131">
        <v>9.8852222560397163E-4</v>
      </c>
      <c r="AS131">
        <v>4.4039948373057556E-3</v>
      </c>
      <c r="AT131">
        <v>4.9461262513151938E-3</v>
      </c>
      <c r="AU131">
        <v>2.1860431302049843E-3</v>
      </c>
      <c r="AV131">
        <v>2.1228833700546179E-3</v>
      </c>
      <c r="AW131">
        <v>3.1476733985163091E-3</v>
      </c>
      <c r="AX131">
        <v>4.9529506348622299E-4</v>
      </c>
      <c r="AY131">
        <v>4.9641656537036116E-4</v>
      </c>
      <c r="BB131">
        <v>4.8200640303645043E-2</v>
      </c>
      <c r="BC131">
        <v>4.4048145751037597E-2</v>
      </c>
      <c r="BE131">
        <v>60599.943349464826</v>
      </c>
      <c r="BF131">
        <v>18.86392780062393</v>
      </c>
      <c r="BG131">
        <v>62274.856950407266</v>
      </c>
      <c r="BH131">
        <v>18.749042090125307</v>
      </c>
      <c r="BI131">
        <v>-1674.9136009424401</v>
      </c>
      <c r="BJ131">
        <v>0.11488571049862273</v>
      </c>
    </row>
    <row r="132" spans="3:62" x14ac:dyDescent="0.2">
      <c r="C132" s="121">
        <v>72433.25282400439</v>
      </c>
      <c r="D132">
        <v>16.31296415304335</v>
      </c>
      <c r="E132" s="121">
        <v>74590.604320110855</v>
      </c>
      <c r="F132" s="121">
        <v>16.147398733885446</v>
      </c>
      <c r="G132" s="121">
        <v>-2157.3514961064648</v>
      </c>
      <c r="H132" s="121">
        <v>0.1655654191579039</v>
      </c>
      <c r="J132" s="118">
        <v>140000</v>
      </c>
      <c r="L132">
        <v>0.999</v>
      </c>
      <c r="N132" s="121"/>
      <c r="O132" s="121"/>
      <c r="P132" s="121"/>
      <c r="R132">
        <v>235.63992015283341</v>
      </c>
      <c r="S132">
        <v>59.096609767777736</v>
      </c>
      <c r="T132">
        <v>254.05127112780929</v>
      </c>
      <c r="U132">
        <v>87.232625427671707</v>
      </c>
      <c r="X132">
        <v>0.81479479870886895</v>
      </c>
      <c r="Y132">
        <v>0.62597424240484467</v>
      </c>
      <c r="Z132">
        <v>0.7588308707812994</v>
      </c>
      <c r="AA132">
        <v>0.81386453382055068</v>
      </c>
      <c r="AB132">
        <v>0.71180679338665886</v>
      </c>
      <c r="AC132">
        <v>0.68638962490836319</v>
      </c>
      <c r="AD132">
        <v>0.67949847460632218</v>
      </c>
      <c r="AE132">
        <v>0.68400230072263646</v>
      </c>
      <c r="AH132">
        <v>5.4397442641028304E-2</v>
      </c>
      <c r="AI132">
        <v>0.22401901867360319</v>
      </c>
      <c r="AJ132">
        <v>0.28942260757095617</v>
      </c>
      <c r="AK132">
        <v>8.3798443305806547E-2</v>
      </c>
      <c r="AL132">
        <v>8.0062408339703128E-2</v>
      </c>
      <c r="AM132">
        <v>4.3720477261112167E-2</v>
      </c>
      <c r="AN132">
        <v>4.0510554629157314E-2</v>
      </c>
      <c r="AO132">
        <v>0.22415509520366206</v>
      </c>
      <c r="AR132">
        <v>8.4656930162299202E-4</v>
      </c>
      <c r="AS132">
        <v>4.4923550827267716E-3</v>
      </c>
      <c r="AT132">
        <v>5.1456432986879408E-3</v>
      </c>
      <c r="AU132">
        <v>1.9617520981947E-3</v>
      </c>
      <c r="AV132">
        <v>2.1167801120224317E-3</v>
      </c>
      <c r="AW132">
        <v>3.1509485671804686E-3</v>
      </c>
      <c r="AX132">
        <v>4.0353768203382767E-4</v>
      </c>
      <c r="AY132">
        <v>4.0563692611574303E-4</v>
      </c>
      <c r="BB132">
        <v>4.6377876902434147E-2</v>
      </c>
      <c r="BC132">
        <v>5.7491413851419537E-2</v>
      </c>
      <c r="BE132">
        <v>72433.25282400439</v>
      </c>
      <c r="BF132">
        <v>16.31296415304335</v>
      </c>
      <c r="BG132">
        <v>74590.604320110855</v>
      </c>
      <c r="BH132">
        <v>16.147398733885446</v>
      </c>
      <c r="BI132">
        <v>-2157.3514961064648</v>
      </c>
      <c r="BJ132">
        <v>0.1655654191579039</v>
      </c>
    </row>
    <row r="133" spans="3:62" x14ac:dyDescent="0.2">
      <c r="C133" s="121">
        <v>67893.586868570797</v>
      </c>
      <c r="D133">
        <v>16.677141411698468</v>
      </c>
      <c r="E133" s="121">
        <v>68872.100906172273</v>
      </c>
      <c r="F133" s="121">
        <v>16.561831235892299</v>
      </c>
      <c r="G133" s="121">
        <v>-978.51403760147514</v>
      </c>
      <c r="H133" s="121">
        <v>0.11531017580616876</v>
      </c>
      <c r="J133" s="118">
        <v>142500</v>
      </c>
      <c r="L133">
        <v>0.999</v>
      </c>
      <c r="N133" s="121"/>
      <c r="O133" s="121"/>
      <c r="P133" s="121"/>
      <c r="R133">
        <v>249.93670679108172</v>
      </c>
      <c r="S133">
        <v>64.787095107179056</v>
      </c>
      <c r="T133">
        <v>273.02523607895148</v>
      </c>
      <c r="U133">
        <v>98.341396987308883</v>
      </c>
      <c r="X133">
        <v>0.76824645305287897</v>
      </c>
      <c r="Y133">
        <v>0.69848214758509009</v>
      </c>
      <c r="Z133">
        <v>0.66429333044104988</v>
      </c>
      <c r="AA133">
        <v>0.67895204434310308</v>
      </c>
      <c r="AB133">
        <v>0.66328694605291638</v>
      </c>
      <c r="AC133">
        <v>0.77476429877212138</v>
      </c>
      <c r="AD133">
        <v>0.76432341753342103</v>
      </c>
      <c r="AE133">
        <v>0.88445136368896804</v>
      </c>
      <c r="AH133">
        <v>0.29145971113561364</v>
      </c>
      <c r="AI133">
        <v>8.7369170321625833E-2</v>
      </c>
      <c r="AJ133">
        <v>0.14594351438251896</v>
      </c>
      <c r="AK133">
        <v>7.8947534167342903E-2</v>
      </c>
      <c r="AL133">
        <v>0.14595272587020114</v>
      </c>
      <c r="AM133">
        <v>4.1372624137859026E-2</v>
      </c>
      <c r="AN133">
        <v>9.2575938252326351E-2</v>
      </c>
      <c r="AO133">
        <v>8.4822429214300055E-2</v>
      </c>
      <c r="AR133">
        <v>8.6798880509005656E-4</v>
      </c>
      <c r="AS133">
        <v>4.2330853248676078E-3</v>
      </c>
      <c r="AT133">
        <v>5.1815429233466048E-3</v>
      </c>
      <c r="AU133">
        <v>2.0854972932501381E-3</v>
      </c>
      <c r="AV133">
        <v>1.8043700064660196E-3</v>
      </c>
      <c r="AW133">
        <v>3.5434344601464884E-3</v>
      </c>
      <c r="AX133">
        <v>3.08661167370422E-4</v>
      </c>
      <c r="AY133">
        <v>3.9698771652822381E-4</v>
      </c>
      <c r="BB133">
        <v>5.694977482415664E-2</v>
      </c>
      <c r="BC133">
        <v>7.5019246571045417E-2</v>
      </c>
      <c r="BE133">
        <v>67893.586868570797</v>
      </c>
      <c r="BF133">
        <v>16.677141411698468</v>
      </c>
      <c r="BG133">
        <v>68872.100906172273</v>
      </c>
      <c r="BH133">
        <v>16.561831235892299</v>
      </c>
      <c r="BI133">
        <v>-978.51403760147514</v>
      </c>
      <c r="BJ133">
        <v>0.11531017580616876</v>
      </c>
    </row>
    <row r="134" spans="3:62" x14ac:dyDescent="0.2">
      <c r="C134" s="121">
        <v>69745.964530411351</v>
      </c>
      <c r="D134">
        <v>17.59051150331894</v>
      </c>
      <c r="E134" s="121">
        <v>72151.456237892315</v>
      </c>
      <c r="F134" s="121">
        <v>17.460428260701391</v>
      </c>
      <c r="G134" s="121">
        <v>-2405.4917074809637</v>
      </c>
      <c r="H134" s="121">
        <v>0.13008324261754822</v>
      </c>
      <c r="J134" s="118">
        <v>145000</v>
      </c>
      <c r="L134">
        <v>0.999</v>
      </c>
      <c r="N134" s="121"/>
      <c r="O134" s="121"/>
      <c r="P134" s="121"/>
      <c r="R134">
        <v>163.2006701326228</v>
      </c>
      <c r="S134">
        <v>55.216191330962808</v>
      </c>
      <c r="T134">
        <v>210.31707093073939</v>
      </c>
      <c r="U134">
        <v>83.66952260512609</v>
      </c>
      <c r="X134">
        <v>0.75572653866230588</v>
      </c>
      <c r="Y134">
        <v>0.94613613856509327</v>
      </c>
      <c r="Z134">
        <v>0.51386858192688212</v>
      </c>
      <c r="AA134">
        <v>0.68409115730263192</v>
      </c>
      <c r="AB134">
        <v>0.89713716842934987</v>
      </c>
      <c r="AC134">
        <v>0.34219395323798363</v>
      </c>
      <c r="AD134">
        <v>0.92622519510867196</v>
      </c>
      <c r="AE134">
        <v>0.75243354648207605</v>
      </c>
      <c r="AH134">
        <v>0.23312520674889969</v>
      </c>
      <c r="AI134">
        <v>0.25035010071742547</v>
      </c>
      <c r="AJ134">
        <v>0.15886147427086683</v>
      </c>
      <c r="AK134">
        <v>0.17504081662989779</v>
      </c>
      <c r="AL134">
        <v>6.6209282894042376E-2</v>
      </c>
      <c r="AM134">
        <v>0.21798858894803252</v>
      </c>
      <c r="AN134">
        <v>0.19651104655129314</v>
      </c>
      <c r="AO134">
        <v>3.9065052738190054E-2</v>
      </c>
      <c r="AR134">
        <v>1.0290173894594856E-3</v>
      </c>
      <c r="AS134">
        <v>4.6035534117752075E-3</v>
      </c>
      <c r="AT134">
        <v>5.4503344636893658E-3</v>
      </c>
      <c r="AU134">
        <v>2.0950911035724218E-3</v>
      </c>
      <c r="AV134">
        <v>2.1648799300922894E-3</v>
      </c>
      <c r="AW134">
        <v>2.8535413579212215E-3</v>
      </c>
      <c r="AX134">
        <v>4.255433189781499E-4</v>
      </c>
      <c r="AY134">
        <v>4.43815070487051E-4</v>
      </c>
      <c r="BB134">
        <v>5.3248885679965774E-2</v>
      </c>
      <c r="BC134">
        <v>4.2972960249068277E-2</v>
      </c>
      <c r="BE134">
        <v>69745.964530411351</v>
      </c>
      <c r="BF134">
        <v>17.59051150331894</v>
      </c>
      <c r="BG134">
        <v>72151.456237892315</v>
      </c>
      <c r="BH134">
        <v>17.460428260701391</v>
      </c>
      <c r="BI134">
        <v>-2405.4917074809637</v>
      </c>
      <c r="BJ134">
        <v>0.13008324261754822</v>
      </c>
    </row>
    <row r="135" spans="3:62" x14ac:dyDescent="0.2">
      <c r="C135" s="121">
        <v>70890.783298970142</v>
      </c>
      <c r="D135">
        <v>16.375519186809615</v>
      </c>
      <c r="E135" s="121">
        <v>72065.454982544456</v>
      </c>
      <c r="F135" s="121">
        <v>16.318123807349014</v>
      </c>
      <c r="G135" s="121">
        <v>-1174.6716835743136</v>
      </c>
      <c r="H135" s="121">
        <v>5.7395379460601248E-2</v>
      </c>
      <c r="J135" s="118">
        <v>147500</v>
      </c>
      <c r="L135">
        <v>0.999</v>
      </c>
      <c r="N135" s="121"/>
      <c r="O135" s="121"/>
      <c r="P135" s="121"/>
      <c r="R135">
        <v>226.97163505807779</v>
      </c>
      <c r="S135">
        <v>57.398904982134439</v>
      </c>
      <c r="T135">
        <v>263.13260987262225</v>
      </c>
      <c r="U135">
        <v>91.981789548616405</v>
      </c>
      <c r="X135">
        <v>0.68296918788337102</v>
      </c>
      <c r="Y135">
        <v>0.55684637698551509</v>
      </c>
      <c r="Z135">
        <v>0.86403849456510007</v>
      </c>
      <c r="AA135">
        <v>0.82713919355969523</v>
      </c>
      <c r="AB135">
        <v>0.76131177441957631</v>
      </c>
      <c r="AC135">
        <v>0.74865115990986197</v>
      </c>
      <c r="AD135">
        <v>0.76507861599216664</v>
      </c>
      <c r="AE135">
        <v>0.62838139313718988</v>
      </c>
      <c r="AH135">
        <v>3.8379234146580066E-2</v>
      </c>
      <c r="AI135">
        <v>0.33276887553340417</v>
      </c>
      <c r="AJ135">
        <v>0.1390644166703402</v>
      </c>
      <c r="AK135">
        <v>7.3178048546110652E-2</v>
      </c>
      <c r="AL135">
        <v>0.15438025453945547</v>
      </c>
      <c r="AM135">
        <v>7.3951890236262918E-2</v>
      </c>
      <c r="AN135">
        <v>3.8316564185810531E-2</v>
      </c>
      <c r="AO135">
        <v>0.15400881721175064</v>
      </c>
      <c r="AR135">
        <v>9.5879426540523838E-4</v>
      </c>
      <c r="AS135">
        <v>4.5484070647999753E-3</v>
      </c>
      <c r="AT135">
        <v>5.0311076906729424E-3</v>
      </c>
      <c r="AU135">
        <v>1.9587448079802258E-3</v>
      </c>
      <c r="AV135">
        <v>1.9266458347746958E-3</v>
      </c>
      <c r="AW135">
        <v>3.4984728270770482E-3</v>
      </c>
      <c r="AX135">
        <v>3.6887178883771281E-4</v>
      </c>
      <c r="AY135">
        <v>3.5248552060268052E-4</v>
      </c>
      <c r="BB135">
        <v>5.3620043126551331E-2</v>
      </c>
      <c r="BC135">
        <v>7.5005916627353675E-2</v>
      </c>
      <c r="BE135">
        <v>70890.783298970142</v>
      </c>
      <c r="BF135">
        <v>16.375519186809615</v>
      </c>
      <c r="BG135">
        <v>72065.454982544456</v>
      </c>
      <c r="BH135">
        <v>16.318123807349014</v>
      </c>
      <c r="BI135">
        <v>-1174.6716835743136</v>
      </c>
      <c r="BJ135">
        <v>5.7395379460601248E-2</v>
      </c>
    </row>
    <row r="136" spans="3:62" x14ac:dyDescent="0.2">
      <c r="C136" s="121">
        <v>67392.612519837785</v>
      </c>
      <c r="D136">
        <v>18.513066853131441</v>
      </c>
      <c r="E136" s="121">
        <v>68821.173020640752</v>
      </c>
      <c r="F136" s="121">
        <v>18.413912977259411</v>
      </c>
      <c r="G136" s="121">
        <v>-1428.560500802967</v>
      </c>
      <c r="H136" s="121">
        <v>9.9153875872030284E-2</v>
      </c>
      <c r="J136" s="118">
        <v>150000</v>
      </c>
      <c r="L136">
        <v>0.999</v>
      </c>
      <c r="N136" s="121"/>
      <c r="O136" s="121"/>
      <c r="P136" s="121"/>
      <c r="R136">
        <v>381.7570439568924</v>
      </c>
      <c r="S136">
        <v>75.447811792543007</v>
      </c>
      <c r="T136">
        <v>307.42197137207859</v>
      </c>
      <c r="U136">
        <v>80.998463050461396</v>
      </c>
      <c r="X136">
        <v>0.43055956518275595</v>
      </c>
      <c r="Y136">
        <v>0.91980216636231682</v>
      </c>
      <c r="Z136">
        <v>0.7927860519129547</v>
      </c>
      <c r="AA136">
        <v>0.65268280761532682</v>
      </c>
      <c r="AB136">
        <v>0.71380879403803321</v>
      </c>
      <c r="AC136">
        <v>0.83834671934919425</v>
      </c>
      <c r="AD136">
        <v>0.9664863318175807</v>
      </c>
      <c r="AE136">
        <v>0.76336383208011438</v>
      </c>
      <c r="AH136">
        <v>0.21854826530204297</v>
      </c>
      <c r="AI136">
        <v>0.23145947615596796</v>
      </c>
      <c r="AJ136">
        <v>0.13799410044286209</v>
      </c>
      <c r="AK136">
        <v>4.5807596404336293E-2</v>
      </c>
      <c r="AL136">
        <v>8.0981939898601696E-2</v>
      </c>
      <c r="AM136">
        <v>2.2614836923088077E-2</v>
      </c>
      <c r="AN136">
        <v>8.2337385462763146E-2</v>
      </c>
      <c r="AO136">
        <v>0.16190770297609536</v>
      </c>
      <c r="AR136">
        <v>9.1779548594417282E-4</v>
      </c>
      <c r="AS136">
        <v>4.5079205691062052E-3</v>
      </c>
      <c r="AT136">
        <v>4.9316404587247372E-3</v>
      </c>
      <c r="AU136">
        <v>1.9182183456912564E-3</v>
      </c>
      <c r="AV136">
        <v>2.0404626327129582E-3</v>
      </c>
      <c r="AW136">
        <v>3.4164322589742557E-3</v>
      </c>
      <c r="AX136">
        <v>3.9011537800126626E-4</v>
      </c>
      <c r="AY136">
        <v>4.191349604824916E-4</v>
      </c>
      <c r="BB136">
        <v>6.2077722787438061E-2</v>
      </c>
      <c r="BC136">
        <v>3.9156064761436044E-2</v>
      </c>
      <c r="BE136">
        <v>67392.612519837785</v>
      </c>
      <c r="BF136">
        <v>18.513066853131441</v>
      </c>
      <c r="BG136">
        <v>68821.173020640752</v>
      </c>
      <c r="BH136">
        <v>18.413912977259411</v>
      </c>
      <c r="BI136">
        <v>-1428.560500802967</v>
      </c>
      <c r="BJ136">
        <v>9.9153875872030284E-2</v>
      </c>
    </row>
    <row r="137" spans="3:62" x14ac:dyDescent="0.2">
      <c r="C137" s="121">
        <v>74202.000727057384</v>
      </c>
      <c r="D137">
        <v>17.177087618845242</v>
      </c>
      <c r="E137" s="121">
        <v>76167.992969374201</v>
      </c>
      <c r="F137" s="121">
        <v>17.030632409054153</v>
      </c>
      <c r="G137" s="121">
        <v>-1965.9922423168173</v>
      </c>
      <c r="H137" s="121">
        <v>0.14645520979108895</v>
      </c>
      <c r="J137" s="118">
        <v>152500</v>
      </c>
      <c r="L137">
        <v>0.999</v>
      </c>
      <c r="N137" s="121"/>
      <c r="O137" s="121"/>
      <c r="P137" s="121"/>
      <c r="R137">
        <v>149.75946605223226</v>
      </c>
      <c r="S137">
        <v>59.808541202328492</v>
      </c>
      <c r="T137">
        <v>237.2954179793924</v>
      </c>
      <c r="U137">
        <v>105.47394406335275</v>
      </c>
      <c r="X137">
        <v>0.88371169254836646</v>
      </c>
      <c r="Y137">
        <v>0.59572178850130464</v>
      </c>
      <c r="Z137">
        <v>0.61401217738851044</v>
      </c>
      <c r="AA137">
        <v>0.66833184207486329</v>
      </c>
      <c r="AB137">
        <v>0.70826649651207263</v>
      </c>
      <c r="AC137">
        <v>0.61166867870787955</v>
      </c>
      <c r="AD137">
        <v>0.77131539033879137</v>
      </c>
      <c r="AE137">
        <v>0.6626652199146541</v>
      </c>
      <c r="AH137">
        <v>1.8193363157271047E-2</v>
      </c>
      <c r="AI137">
        <v>5.7163940608145669E-2</v>
      </c>
      <c r="AJ137">
        <v>6.6898914496437811E-2</v>
      </c>
      <c r="AK137">
        <v>0.18088392737167158</v>
      </c>
      <c r="AL137">
        <v>0.17177503708998321</v>
      </c>
      <c r="AM137">
        <v>9.6333966186341935E-2</v>
      </c>
      <c r="AN137">
        <v>6.4708300664243934E-2</v>
      </c>
      <c r="AO137">
        <v>7.7828733169869713E-2</v>
      </c>
      <c r="AR137">
        <v>9.4273134646827295E-4</v>
      </c>
      <c r="AS137">
        <v>4.7098720399987304E-3</v>
      </c>
      <c r="AT137">
        <v>4.9854210001225585E-3</v>
      </c>
      <c r="AU137">
        <v>1.9477631370910771E-3</v>
      </c>
      <c r="AV137">
        <v>2.1577811168159711E-3</v>
      </c>
      <c r="AW137">
        <v>3.5106014447577882E-3</v>
      </c>
      <c r="AX137">
        <v>3.7105961820347428E-4</v>
      </c>
      <c r="AY137">
        <v>4.6644047820498802E-4</v>
      </c>
      <c r="BB137">
        <v>4.9019229967696115E-2</v>
      </c>
      <c r="BC137">
        <v>5.6160885694538032E-2</v>
      </c>
      <c r="BE137">
        <v>74202.000727057384</v>
      </c>
      <c r="BF137">
        <v>17.177087618845242</v>
      </c>
      <c r="BG137">
        <v>76167.992969374201</v>
      </c>
      <c r="BH137">
        <v>17.030632409054153</v>
      </c>
      <c r="BI137">
        <v>-1965.9922423168173</v>
      </c>
      <c r="BJ137">
        <v>0.14645520979108895</v>
      </c>
    </row>
    <row r="138" spans="3:62" x14ac:dyDescent="0.2">
      <c r="C138" s="121">
        <v>77181.806548557215</v>
      </c>
      <c r="D138">
        <v>16.922725184280694</v>
      </c>
      <c r="E138" s="121">
        <v>78522.293483655667</v>
      </c>
      <c r="F138" s="121">
        <v>16.839709492594444</v>
      </c>
      <c r="G138" s="121">
        <v>-1340.4869350984518</v>
      </c>
      <c r="H138" s="121">
        <v>8.3015691686249227E-2</v>
      </c>
      <c r="J138" s="118">
        <v>155000</v>
      </c>
      <c r="L138">
        <v>0.999</v>
      </c>
      <c r="N138" s="121"/>
      <c r="O138" s="121"/>
      <c r="P138" s="121"/>
      <c r="R138">
        <v>293.32660512642087</v>
      </c>
      <c r="S138">
        <v>58.399803009483421</v>
      </c>
      <c r="T138">
        <v>275.06734093884631</v>
      </c>
      <c r="U138">
        <v>99.460277961463348</v>
      </c>
      <c r="X138">
        <v>0.71525283461390043</v>
      </c>
      <c r="Y138">
        <v>0.76894739440369941</v>
      </c>
      <c r="Z138">
        <v>0.9213700055458407</v>
      </c>
      <c r="AA138">
        <v>0.77821057956261719</v>
      </c>
      <c r="AB138">
        <v>0.65306124292396883</v>
      </c>
      <c r="AC138">
        <v>0.83999059804784659</v>
      </c>
      <c r="AD138">
        <v>0.56937052721465276</v>
      </c>
      <c r="AE138">
        <v>0.78155302668032722</v>
      </c>
      <c r="AH138">
        <v>0.1407026446986207</v>
      </c>
      <c r="AI138">
        <v>0.11216488929365753</v>
      </c>
      <c r="AJ138">
        <v>0.1135041486830265</v>
      </c>
      <c r="AK138">
        <v>8.9993044256056365E-2</v>
      </c>
      <c r="AL138">
        <v>0.19494070248315531</v>
      </c>
      <c r="AM138">
        <v>0.22671087700759862</v>
      </c>
      <c r="AN138">
        <v>0.25779424850408605</v>
      </c>
      <c r="AO138">
        <v>0.21690886418258826</v>
      </c>
      <c r="AR138">
        <v>7.9896670350277429E-4</v>
      </c>
      <c r="AS138">
        <v>4.656040716803922E-3</v>
      </c>
      <c r="AT138">
        <v>4.4899015836290116E-3</v>
      </c>
      <c r="AU138">
        <v>2.0405394553184575E-3</v>
      </c>
      <c r="AV138">
        <v>1.9234776208249139E-3</v>
      </c>
      <c r="AW138">
        <v>3.4042202753533104E-3</v>
      </c>
      <c r="AX138">
        <v>4.3662565499158479E-4</v>
      </c>
      <c r="AY138">
        <v>5.618983025620361E-4</v>
      </c>
      <c r="BB138">
        <v>4.4272983790956372E-2</v>
      </c>
      <c r="BC138">
        <v>1.0990462734479475E-2</v>
      </c>
      <c r="BE138">
        <v>77181.806548557215</v>
      </c>
      <c r="BF138">
        <v>16.922725184280694</v>
      </c>
      <c r="BG138">
        <v>78522.293483655667</v>
      </c>
      <c r="BH138">
        <v>16.839709492594444</v>
      </c>
      <c r="BI138">
        <v>-1340.4869350984518</v>
      </c>
      <c r="BJ138">
        <v>8.3015691686249227E-2</v>
      </c>
    </row>
    <row r="139" spans="3:62" x14ac:dyDescent="0.2">
      <c r="C139" s="121">
        <v>68821.176918778699</v>
      </c>
      <c r="D139">
        <v>15.72488575022285</v>
      </c>
      <c r="E139" s="121">
        <v>70562.041027645842</v>
      </c>
      <c r="F139" s="121">
        <v>15.601751803676263</v>
      </c>
      <c r="G139" s="121">
        <v>-1740.8641088671429</v>
      </c>
      <c r="H139" s="121">
        <v>0.12313394654658616</v>
      </c>
      <c r="J139" s="118">
        <v>157500</v>
      </c>
      <c r="L139">
        <v>0.999</v>
      </c>
      <c r="N139" s="121"/>
      <c r="O139" s="121"/>
      <c r="P139" s="121"/>
      <c r="R139">
        <v>212.22284023852885</v>
      </c>
      <c r="S139">
        <v>64.233112728024238</v>
      </c>
      <c r="T139">
        <v>207.04177935370583</v>
      </c>
      <c r="U139">
        <v>95.71207896478596</v>
      </c>
      <c r="X139">
        <v>0.757184457019766</v>
      </c>
      <c r="Y139">
        <v>0.59944055639445482</v>
      </c>
      <c r="Z139">
        <v>0.87104273808299215</v>
      </c>
      <c r="AA139">
        <v>0.84585642998532651</v>
      </c>
      <c r="AB139">
        <v>0.79911841990872501</v>
      </c>
      <c r="AC139">
        <v>0.5897822867059388</v>
      </c>
      <c r="AD139">
        <v>0.66151870233897825</v>
      </c>
      <c r="AE139">
        <v>0.79009713538724102</v>
      </c>
      <c r="AH139">
        <v>0.11600449500945975</v>
      </c>
      <c r="AI139">
        <v>6.4707587336038097E-2</v>
      </c>
      <c r="AJ139">
        <v>5.8090523201961508E-2</v>
      </c>
      <c r="AK139">
        <v>6.1093878521765288E-2</v>
      </c>
      <c r="AL139">
        <v>3.0852507358789527E-2</v>
      </c>
      <c r="AM139">
        <v>0.33530198757682983</v>
      </c>
      <c r="AN139">
        <v>6.7727217055115529E-2</v>
      </c>
      <c r="AO139">
        <v>7.0320264633500718E-2</v>
      </c>
      <c r="AR139">
        <v>9.4627023614946015E-4</v>
      </c>
      <c r="AS139">
        <v>4.7770032737645129E-3</v>
      </c>
      <c r="AT139">
        <v>4.9524312491053823E-3</v>
      </c>
      <c r="AU139">
        <v>2.2168043925215875E-3</v>
      </c>
      <c r="AV139">
        <v>2.0287020390727939E-3</v>
      </c>
      <c r="AW139">
        <v>3.8785467474060642E-3</v>
      </c>
      <c r="AX139">
        <v>4.0605897159284865E-4</v>
      </c>
      <c r="AY139">
        <v>4.4574644741584429E-4</v>
      </c>
      <c r="BB139">
        <v>5.1961646625685254E-2</v>
      </c>
      <c r="BC139">
        <v>3.036693309187085E-2</v>
      </c>
      <c r="BE139">
        <v>68821.176918778699</v>
      </c>
      <c r="BF139">
        <v>15.72488575022285</v>
      </c>
      <c r="BG139">
        <v>70562.041027645842</v>
      </c>
      <c r="BH139">
        <v>15.601751803676263</v>
      </c>
      <c r="BI139">
        <v>-1740.8641088671429</v>
      </c>
      <c r="BJ139">
        <v>0.12313394654658616</v>
      </c>
    </row>
    <row r="140" spans="3:62" x14ac:dyDescent="0.2">
      <c r="C140" s="121">
        <v>61134.442109662967</v>
      </c>
      <c r="D140">
        <v>16.72784019058037</v>
      </c>
      <c r="E140" s="121">
        <v>62991.438608813311</v>
      </c>
      <c r="F140" s="121">
        <v>16.618429012056673</v>
      </c>
      <c r="G140" s="121">
        <v>-1856.9964991503439</v>
      </c>
      <c r="H140" s="121">
        <v>0.10941117852369686</v>
      </c>
      <c r="J140" s="118">
        <v>160000</v>
      </c>
      <c r="L140">
        <v>0.999</v>
      </c>
      <c r="N140" s="121"/>
      <c r="O140" s="121"/>
      <c r="P140" s="121"/>
      <c r="R140">
        <v>3.8111690202034367</v>
      </c>
      <c r="S140">
        <v>56.165142814742211</v>
      </c>
      <c r="T140">
        <v>265.75226189216511</v>
      </c>
      <c r="U140">
        <v>100.34629025767461</v>
      </c>
      <c r="X140">
        <v>0.86168524144476555</v>
      </c>
      <c r="Y140">
        <v>0.83566079980911212</v>
      </c>
      <c r="Z140">
        <v>0.64295615741102519</v>
      </c>
      <c r="AA140">
        <v>0.83108690084420545</v>
      </c>
      <c r="AB140">
        <v>0.5129350745132315</v>
      </c>
      <c r="AC140">
        <v>0.77784056862119977</v>
      </c>
      <c r="AD140">
        <v>0.78933630932568244</v>
      </c>
      <c r="AE140">
        <v>0.43632113627173774</v>
      </c>
      <c r="AH140">
        <v>6.3605300242046914E-2</v>
      </c>
      <c r="AI140">
        <v>0.2801589455430189</v>
      </c>
      <c r="AJ140">
        <v>0.20070336466665484</v>
      </c>
      <c r="AK140">
        <v>0.11169160943052725</v>
      </c>
      <c r="AL140">
        <v>3.948918895262854E-2</v>
      </c>
      <c r="AM140">
        <v>0.16461390814623322</v>
      </c>
      <c r="AN140">
        <v>2.7240688522652601E-2</v>
      </c>
      <c r="AO140">
        <v>9.5718753656047317E-2</v>
      </c>
      <c r="AR140">
        <v>9.1964093539731451E-4</v>
      </c>
      <c r="AS140">
        <v>4.748584812388601E-3</v>
      </c>
      <c r="AT140">
        <v>5.1878320072759054E-3</v>
      </c>
      <c r="AU140">
        <v>1.8009473042248545E-3</v>
      </c>
      <c r="AV140">
        <v>1.9271694318531479E-3</v>
      </c>
      <c r="AW140">
        <v>3.5090343639323507E-3</v>
      </c>
      <c r="AX140">
        <v>3.6507571020540466E-4</v>
      </c>
      <c r="AY140">
        <v>4.6188561090154678E-4</v>
      </c>
      <c r="BB140">
        <v>5.6555891728650831E-2</v>
      </c>
      <c r="BC140">
        <v>3.8636662446071203E-2</v>
      </c>
      <c r="BE140">
        <v>61134.442109662967</v>
      </c>
      <c r="BF140">
        <v>16.72784019058037</v>
      </c>
      <c r="BG140">
        <v>62991.438608813311</v>
      </c>
      <c r="BH140">
        <v>16.618429012056673</v>
      </c>
      <c r="BI140">
        <v>-1856.9964991503439</v>
      </c>
      <c r="BJ140">
        <v>0.10941117852369686</v>
      </c>
    </row>
    <row r="141" spans="3:62" x14ac:dyDescent="0.2">
      <c r="C141" s="121">
        <v>66953.061765499675</v>
      </c>
      <c r="D141">
        <v>15.639590221080869</v>
      </c>
      <c r="E141" s="121">
        <v>68627.017943825907</v>
      </c>
      <c r="F141" s="121">
        <v>15.49127517503811</v>
      </c>
      <c r="G141" s="121">
        <v>-1673.9561783262325</v>
      </c>
      <c r="H141" s="121">
        <v>0.14831504604275914</v>
      </c>
      <c r="J141" s="118">
        <v>162500</v>
      </c>
      <c r="L141">
        <v>0.999</v>
      </c>
      <c r="N141" s="121"/>
      <c r="O141" s="121"/>
      <c r="P141" s="121"/>
      <c r="R141">
        <v>208.44313688269335</v>
      </c>
      <c r="S141">
        <v>59.651856833452939</v>
      </c>
      <c r="T141">
        <v>255.24434011312519</v>
      </c>
      <c r="U141">
        <v>95.421179121433738</v>
      </c>
      <c r="X141">
        <v>0.6206157369532832</v>
      </c>
      <c r="Y141">
        <v>0.82298369216634437</v>
      </c>
      <c r="Z141">
        <v>0.64979717704722262</v>
      </c>
      <c r="AA141">
        <v>0.8887069658129898</v>
      </c>
      <c r="AB141">
        <v>0.67620541791851629</v>
      </c>
      <c r="AC141">
        <v>0.832666830943116</v>
      </c>
      <c r="AD141">
        <v>0.77130570947354715</v>
      </c>
      <c r="AE141">
        <v>0.64893922174275642</v>
      </c>
      <c r="AH141">
        <v>4.5277418913833078E-2</v>
      </c>
      <c r="AI141">
        <v>0.25769946531058974</v>
      </c>
      <c r="AJ141">
        <v>0.21318985243266764</v>
      </c>
      <c r="AK141">
        <v>8.3776806777234092E-2</v>
      </c>
      <c r="AL141">
        <v>0.11594519977430329</v>
      </c>
      <c r="AM141">
        <v>0.16105673865684211</v>
      </c>
      <c r="AN141">
        <v>0.24574034007269796</v>
      </c>
      <c r="AO141">
        <v>2.0154072483220098E-2</v>
      </c>
      <c r="AR141">
        <v>9.0948729005035922E-4</v>
      </c>
      <c r="AS141">
        <v>4.3335531490177317E-3</v>
      </c>
      <c r="AT141">
        <v>4.8311776951765846E-3</v>
      </c>
      <c r="AU141">
        <v>2.082581909108483E-3</v>
      </c>
      <c r="AV141">
        <v>1.9320418470995884E-3</v>
      </c>
      <c r="AW141">
        <v>3.3670151056916361E-3</v>
      </c>
      <c r="AX141">
        <v>3.3477256020323428E-4</v>
      </c>
      <c r="AY141">
        <v>4.8557079013544779E-4</v>
      </c>
      <c r="BB141">
        <v>4.5343622526846289E-2</v>
      </c>
      <c r="BC141">
        <v>8.6825965815201078E-2</v>
      </c>
      <c r="BE141">
        <v>66953.061765499675</v>
      </c>
      <c r="BF141">
        <v>15.639590221080869</v>
      </c>
      <c r="BG141">
        <v>68627.017943825907</v>
      </c>
      <c r="BH141">
        <v>15.49127517503811</v>
      </c>
      <c r="BI141">
        <v>-1673.9561783262325</v>
      </c>
      <c r="BJ141">
        <v>0.14831504604275914</v>
      </c>
    </row>
    <row r="142" spans="3:62" x14ac:dyDescent="0.2">
      <c r="C142" s="121">
        <v>61635.409406708968</v>
      </c>
      <c r="D142">
        <v>16.52325363292875</v>
      </c>
      <c r="E142" s="121">
        <v>62597.016698298867</v>
      </c>
      <c r="F142" s="121">
        <v>16.40965401050213</v>
      </c>
      <c r="G142" s="121">
        <v>-961.60729158989852</v>
      </c>
      <c r="H142" s="121">
        <v>0.11359962242661936</v>
      </c>
      <c r="J142" s="118">
        <v>165000</v>
      </c>
      <c r="L142">
        <v>0.999</v>
      </c>
      <c r="N142" s="121"/>
      <c r="O142" s="121"/>
      <c r="P142" s="121"/>
      <c r="R142">
        <v>230.92531682788214</v>
      </c>
      <c r="S142">
        <v>69.504975620957282</v>
      </c>
      <c r="T142">
        <v>263.26687234821594</v>
      </c>
      <c r="U142">
        <v>76.951862397345536</v>
      </c>
      <c r="X142">
        <v>0.66650085531550296</v>
      </c>
      <c r="Y142">
        <v>0.79591166129192081</v>
      </c>
      <c r="Z142">
        <v>0.75281067797190349</v>
      </c>
      <c r="AA142">
        <v>0.65979860329369955</v>
      </c>
      <c r="AB142">
        <v>0.57674304025857026</v>
      </c>
      <c r="AC142">
        <v>0.96237248644433648</v>
      </c>
      <c r="AD142">
        <v>0.49598547671595855</v>
      </c>
      <c r="AE142">
        <v>0.77168536732969695</v>
      </c>
      <c r="AH142">
        <v>0.11714084093001098</v>
      </c>
      <c r="AI142">
        <v>0.54197733322688579</v>
      </c>
      <c r="AJ142">
        <v>5.3470494302357174E-2</v>
      </c>
      <c r="AK142">
        <v>4.0827078197561262E-2</v>
      </c>
      <c r="AL142">
        <v>8.3537943977222806E-2</v>
      </c>
      <c r="AM142">
        <v>9.0152458635938792E-2</v>
      </c>
      <c r="AN142">
        <v>5.9951360550122179E-2</v>
      </c>
      <c r="AO142">
        <v>0.29502293785757505</v>
      </c>
      <c r="AR142">
        <v>8.0081417459301372E-4</v>
      </c>
      <c r="AS142">
        <v>4.4596098269257091E-3</v>
      </c>
      <c r="AT142">
        <v>5.5957602181079258E-3</v>
      </c>
      <c r="AU142">
        <v>1.7310696794778895E-3</v>
      </c>
      <c r="AV142">
        <v>2.0760937164134852E-3</v>
      </c>
      <c r="AW142">
        <v>3.110205850570244E-3</v>
      </c>
      <c r="AX142">
        <v>2.9742900157052446E-4</v>
      </c>
      <c r="AY142">
        <v>5.2448848421193794E-4</v>
      </c>
      <c r="BB142">
        <v>5.1112108851549598E-2</v>
      </c>
      <c r="BC142">
        <v>8.3855386622902657E-3</v>
      </c>
      <c r="BE142">
        <v>61635.409406708968</v>
      </c>
      <c r="BF142">
        <v>16.52325363292875</v>
      </c>
      <c r="BG142">
        <v>62597.016698298867</v>
      </c>
      <c r="BH142">
        <v>16.40965401050213</v>
      </c>
      <c r="BI142">
        <v>-961.60729158989852</v>
      </c>
      <c r="BJ142">
        <v>0.11359962242661936</v>
      </c>
    </row>
    <row r="143" spans="3:62" x14ac:dyDescent="0.2">
      <c r="C143" s="121">
        <v>78634.245903712959</v>
      </c>
      <c r="D143">
        <v>14.72624243463035</v>
      </c>
      <c r="E143" s="121">
        <v>81565.966445591621</v>
      </c>
      <c r="F143" s="121">
        <v>14.554820859871434</v>
      </c>
      <c r="G143" s="121">
        <v>-2931.7205418786616</v>
      </c>
      <c r="H143" s="121">
        <v>0.17142157475891651</v>
      </c>
      <c r="J143" s="118">
        <v>167500</v>
      </c>
      <c r="L143">
        <v>0.999</v>
      </c>
      <c r="N143" s="121"/>
      <c r="O143" s="121"/>
      <c r="P143" s="121"/>
      <c r="R143">
        <v>211.15372086705463</v>
      </c>
      <c r="S143">
        <v>65.880260398029009</v>
      </c>
      <c r="T143">
        <v>246.64478018827145</v>
      </c>
      <c r="U143">
        <v>94.022499316157649</v>
      </c>
      <c r="X143">
        <v>0.70645802308708194</v>
      </c>
      <c r="Y143">
        <v>0.7761277178223891</v>
      </c>
      <c r="Z143">
        <v>0.79981148758616816</v>
      </c>
      <c r="AA143">
        <v>0.85718314981379995</v>
      </c>
      <c r="AB143">
        <v>0.62394344659652612</v>
      </c>
      <c r="AC143">
        <v>0.79381237492485612</v>
      </c>
      <c r="AD143">
        <v>0.93331938158626537</v>
      </c>
      <c r="AE143">
        <v>0.62920365600701333</v>
      </c>
      <c r="AH143">
        <v>0.10446269875868253</v>
      </c>
      <c r="AI143">
        <v>6.3255908099851599E-2</v>
      </c>
      <c r="AJ143">
        <v>0.12393454175816754</v>
      </c>
      <c r="AK143">
        <v>0.1464936603379644</v>
      </c>
      <c r="AL143">
        <v>0.11067843890371709</v>
      </c>
      <c r="AM143">
        <v>0.15364930038745206</v>
      </c>
      <c r="AN143">
        <v>0.14911500653845455</v>
      </c>
      <c r="AO143">
        <v>1.606506911069161E-2</v>
      </c>
      <c r="AR143">
        <v>8.7166154064593788E-4</v>
      </c>
      <c r="AS143">
        <v>4.8467108025631589E-3</v>
      </c>
      <c r="AT143">
        <v>4.9913089573241365E-3</v>
      </c>
      <c r="AU143">
        <v>1.9780256134285237E-3</v>
      </c>
      <c r="AV143">
        <v>1.8199153541947021E-3</v>
      </c>
      <c r="AW143">
        <v>3.1204457428505375E-3</v>
      </c>
      <c r="AX143">
        <v>6.0979009751893631E-4</v>
      </c>
      <c r="AY143">
        <v>5.7583280618123123E-4</v>
      </c>
      <c r="BB143">
        <v>5.4721092952218164E-2</v>
      </c>
      <c r="BC143">
        <v>9.593795599664956E-2</v>
      </c>
      <c r="BE143">
        <v>78634.245903712959</v>
      </c>
      <c r="BF143">
        <v>14.72624243463035</v>
      </c>
      <c r="BG143">
        <v>81565.966445591621</v>
      </c>
      <c r="BH143">
        <v>14.554820859871434</v>
      </c>
      <c r="BI143">
        <v>-2931.7205418786616</v>
      </c>
      <c r="BJ143">
        <v>0.17142157475891651</v>
      </c>
    </row>
    <row r="144" spans="3:62" x14ac:dyDescent="0.2">
      <c r="C144" s="121">
        <v>71163.580540686729</v>
      </c>
      <c r="D144">
        <v>16.271360060317448</v>
      </c>
      <c r="E144" s="121">
        <v>73039.873375339797</v>
      </c>
      <c r="F144" s="121">
        <v>16.115640877240889</v>
      </c>
      <c r="G144" s="121">
        <v>-1876.292834653068</v>
      </c>
      <c r="H144" s="121">
        <v>0.15571918307655963</v>
      </c>
      <c r="J144" s="118">
        <v>170000</v>
      </c>
      <c r="L144">
        <v>0.999</v>
      </c>
      <c r="N144" s="121"/>
      <c r="O144" s="121"/>
      <c r="P144" s="121"/>
      <c r="R144">
        <v>320.8689871329675</v>
      </c>
      <c r="S144">
        <v>53.27791275685739</v>
      </c>
      <c r="T144">
        <v>237.2882021225744</v>
      </c>
      <c r="U144">
        <v>98.32667821816689</v>
      </c>
      <c r="X144">
        <v>0.71537036212551475</v>
      </c>
      <c r="Y144">
        <v>0.55541161568892439</v>
      </c>
      <c r="Z144">
        <v>0.89363928514203483</v>
      </c>
      <c r="AA144">
        <v>0.78573752126523488</v>
      </c>
      <c r="AB144">
        <v>0.60897192991541516</v>
      </c>
      <c r="AC144">
        <v>0.749180280061294</v>
      </c>
      <c r="AD144">
        <v>0.83564562586986679</v>
      </c>
      <c r="AE144">
        <v>0.91088534193106607</v>
      </c>
      <c r="AH144">
        <v>9.9860420413341533E-2</v>
      </c>
      <c r="AI144">
        <v>0.14486858047143625</v>
      </c>
      <c r="AJ144">
        <v>0.10523197633168524</v>
      </c>
      <c r="AK144">
        <v>0.37621428267983303</v>
      </c>
      <c r="AL144">
        <v>6.3155403479400296E-2</v>
      </c>
      <c r="AM144">
        <v>8.0776820312647768E-2</v>
      </c>
      <c r="AN144">
        <v>0.16800631063867688</v>
      </c>
      <c r="AO144">
        <v>0.22128684614698635</v>
      </c>
      <c r="AR144">
        <v>8.5381627762320023E-4</v>
      </c>
      <c r="AS144">
        <v>4.644203676058889E-3</v>
      </c>
      <c r="AT144">
        <v>5.1471749393278143E-3</v>
      </c>
      <c r="AU144">
        <v>1.9778308335552074E-3</v>
      </c>
      <c r="AV144">
        <v>2.0463841489768431E-3</v>
      </c>
      <c r="AW144">
        <v>3.4127342219054668E-3</v>
      </c>
      <c r="AX144">
        <v>4.4190521568698848E-4</v>
      </c>
      <c r="AY144">
        <v>5.5358582244779964E-4</v>
      </c>
      <c r="BB144">
        <v>4.8689244339612317E-2</v>
      </c>
      <c r="BC144">
        <v>2.807722453117581E-2</v>
      </c>
      <c r="BE144">
        <v>71163.580540686729</v>
      </c>
      <c r="BF144">
        <v>16.271360060317448</v>
      </c>
      <c r="BG144">
        <v>73039.873375339797</v>
      </c>
      <c r="BH144">
        <v>16.115640877240889</v>
      </c>
      <c r="BI144">
        <v>-1876.292834653068</v>
      </c>
      <c r="BJ144">
        <v>0.15571918307655963</v>
      </c>
    </row>
    <row r="145" spans="3:62" x14ac:dyDescent="0.2">
      <c r="C145" s="121">
        <v>61586.932592353769</v>
      </c>
      <c r="D145">
        <v>18.15124771349959</v>
      </c>
      <c r="E145" s="121">
        <v>63492.282804266491</v>
      </c>
      <c r="F145" s="121">
        <v>18.031672642005237</v>
      </c>
      <c r="G145" s="121">
        <v>-1905.3502119127224</v>
      </c>
      <c r="H145" s="121">
        <v>0.11957507149435287</v>
      </c>
      <c r="J145" s="118">
        <v>172500</v>
      </c>
      <c r="L145">
        <v>0.999</v>
      </c>
      <c r="N145" s="121"/>
      <c r="O145" s="121"/>
      <c r="P145" s="121"/>
      <c r="R145">
        <v>266.74470353153623</v>
      </c>
      <c r="S145">
        <v>66.746971238602782</v>
      </c>
      <c r="T145">
        <v>213.61131673999648</v>
      </c>
      <c r="U145">
        <v>93.364464418815544</v>
      </c>
      <c r="X145">
        <v>0.95759060863184575</v>
      </c>
      <c r="Y145">
        <v>0.67893744329480721</v>
      </c>
      <c r="Z145">
        <v>0.86850430854283189</v>
      </c>
      <c r="AA145">
        <v>0.6607678367209352</v>
      </c>
      <c r="AB145">
        <v>0.61098537073309001</v>
      </c>
      <c r="AC145">
        <v>0.79790169290939961</v>
      </c>
      <c r="AD145">
        <v>0.96889381166843846</v>
      </c>
      <c r="AE145">
        <v>0.55185159026582975</v>
      </c>
      <c r="AH145">
        <v>0.14093353609351533</v>
      </c>
      <c r="AI145">
        <v>4.6200385354170814E-2</v>
      </c>
      <c r="AJ145">
        <v>1.698024008365584E-2</v>
      </c>
      <c r="AK145">
        <v>0.1504534915929675</v>
      </c>
      <c r="AL145">
        <v>0.29773481833577509</v>
      </c>
      <c r="AM145">
        <v>0.24029955251838608</v>
      </c>
      <c r="AN145">
        <v>0.27488224468655242</v>
      </c>
      <c r="AO145">
        <v>1.3428153762776729E-2</v>
      </c>
      <c r="AR145">
        <v>8.0017603752727913E-4</v>
      </c>
      <c r="AS145">
        <v>4.4012060305358182E-3</v>
      </c>
      <c r="AT145">
        <v>5.2951443015021304E-3</v>
      </c>
      <c r="AU145">
        <v>2.1756688791565448E-3</v>
      </c>
      <c r="AV145">
        <v>2.0387893590322337E-3</v>
      </c>
      <c r="AW145">
        <v>3.4005723897923036E-3</v>
      </c>
      <c r="AX145">
        <v>3.9689613149818115E-4</v>
      </c>
      <c r="AY145">
        <v>4.7023165279236334E-4</v>
      </c>
      <c r="BB145">
        <v>5.682393934456631E-2</v>
      </c>
      <c r="BC145">
        <v>7.4847528967945776E-2</v>
      </c>
      <c r="BE145">
        <v>61586.932592353769</v>
      </c>
      <c r="BF145">
        <v>18.15124771349959</v>
      </c>
      <c r="BG145">
        <v>63492.282804266491</v>
      </c>
      <c r="BH145">
        <v>18.031672642005237</v>
      </c>
      <c r="BI145">
        <v>-1905.3502119127224</v>
      </c>
      <c r="BJ145">
        <v>0.11957507149435287</v>
      </c>
    </row>
    <row r="146" spans="3:62" x14ac:dyDescent="0.2">
      <c r="C146" s="121">
        <v>69572.788327408096</v>
      </c>
      <c r="D146">
        <v>14.918007786453719</v>
      </c>
      <c r="E146" s="121">
        <v>70890.152046350471</v>
      </c>
      <c r="F146" s="121">
        <v>14.789639982511522</v>
      </c>
      <c r="G146" s="121">
        <v>-1317.3637189423753</v>
      </c>
      <c r="H146" s="121">
        <v>0.12836780394219716</v>
      </c>
      <c r="J146" s="118">
        <v>175000</v>
      </c>
      <c r="L146">
        <v>0.999</v>
      </c>
      <c r="N146" s="121"/>
      <c r="O146" s="121"/>
      <c r="P146" s="121"/>
      <c r="R146">
        <v>573.23792182488205</v>
      </c>
      <c r="S146">
        <v>49.168612838413587</v>
      </c>
      <c r="T146">
        <v>241.33997488155873</v>
      </c>
      <c r="U146">
        <v>96.077243906022943</v>
      </c>
      <c r="X146">
        <v>0.72768583500214545</v>
      </c>
      <c r="Y146">
        <v>0.62813547209397635</v>
      </c>
      <c r="Z146">
        <v>0.8274927347330906</v>
      </c>
      <c r="AA146">
        <v>0.69525545030561131</v>
      </c>
      <c r="AB146">
        <v>0.73298523218160383</v>
      </c>
      <c r="AC146">
        <v>0.68635031795244217</v>
      </c>
      <c r="AD146">
        <v>0.80810309039748407</v>
      </c>
      <c r="AE146">
        <v>0.58342340164553064</v>
      </c>
      <c r="AH146">
        <v>0.25832886605551775</v>
      </c>
      <c r="AI146">
        <v>5.6834624669378275E-2</v>
      </c>
      <c r="AJ146">
        <v>0.13478065856608323</v>
      </c>
      <c r="AK146">
        <v>0.12342261351188921</v>
      </c>
      <c r="AL146">
        <v>2.8916786169575381E-2</v>
      </c>
      <c r="AM146">
        <v>6.3308254194717639E-2</v>
      </c>
      <c r="AN146">
        <v>1.8479429467425312E-2</v>
      </c>
      <c r="AO146">
        <v>0.15329714534561634</v>
      </c>
      <c r="AR146">
        <v>8.0236653602438655E-4</v>
      </c>
      <c r="AS146">
        <v>4.500065083135385E-3</v>
      </c>
      <c r="AT146">
        <v>5.3168027308219123E-3</v>
      </c>
      <c r="AU146">
        <v>2.2103415591329112E-3</v>
      </c>
      <c r="AV146">
        <v>2.0780958643292768E-3</v>
      </c>
      <c r="AW146">
        <v>2.9767396259846404E-3</v>
      </c>
      <c r="AX146">
        <v>3.8675692674068802E-4</v>
      </c>
      <c r="AY146">
        <v>5.5696607787658614E-4</v>
      </c>
      <c r="BB146">
        <v>4.7830075349123355E-2</v>
      </c>
      <c r="BC146">
        <v>4.6202346061068926E-2</v>
      </c>
      <c r="BE146">
        <v>69572.788327408096</v>
      </c>
      <c r="BF146">
        <v>14.918007786453719</v>
      </c>
      <c r="BG146">
        <v>70890.152046350471</v>
      </c>
      <c r="BH146">
        <v>14.789639982511522</v>
      </c>
      <c r="BI146">
        <v>-1317.3637189423753</v>
      </c>
      <c r="BJ146">
        <v>0.12836780394219716</v>
      </c>
    </row>
    <row r="147" spans="3:62" x14ac:dyDescent="0.2">
      <c r="C147" s="121">
        <v>67409.110705652434</v>
      </c>
      <c r="D147">
        <v>16.488182703486142</v>
      </c>
      <c r="E147" s="121">
        <v>68872.821173664022</v>
      </c>
      <c r="F147" s="121">
        <v>16.348808372337643</v>
      </c>
      <c r="G147" s="121">
        <v>-1463.7104680115881</v>
      </c>
      <c r="H147" s="121">
        <v>0.13937433114849895</v>
      </c>
      <c r="J147" s="118">
        <v>177500</v>
      </c>
      <c r="L147">
        <v>0.999</v>
      </c>
      <c r="N147" s="121"/>
      <c r="O147" s="121"/>
      <c r="P147" s="121"/>
      <c r="R147">
        <v>264.66412344062235</v>
      </c>
      <c r="S147">
        <v>67.99604759395271</v>
      </c>
      <c r="T147">
        <v>240.27102701122453</v>
      </c>
      <c r="U147">
        <v>83.459953435943902</v>
      </c>
      <c r="X147">
        <v>0.7261562386698317</v>
      </c>
      <c r="Y147">
        <v>0.51467243617972591</v>
      </c>
      <c r="Z147">
        <v>0.75945102232735384</v>
      </c>
      <c r="AA147">
        <v>0.85762701942477348</v>
      </c>
      <c r="AB147">
        <v>0.61940050996655782</v>
      </c>
      <c r="AC147">
        <v>0.54881662030535006</v>
      </c>
      <c r="AD147">
        <v>0.85116587137170829</v>
      </c>
      <c r="AE147">
        <v>0.79369298043273018</v>
      </c>
      <c r="AH147">
        <v>0.18271795447652017</v>
      </c>
      <c r="AI147">
        <v>0.19108818283077666</v>
      </c>
      <c r="AJ147">
        <v>0.17789457867991876</v>
      </c>
      <c r="AK147">
        <v>6.0098594395545879E-2</v>
      </c>
      <c r="AL147">
        <v>6.1459492276741967E-2</v>
      </c>
      <c r="AM147">
        <v>0.16746008063940165</v>
      </c>
      <c r="AN147">
        <v>3.2327106044061749E-2</v>
      </c>
      <c r="AO147">
        <v>3.4339184270099521E-2</v>
      </c>
      <c r="AR147">
        <v>8.7716886447509069E-4</v>
      </c>
      <c r="AS147">
        <v>4.6223113008346806E-3</v>
      </c>
      <c r="AT147">
        <v>5.2251508677481073E-3</v>
      </c>
      <c r="AU147">
        <v>1.852532822772127E-3</v>
      </c>
      <c r="AV147">
        <v>1.9565445267819581E-3</v>
      </c>
      <c r="AW147">
        <v>3.3774046034679571E-3</v>
      </c>
      <c r="AX147">
        <v>2.7811660045791534E-4</v>
      </c>
      <c r="AY147">
        <v>4.8306434592226832E-4</v>
      </c>
      <c r="BB147">
        <v>4.980094345860555E-2</v>
      </c>
      <c r="BC147">
        <v>2.3669874844795429E-2</v>
      </c>
      <c r="BE147">
        <v>67409.110705652434</v>
      </c>
      <c r="BF147">
        <v>16.488182703486142</v>
      </c>
      <c r="BG147">
        <v>68872.821173664022</v>
      </c>
      <c r="BH147">
        <v>16.348808372337643</v>
      </c>
      <c r="BI147">
        <v>-1463.7104680115881</v>
      </c>
      <c r="BJ147">
        <v>0.13937433114849895</v>
      </c>
    </row>
    <row r="148" spans="3:62" x14ac:dyDescent="0.2">
      <c r="C148" s="121">
        <v>73680.305715736162</v>
      </c>
      <c r="D148">
        <v>14.800261160661584</v>
      </c>
      <c r="E148" s="121">
        <v>75178.781741534127</v>
      </c>
      <c r="F148" s="121">
        <v>14.686956437708123</v>
      </c>
      <c r="G148" s="121">
        <v>-1498.4760257979651</v>
      </c>
      <c r="H148" s="121">
        <v>0.11330472295346183</v>
      </c>
      <c r="J148" s="118">
        <v>180000</v>
      </c>
      <c r="L148">
        <v>0.999</v>
      </c>
      <c r="N148" s="121"/>
      <c r="O148" s="121"/>
      <c r="P148" s="121"/>
      <c r="R148">
        <v>228.8537899134885</v>
      </c>
      <c r="S148">
        <v>70.342862500958887</v>
      </c>
      <c r="T148">
        <v>255.55002817388834</v>
      </c>
      <c r="U148">
        <v>96.395924339628962</v>
      </c>
      <c r="X148">
        <v>0.72854797127512727</v>
      </c>
      <c r="Y148">
        <v>0.84869738638718517</v>
      </c>
      <c r="Z148">
        <v>0.68210535557488461</v>
      </c>
      <c r="AA148">
        <v>0.82602140310933181</v>
      </c>
      <c r="AB148">
        <v>0.65676870203763693</v>
      </c>
      <c r="AC148">
        <v>0.9652776717428283</v>
      </c>
      <c r="AD148">
        <v>0.84572887244540484</v>
      </c>
      <c r="AE148">
        <v>0.83171824107823089</v>
      </c>
      <c r="AH148">
        <v>0.1009746456599574</v>
      </c>
      <c r="AI148">
        <v>0.10087465416060271</v>
      </c>
      <c r="AJ148">
        <v>5.7127558294017167E-2</v>
      </c>
      <c r="AK148">
        <v>8.8995464118073908E-2</v>
      </c>
      <c r="AL148">
        <v>0.26022847053096609</v>
      </c>
      <c r="AM148">
        <v>0.22198443264088596</v>
      </c>
      <c r="AN148">
        <v>6.0353064739123941E-2</v>
      </c>
      <c r="AO148">
        <v>4.1542822774683685E-2</v>
      </c>
      <c r="AR148">
        <v>8.3529731487614104E-4</v>
      </c>
      <c r="AS148">
        <v>4.6104414988491493E-3</v>
      </c>
      <c r="AT148">
        <v>5.069275201086576E-3</v>
      </c>
      <c r="AU148">
        <v>2.133987025079831E-3</v>
      </c>
      <c r="AV148">
        <v>1.7913151528466372E-3</v>
      </c>
      <c r="AW148">
        <v>3.1223751027121085E-3</v>
      </c>
      <c r="AX148">
        <v>3.8442328727503254E-4</v>
      </c>
      <c r="AY148">
        <v>5.2970277630381979E-4</v>
      </c>
      <c r="BB148">
        <v>5.8214561901979045E-2</v>
      </c>
      <c r="BC148">
        <v>4.295509540459002E-2</v>
      </c>
      <c r="BE148">
        <v>73680.305715736162</v>
      </c>
      <c r="BF148">
        <v>14.800261160661584</v>
      </c>
      <c r="BG148">
        <v>75178.781741534127</v>
      </c>
      <c r="BH148">
        <v>14.686956437708123</v>
      </c>
      <c r="BI148">
        <v>-1498.4760257979651</v>
      </c>
      <c r="BJ148">
        <v>0.11330472295346183</v>
      </c>
    </row>
    <row r="149" spans="3:62" x14ac:dyDescent="0.2">
      <c r="C149" s="121">
        <v>63070.648350697775</v>
      </c>
      <c r="D149">
        <v>16.573940335328963</v>
      </c>
      <c r="E149" s="121">
        <v>64793.310649059371</v>
      </c>
      <c r="F149" s="121">
        <v>16.405814407917742</v>
      </c>
      <c r="G149" s="121">
        <v>-1722.6622983615962</v>
      </c>
      <c r="H149" s="121">
        <v>0.16812592741122145</v>
      </c>
      <c r="J149" s="118">
        <v>182500</v>
      </c>
      <c r="L149">
        <v>0.999</v>
      </c>
      <c r="N149" s="121"/>
      <c r="O149" s="121"/>
      <c r="P149" s="121"/>
      <c r="R149">
        <v>216.95748096987626</v>
      </c>
      <c r="S149">
        <v>64.741615628404219</v>
      </c>
      <c r="T149">
        <v>278.15965491242366</v>
      </c>
      <c r="U149">
        <v>102.90114741468494</v>
      </c>
      <c r="X149">
        <v>0.74553683772724266</v>
      </c>
      <c r="Y149">
        <v>0.7898170602094764</v>
      </c>
      <c r="Z149">
        <v>0.79257178277970597</v>
      </c>
      <c r="AA149">
        <v>0.89294293274085246</v>
      </c>
      <c r="AB149">
        <v>0.72611829202678368</v>
      </c>
      <c r="AC149">
        <v>0.8806662008191164</v>
      </c>
      <c r="AD149">
        <v>0.81957274639203581</v>
      </c>
      <c r="AE149">
        <v>0.71111243580116523</v>
      </c>
      <c r="AH149">
        <v>8.7035267709065556E-2</v>
      </c>
      <c r="AI149">
        <v>9.3005250101898973E-2</v>
      </c>
      <c r="AJ149">
        <v>0.17940256158344681</v>
      </c>
      <c r="AK149">
        <v>7.0603178817892687E-2</v>
      </c>
      <c r="AL149">
        <v>0.33486469208411906</v>
      </c>
      <c r="AM149">
        <v>4.9774226472085292E-2</v>
      </c>
      <c r="AN149">
        <v>8.62559392726856E-2</v>
      </c>
      <c r="AO149">
        <v>0.19861356493755777</v>
      </c>
      <c r="AR149">
        <v>8.7306273017047267E-4</v>
      </c>
      <c r="AS149">
        <v>4.2019710621829416E-3</v>
      </c>
      <c r="AT149">
        <v>5.0667949644100929E-3</v>
      </c>
      <c r="AU149">
        <v>1.8835058619255112E-3</v>
      </c>
      <c r="AV149">
        <v>2.1691714896266978E-3</v>
      </c>
      <c r="AW149">
        <v>3.2511639632749364E-3</v>
      </c>
      <c r="AX149">
        <v>4.9979007180755985E-4</v>
      </c>
      <c r="AY149">
        <v>3.3502907691842295E-4</v>
      </c>
      <c r="BB149">
        <v>4.5868615461486982E-2</v>
      </c>
      <c r="BC149">
        <v>1.2007279938824779E-2</v>
      </c>
      <c r="BE149">
        <v>63070.648350697775</v>
      </c>
      <c r="BF149">
        <v>16.573940335328963</v>
      </c>
      <c r="BG149">
        <v>64793.310649059371</v>
      </c>
      <c r="BH149">
        <v>16.405814407917742</v>
      </c>
      <c r="BI149">
        <v>-1722.6622983615962</v>
      </c>
      <c r="BJ149">
        <v>0.16812592741122145</v>
      </c>
    </row>
    <row r="150" spans="3:62" x14ac:dyDescent="0.2">
      <c r="C150" s="121">
        <v>73338.17123607386</v>
      </c>
      <c r="D150">
        <v>16.410457263327139</v>
      </c>
      <c r="E150" s="121">
        <v>75653.876658857902</v>
      </c>
      <c r="F150" s="121">
        <v>16.301012085172445</v>
      </c>
      <c r="G150" s="121">
        <v>-2315.7054227840417</v>
      </c>
      <c r="H150" s="121">
        <v>0.10944517815469368</v>
      </c>
      <c r="J150" s="118">
        <v>185000</v>
      </c>
      <c r="L150">
        <v>0.999</v>
      </c>
      <c r="N150" s="121"/>
      <c r="O150" s="121"/>
      <c r="P150" s="121"/>
      <c r="R150">
        <v>236.79555107339331</v>
      </c>
      <c r="S150">
        <v>62.521771979290627</v>
      </c>
      <c r="T150">
        <v>288.4994836295246</v>
      </c>
      <c r="U150">
        <v>111.067281549851</v>
      </c>
      <c r="X150">
        <v>0.93782587203128287</v>
      </c>
      <c r="Y150">
        <v>0.49448278404699253</v>
      </c>
      <c r="Z150">
        <v>0.72009152980011026</v>
      </c>
      <c r="AA150">
        <v>0.65673786969972392</v>
      </c>
      <c r="AB150">
        <v>0.65040286378524781</v>
      </c>
      <c r="AC150">
        <v>0.68925252356352429</v>
      </c>
      <c r="AD150">
        <v>0.90436468512587598</v>
      </c>
      <c r="AE150">
        <v>0.47448480353116079</v>
      </c>
      <c r="AH150">
        <v>0.12735529706454474</v>
      </c>
      <c r="AI150">
        <v>6.5903867347156142E-2</v>
      </c>
      <c r="AJ150">
        <v>0.11800474615623413</v>
      </c>
      <c r="AK150">
        <v>9.136930251294606E-2</v>
      </c>
      <c r="AL150">
        <v>0.13135755382659364</v>
      </c>
      <c r="AM150">
        <v>3.1671992940034643E-2</v>
      </c>
      <c r="AN150">
        <v>0.19575489886144282</v>
      </c>
      <c r="AO150">
        <v>8.5751771508776331E-3</v>
      </c>
      <c r="AR150">
        <v>8.5092097140070913E-4</v>
      </c>
      <c r="AS150">
        <v>4.2879975918369033E-3</v>
      </c>
      <c r="AT150">
        <v>5.0478541527622101E-3</v>
      </c>
      <c r="AU150">
        <v>1.9958755299647434E-3</v>
      </c>
      <c r="AV150">
        <v>1.8270838735693204E-3</v>
      </c>
      <c r="AW150">
        <v>3.6731565181084003E-3</v>
      </c>
      <c r="AX150">
        <v>3.6919735050711458E-4</v>
      </c>
      <c r="AY150">
        <v>4.9966367483866847E-4</v>
      </c>
      <c r="BB150">
        <v>6.0484165355721986E-2</v>
      </c>
      <c r="BC150">
        <v>2.6257865409351579E-2</v>
      </c>
      <c r="BE150">
        <v>73338.17123607386</v>
      </c>
      <c r="BF150">
        <v>16.410457263327139</v>
      </c>
      <c r="BG150">
        <v>75653.876658857902</v>
      </c>
      <c r="BH150">
        <v>16.301012085172445</v>
      </c>
      <c r="BI150">
        <v>-2315.7054227840417</v>
      </c>
      <c r="BJ150">
        <v>0.10944517815469368</v>
      </c>
    </row>
    <row r="151" spans="3:62" x14ac:dyDescent="0.2">
      <c r="C151" s="121">
        <v>71239.327184993963</v>
      </c>
      <c r="D151">
        <v>15.602830441104761</v>
      </c>
      <c r="E151" s="121">
        <v>72196.089168892606</v>
      </c>
      <c r="F151" s="121">
        <v>15.496769056863856</v>
      </c>
      <c r="G151" s="121">
        <v>-956.76198389864294</v>
      </c>
      <c r="H151" s="121">
        <v>0.10606138424090439</v>
      </c>
      <c r="J151" s="118">
        <v>187500</v>
      </c>
      <c r="L151">
        <v>0.999</v>
      </c>
      <c r="N151" s="121"/>
      <c r="O151" s="121"/>
      <c r="P151" s="121"/>
      <c r="R151">
        <v>218.03632124242657</v>
      </c>
      <c r="S151">
        <v>70.563636042525161</v>
      </c>
      <c r="T151">
        <v>226.20170864152433</v>
      </c>
      <c r="U151">
        <v>101.09932330773448</v>
      </c>
      <c r="X151">
        <v>0.7603073029218127</v>
      </c>
      <c r="Y151">
        <v>0.74158379429949439</v>
      </c>
      <c r="Z151">
        <v>0.72727892187994803</v>
      </c>
      <c r="AA151">
        <v>0.6637221141074876</v>
      </c>
      <c r="AB151">
        <v>0.91506844484252614</v>
      </c>
      <c r="AC151">
        <v>0.78948387553458432</v>
      </c>
      <c r="AD151">
        <v>0.87356741882518119</v>
      </c>
      <c r="AE151">
        <v>0.52218535939769029</v>
      </c>
      <c r="AH151">
        <v>0.1411020751871801</v>
      </c>
      <c r="AI151">
        <v>0.15380939948351247</v>
      </c>
      <c r="AJ151">
        <v>0.1121349802334175</v>
      </c>
      <c r="AK151">
        <v>0.11893851468655425</v>
      </c>
      <c r="AL151">
        <v>0.20646859281285068</v>
      </c>
      <c r="AM151">
        <v>2.6513691412745288E-2</v>
      </c>
      <c r="AN151">
        <v>0.20213854497760797</v>
      </c>
      <c r="AO151">
        <v>0.13133329570175745</v>
      </c>
      <c r="AR151">
        <v>8.4942263219323067E-4</v>
      </c>
      <c r="AS151">
        <v>4.7236037418005861E-3</v>
      </c>
      <c r="AT151">
        <v>4.887648454093927E-3</v>
      </c>
      <c r="AU151">
        <v>2.1386596715238237E-3</v>
      </c>
      <c r="AV151">
        <v>1.8895825418428767E-3</v>
      </c>
      <c r="AW151">
        <v>3.4113076014625765E-3</v>
      </c>
      <c r="AX151">
        <v>5.5553480434167302E-4</v>
      </c>
      <c r="AY151">
        <v>4.7671105421198678E-4</v>
      </c>
      <c r="BB151">
        <v>4.6165658588182619E-2</v>
      </c>
      <c r="BC151">
        <v>8.0705533964373966E-2</v>
      </c>
      <c r="BE151">
        <v>71239.327184993963</v>
      </c>
      <c r="BF151">
        <v>15.602830441104761</v>
      </c>
      <c r="BG151">
        <v>72196.089168892606</v>
      </c>
      <c r="BH151">
        <v>15.496769056863856</v>
      </c>
      <c r="BI151">
        <v>-956.76198389864294</v>
      </c>
      <c r="BJ151">
        <v>0.10606138424090439</v>
      </c>
    </row>
    <row r="152" spans="3:62" x14ac:dyDescent="0.2">
      <c r="C152" s="121">
        <v>69460.894490205072</v>
      </c>
      <c r="D152">
        <v>17.49079554405521</v>
      </c>
      <c r="E152" s="121">
        <v>70890.764017768277</v>
      </c>
      <c r="F152" s="121">
        <v>17.384745347927893</v>
      </c>
      <c r="G152" s="121">
        <v>-1429.8695275632053</v>
      </c>
      <c r="H152" s="121">
        <v>0.10605019612731681</v>
      </c>
      <c r="J152" s="118">
        <v>190000</v>
      </c>
      <c r="L152">
        <v>0.999</v>
      </c>
      <c r="N152" s="121"/>
      <c r="O152" s="121"/>
      <c r="P152" s="121"/>
      <c r="R152">
        <v>327.62572088511615</v>
      </c>
      <c r="S152">
        <v>67.557111644864875</v>
      </c>
      <c r="T152">
        <v>274.90822001590482</v>
      </c>
      <c r="U152">
        <v>95.636361417070518</v>
      </c>
      <c r="X152">
        <v>0.90699811531129881</v>
      </c>
      <c r="Y152">
        <v>0.37151970666654882</v>
      </c>
      <c r="Z152">
        <v>0.57517153661966169</v>
      </c>
      <c r="AA152">
        <v>0.73825577809318876</v>
      </c>
      <c r="AB152">
        <v>0.91527096303185806</v>
      </c>
      <c r="AC152">
        <v>0.72971486682031361</v>
      </c>
      <c r="AD152">
        <v>0.53553564885253402</v>
      </c>
      <c r="AE152">
        <v>0.81458713416645367</v>
      </c>
      <c r="AH152">
        <v>2.745337662368541E-2</v>
      </c>
      <c r="AI152">
        <v>0.1044394840821492</v>
      </c>
      <c r="AJ152">
        <v>0.32859373197254671</v>
      </c>
      <c r="AK152">
        <v>0.12122430978206911</v>
      </c>
      <c r="AL152">
        <v>0.19477270650625844</v>
      </c>
      <c r="AM152">
        <v>9.7888699558261738E-3</v>
      </c>
      <c r="AN152">
        <v>0.40464871649964473</v>
      </c>
      <c r="AO152">
        <v>0.33281423531112087</v>
      </c>
      <c r="AR152">
        <v>8.9932472454923307E-4</v>
      </c>
      <c r="AS152">
        <v>4.4212752853481805E-3</v>
      </c>
      <c r="AT152">
        <v>4.6292464154652673E-3</v>
      </c>
      <c r="AU152">
        <v>1.9854793237179778E-3</v>
      </c>
      <c r="AV152">
        <v>1.9530901048561283E-3</v>
      </c>
      <c r="AW152">
        <v>3.2641725842764806E-3</v>
      </c>
      <c r="AX152">
        <v>4.2079663204985795E-4</v>
      </c>
      <c r="AY152">
        <v>5.235537195829032E-4</v>
      </c>
      <c r="BB152">
        <v>3.9270747622290512E-2</v>
      </c>
      <c r="BC152">
        <v>4.5590220072512455E-2</v>
      </c>
      <c r="BE152">
        <v>69460.894490205072</v>
      </c>
      <c r="BF152">
        <v>17.49079554405521</v>
      </c>
      <c r="BG152">
        <v>70890.764017768277</v>
      </c>
      <c r="BH152">
        <v>17.384745347927893</v>
      </c>
      <c r="BI152">
        <v>-1429.8695275632053</v>
      </c>
      <c r="BJ152">
        <v>0.10605019612731681</v>
      </c>
    </row>
    <row r="153" spans="3:62" x14ac:dyDescent="0.2">
      <c r="C153" s="121">
        <v>74813.505038776304</v>
      </c>
      <c r="D153">
        <v>18.930194322569037</v>
      </c>
      <c r="E153" s="121">
        <v>77001.773943223132</v>
      </c>
      <c r="F153" s="121">
        <v>18.861284338013437</v>
      </c>
      <c r="G153" s="121">
        <v>-2188.2689044468279</v>
      </c>
      <c r="H153" s="121">
        <v>6.890998455559938E-2</v>
      </c>
      <c r="J153" s="118">
        <v>192500</v>
      </c>
      <c r="L153">
        <v>0.999</v>
      </c>
      <c r="N153" s="121"/>
      <c r="O153" s="121"/>
      <c r="P153" s="121"/>
      <c r="R153">
        <v>235.49478789664633</v>
      </c>
      <c r="S153">
        <v>68.347583563381136</v>
      </c>
      <c r="T153">
        <v>238.09454969833922</v>
      </c>
      <c r="U153">
        <v>106.58771630136263</v>
      </c>
      <c r="X153">
        <v>0.82170473200814698</v>
      </c>
      <c r="Y153">
        <v>0.79165810699239325</v>
      </c>
      <c r="Z153">
        <v>0.81585871041709224</v>
      </c>
      <c r="AA153">
        <v>0.70539503097119316</v>
      </c>
      <c r="AB153">
        <v>0.66059560278150276</v>
      </c>
      <c r="AC153">
        <v>0.71734223271741071</v>
      </c>
      <c r="AD153">
        <v>0.65718655847768115</v>
      </c>
      <c r="AE153">
        <v>0.8377447154166322</v>
      </c>
      <c r="AH153">
        <v>0.11944133156722947</v>
      </c>
      <c r="AI153">
        <v>0.15393974211549677</v>
      </c>
      <c r="AJ153">
        <v>9.0670380225407854E-2</v>
      </c>
      <c r="AK153">
        <v>7.8925202050956322E-2</v>
      </c>
      <c r="AL153">
        <v>1.1418921385591752E-2</v>
      </c>
      <c r="AM153">
        <v>0.21471592044422561</v>
      </c>
      <c r="AN153">
        <v>0.10497829547373105</v>
      </c>
      <c r="AO153">
        <v>2.174963479620895E-2</v>
      </c>
      <c r="AR153">
        <v>8.2720460787205456E-4</v>
      </c>
      <c r="AS153">
        <v>4.2797968040132377E-3</v>
      </c>
      <c r="AT153">
        <v>4.9572291014096104E-3</v>
      </c>
      <c r="AU153">
        <v>2.104890230582912E-3</v>
      </c>
      <c r="AV153">
        <v>1.9525799304855517E-3</v>
      </c>
      <c r="AW153">
        <v>3.6383093836019897E-3</v>
      </c>
      <c r="AX153">
        <v>2.9890600581075443E-4</v>
      </c>
      <c r="AY153">
        <v>4.3399659937814897E-4</v>
      </c>
      <c r="BB153">
        <v>5.9336270449005246E-2</v>
      </c>
      <c r="BC153">
        <v>5.3896309842073276E-2</v>
      </c>
      <c r="BE153">
        <v>74813.505038776304</v>
      </c>
      <c r="BF153">
        <v>18.930194322569037</v>
      </c>
      <c r="BG153">
        <v>77001.773943223132</v>
      </c>
      <c r="BH153">
        <v>18.861284338013437</v>
      </c>
      <c r="BI153">
        <v>-2188.2689044468279</v>
      </c>
      <c r="BJ153">
        <v>6.890998455559938E-2</v>
      </c>
    </row>
    <row r="154" spans="3:62" x14ac:dyDescent="0.2">
      <c r="C154" s="121">
        <v>74718.569796836106</v>
      </c>
      <c r="D154">
        <v>17.767254953098668</v>
      </c>
      <c r="E154" s="121">
        <v>76290.639871189822</v>
      </c>
      <c r="F154" s="121">
        <v>17.679025886100305</v>
      </c>
      <c r="G154" s="121">
        <v>-1572.0700743537163</v>
      </c>
      <c r="H154" s="121">
        <v>8.8229066998362526E-2</v>
      </c>
      <c r="J154" s="118">
        <v>195000</v>
      </c>
      <c r="L154">
        <v>0.999</v>
      </c>
      <c r="N154" s="121"/>
      <c r="O154" s="121"/>
      <c r="P154" s="121"/>
      <c r="R154">
        <v>207.89217732203241</v>
      </c>
      <c r="S154">
        <v>59.637598561656418</v>
      </c>
      <c r="T154">
        <v>187.55375270227341</v>
      </c>
      <c r="U154">
        <v>91.367995891774228</v>
      </c>
      <c r="X154">
        <v>0.64896304530054405</v>
      </c>
      <c r="Y154">
        <v>0.84396360014093708</v>
      </c>
      <c r="Z154">
        <v>0.88479298973542231</v>
      </c>
      <c r="AA154">
        <v>0.66014959881978275</v>
      </c>
      <c r="AB154">
        <v>0.80102257291170231</v>
      </c>
      <c r="AC154">
        <v>0.8348345338146288</v>
      </c>
      <c r="AD154">
        <v>0.55957089900753931</v>
      </c>
      <c r="AE154">
        <v>0.68315935039781506</v>
      </c>
      <c r="AH154">
        <v>6.6786308601583411E-2</v>
      </c>
      <c r="AI154">
        <v>0.12911809021489495</v>
      </c>
      <c r="AJ154">
        <v>0.10745891231374372</v>
      </c>
      <c r="AK154">
        <v>0.10561689397684404</v>
      </c>
      <c r="AL154">
        <v>0.10448342281272183</v>
      </c>
      <c r="AM154">
        <v>2.1421424598950356E-2</v>
      </c>
      <c r="AN154">
        <v>0.15322895864114694</v>
      </c>
      <c r="AO154">
        <v>0.10905821889938194</v>
      </c>
      <c r="AR154">
        <v>8.7676215573090322E-4</v>
      </c>
      <c r="AS154">
        <v>4.6418443253368746E-3</v>
      </c>
      <c r="AT154">
        <v>4.7130061358318541E-3</v>
      </c>
      <c r="AU154">
        <v>1.8360334551944732E-3</v>
      </c>
      <c r="AV154">
        <v>2.1989796301754572E-3</v>
      </c>
      <c r="AW154">
        <v>3.429977181894861E-3</v>
      </c>
      <c r="AX154">
        <v>4.3048453765182071E-4</v>
      </c>
      <c r="AY154">
        <v>4.2654728985234503E-4</v>
      </c>
      <c r="BB154">
        <v>4.0959724054089458E-2</v>
      </c>
      <c r="BC154">
        <v>2.931166890662381E-2</v>
      </c>
      <c r="BE154">
        <v>74718.569796836106</v>
      </c>
      <c r="BF154">
        <v>17.767254953098668</v>
      </c>
      <c r="BG154">
        <v>76290.639871189822</v>
      </c>
      <c r="BH154">
        <v>17.679025886100305</v>
      </c>
      <c r="BI154">
        <v>-1572.0700743537163</v>
      </c>
      <c r="BJ154">
        <v>8.8229066998362526E-2</v>
      </c>
    </row>
    <row r="155" spans="3:62" x14ac:dyDescent="0.2">
      <c r="C155" s="121">
        <v>76304.154304354815</v>
      </c>
      <c r="D155">
        <v>15.543408786572673</v>
      </c>
      <c r="E155" s="121">
        <v>77798.06135892903</v>
      </c>
      <c r="F155" s="121">
        <v>15.396984831785334</v>
      </c>
      <c r="G155" s="121">
        <v>-1493.9070545742143</v>
      </c>
      <c r="H155" s="121">
        <v>0.14642395478733938</v>
      </c>
      <c r="J155" s="118">
        <v>197500</v>
      </c>
      <c r="L155">
        <v>0.999</v>
      </c>
      <c r="N155" s="121"/>
      <c r="O155" s="121"/>
      <c r="P155" s="121"/>
      <c r="R155">
        <v>233.60031693443344</v>
      </c>
      <c r="S155">
        <v>59.207962685225311</v>
      </c>
      <c r="T155">
        <v>295.70390705074686</v>
      </c>
      <c r="U155">
        <v>106.81953479124304</v>
      </c>
      <c r="X155">
        <v>0.62311043543324329</v>
      </c>
      <c r="Y155">
        <v>0.74071667854885503</v>
      </c>
      <c r="Z155">
        <v>0.69139293688427506</v>
      </c>
      <c r="AA155">
        <v>0.58606464894213506</v>
      </c>
      <c r="AB155">
        <v>0.7092031717828271</v>
      </c>
      <c r="AC155">
        <v>0.7130802067388291</v>
      </c>
      <c r="AD155">
        <v>0.56983529040708225</v>
      </c>
      <c r="AE155">
        <v>0.88809106451436137</v>
      </c>
      <c r="AH155">
        <v>0.10208966053910096</v>
      </c>
      <c r="AI155">
        <v>7.2223904675493555E-2</v>
      </c>
      <c r="AJ155">
        <v>0.10032806077575884</v>
      </c>
      <c r="AK155">
        <v>6.8692315168724871E-2</v>
      </c>
      <c r="AL155">
        <v>0.19049772377551488</v>
      </c>
      <c r="AM155">
        <v>2.0848274247273091E-2</v>
      </c>
      <c r="AN155">
        <v>4.1526034555450009E-2</v>
      </c>
      <c r="AO155">
        <v>0.21471595620531114</v>
      </c>
      <c r="AR155">
        <v>8.249443634481535E-4</v>
      </c>
      <c r="AS155">
        <v>4.4901459199920939E-3</v>
      </c>
      <c r="AT155">
        <v>4.5298388194064884E-3</v>
      </c>
      <c r="AU155">
        <v>1.9245737392119214E-3</v>
      </c>
      <c r="AV155">
        <v>1.9980822793099762E-3</v>
      </c>
      <c r="AW155">
        <v>3.2061213889197689E-3</v>
      </c>
      <c r="AX155">
        <v>3.3706152701356131E-4</v>
      </c>
      <c r="AY155">
        <v>4.5474872509998487E-4</v>
      </c>
      <c r="BB155">
        <v>5.179449593733787E-2</v>
      </c>
      <c r="BC155">
        <v>6.0567418790922645E-2</v>
      </c>
      <c r="BE155">
        <v>76304.154304354815</v>
      </c>
      <c r="BF155">
        <v>15.543408786572673</v>
      </c>
      <c r="BG155">
        <v>77798.06135892903</v>
      </c>
      <c r="BH155">
        <v>15.396984831785334</v>
      </c>
      <c r="BI155">
        <v>-1493.9070545742143</v>
      </c>
      <c r="BJ155">
        <v>0.14642395478733938</v>
      </c>
    </row>
    <row r="156" spans="3:62" x14ac:dyDescent="0.2">
      <c r="C156" s="121">
        <v>66041.59995068601</v>
      </c>
      <c r="D156">
        <v>15.243585290872726</v>
      </c>
      <c r="E156" s="121">
        <v>68699.942945234216</v>
      </c>
      <c r="F156" s="121">
        <v>15.095021228016348</v>
      </c>
      <c r="G156" s="121">
        <v>-2658.3429945482058</v>
      </c>
      <c r="H156" s="121">
        <v>0.14856406285637824</v>
      </c>
      <c r="J156" s="118">
        <v>200000</v>
      </c>
      <c r="L156">
        <v>0.999</v>
      </c>
      <c r="N156" s="121"/>
      <c r="O156" s="121"/>
      <c r="P156" s="121"/>
      <c r="R156">
        <v>238.57061438276551</v>
      </c>
      <c r="S156">
        <v>59.428561429053353</v>
      </c>
      <c r="T156">
        <v>188.19137606375531</v>
      </c>
      <c r="U156">
        <v>94.913656316586312</v>
      </c>
      <c r="X156">
        <v>0.85287333322346559</v>
      </c>
      <c r="Y156">
        <v>0.78972863431918727</v>
      </c>
      <c r="Z156">
        <v>0.84735704945374035</v>
      </c>
      <c r="AA156">
        <v>0.78558684058941219</v>
      </c>
      <c r="AB156">
        <v>0.72551065466993314</v>
      </c>
      <c r="AC156">
        <v>0.64160384952962923</v>
      </c>
      <c r="AD156">
        <v>0.81360352968234451</v>
      </c>
      <c r="AE156">
        <v>0.8935197198051299</v>
      </c>
      <c r="AH156">
        <v>6.2393343309909755E-2</v>
      </c>
      <c r="AI156">
        <v>0.17216849635002063</v>
      </c>
      <c r="AJ156">
        <v>3.4847036337859461E-2</v>
      </c>
      <c r="AK156">
        <v>0.13995302825802647</v>
      </c>
      <c r="AL156">
        <v>3.5819640319397994E-2</v>
      </c>
      <c r="AM156">
        <v>0.11879912442613094</v>
      </c>
      <c r="AN156">
        <v>6.6251795888373155E-2</v>
      </c>
      <c r="AO156">
        <v>8.3497210546155332E-2</v>
      </c>
      <c r="AR156">
        <v>9.6486049223876158E-4</v>
      </c>
      <c r="AS156">
        <v>4.605191848746748E-3</v>
      </c>
      <c r="AT156">
        <v>5.1851061303469503E-3</v>
      </c>
      <c r="AU156">
        <v>1.9015005623263291E-3</v>
      </c>
      <c r="AV156">
        <v>1.8827400438791184E-3</v>
      </c>
      <c r="AW156">
        <v>3.4261219483494587E-3</v>
      </c>
      <c r="AX156">
        <v>2.9110263057428371E-4</v>
      </c>
      <c r="AY156">
        <v>4.3369548466302374E-4</v>
      </c>
      <c r="BB156">
        <v>5.6119798456484071E-2</v>
      </c>
      <c r="BC156">
        <v>3.1466392743212605E-2</v>
      </c>
      <c r="BE156">
        <v>66041.59995068601</v>
      </c>
      <c r="BF156">
        <v>15.243585290872726</v>
      </c>
      <c r="BG156">
        <v>68699.942945234216</v>
      </c>
      <c r="BH156">
        <v>15.095021228016348</v>
      </c>
      <c r="BI156">
        <v>-2658.3429945482058</v>
      </c>
      <c r="BJ156">
        <v>0.14856406285637824</v>
      </c>
    </row>
    <row r="157" spans="3:62" x14ac:dyDescent="0.2">
      <c r="C157" s="121">
        <v>71017.901037340605</v>
      </c>
      <c r="D157">
        <v>16.423615699370941</v>
      </c>
      <c r="E157" s="121">
        <v>72450.541534461401</v>
      </c>
      <c r="F157" s="121">
        <v>16.274272640217269</v>
      </c>
      <c r="G157" s="121">
        <v>-1432.6404971207958</v>
      </c>
      <c r="H157" s="121">
        <v>0.14934305915367219</v>
      </c>
      <c r="N157" s="121"/>
      <c r="O157" s="121"/>
      <c r="P157" s="121"/>
      <c r="R157">
        <v>338.32322796523772</v>
      </c>
      <c r="S157">
        <v>65.327883147529533</v>
      </c>
      <c r="T157">
        <v>240.95708357345839</v>
      </c>
      <c r="U157">
        <v>99.719844672798857</v>
      </c>
      <c r="X157">
        <v>0.6704974936806245</v>
      </c>
      <c r="Y157">
        <v>0.70006801221171677</v>
      </c>
      <c r="Z157">
        <v>0.54826717258536128</v>
      </c>
      <c r="AA157">
        <v>0.78374893322810624</v>
      </c>
      <c r="AB157">
        <v>0.89221789595574386</v>
      </c>
      <c r="AC157">
        <v>0.63324685433824357</v>
      </c>
      <c r="AD157">
        <v>0.8618298453280645</v>
      </c>
      <c r="AE157">
        <v>0.72225615537843613</v>
      </c>
      <c r="AH157">
        <v>0.11859742010726393</v>
      </c>
      <c r="AI157">
        <v>6.6740905482730928E-2</v>
      </c>
      <c r="AJ157">
        <v>0.16421778685248034</v>
      </c>
      <c r="AK157">
        <v>5.6475170745005965E-2</v>
      </c>
      <c r="AL157">
        <v>0.11634333841755673</v>
      </c>
      <c r="AM157">
        <v>0.17047847178018272</v>
      </c>
      <c r="AN157">
        <v>0.12584565123341351</v>
      </c>
      <c r="AO157">
        <v>0.11747390424462156</v>
      </c>
      <c r="AR157">
        <v>7.4416780098887246E-4</v>
      </c>
      <c r="AS157">
        <v>4.5633794917062653E-3</v>
      </c>
      <c r="AT157">
        <v>5.0363026355065843E-3</v>
      </c>
      <c r="AU157">
        <v>2.1579300150176284E-3</v>
      </c>
      <c r="AV157">
        <v>1.9409763312828723E-3</v>
      </c>
      <c r="AW157">
        <v>3.2348642257036255E-3</v>
      </c>
      <c r="AX157">
        <v>3.8246887369667502E-4</v>
      </c>
      <c r="AY157">
        <v>4.1664522402822646E-4</v>
      </c>
      <c r="BB157">
        <v>5.6824851813354393E-2</v>
      </c>
      <c r="BC157">
        <v>0.11688986079811881</v>
      </c>
      <c r="BE157">
        <v>71017.901037340605</v>
      </c>
      <c r="BF157">
        <v>16.423615699370941</v>
      </c>
      <c r="BG157">
        <v>72450.541534461401</v>
      </c>
      <c r="BH157">
        <v>16.274272640217269</v>
      </c>
      <c r="BI157">
        <v>-1432.6404971207958</v>
      </c>
      <c r="BJ157">
        <v>0.14934305915367219</v>
      </c>
    </row>
    <row r="158" spans="3:62" x14ac:dyDescent="0.2">
      <c r="C158" s="121">
        <v>78489.633604922114</v>
      </c>
      <c r="D158">
        <v>15.957212581322592</v>
      </c>
      <c r="E158" s="121">
        <v>80561.37925738348</v>
      </c>
      <c r="F158" s="121">
        <v>15.80884743724121</v>
      </c>
      <c r="G158" s="121">
        <v>-2071.7456524613663</v>
      </c>
      <c r="H158" s="121">
        <v>0.14836514408138157</v>
      </c>
      <c r="N158" s="121"/>
      <c r="O158" s="121"/>
      <c r="P158" s="121"/>
      <c r="R158">
        <v>208.19603497554817</v>
      </c>
      <c r="S158">
        <v>62.041006902749274</v>
      </c>
      <c r="T158">
        <v>261.59420459785889</v>
      </c>
      <c r="U158">
        <v>103.23795607428208</v>
      </c>
      <c r="X158">
        <v>0.87911410650918231</v>
      </c>
      <c r="Y158">
        <v>0.64941374148341124</v>
      </c>
      <c r="Z158">
        <v>0.76754857778395225</v>
      </c>
      <c r="AA158">
        <v>0.80922229816805546</v>
      </c>
      <c r="AB158">
        <v>0.70217698405430706</v>
      </c>
      <c r="AC158">
        <v>0.9317680138984632</v>
      </c>
      <c r="AD158">
        <v>0.76220839555436348</v>
      </c>
      <c r="AE158">
        <v>0.82472681445274965</v>
      </c>
      <c r="AH158">
        <v>0.1628804874340416</v>
      </c>
      <c r="AI158">
        <v>7.1060353345465233E-2</v>
      </c>
      <c r="AJ158">
        <v>7.943927700033071E-2</v>
      </c>
      <c r="AK158">
        <v>5.0740815789485305E-2</v>
      </c>
      <c r="AL158">
        <v>0.17533818933004397</v>
      </c>
      <c r="AM158">
        <v>0.13382608724395306</v>
      </c>
      <c r="AN158">
        <v>5.1261440433088445E-2</v>
      </c>
      <c r="AO158">
        <v>9.5551777318314768E-2</v>
      </c>
      <c r="AR158">
        <v>1.0510600270610126E-3</v>
      </c>
      <c r="AS158">
        <v>4.2663020129548746E-3</v>
      </c>
      <c r="AT158">
        <v>5.1833962612370943E-3</v>
      </c>
      <c r="AU158">
        <v>2.0427960710739379E-3</v>
      </c>
      <c r="AV158">
        <v>1.9122537238401001E-3</v>
      </c>
      <c r="AW158">
        <v>3.376931029213145E-3</v>
      </c>
      <c r="AX158">
        <v>3.3967466743913433E-4</v>
      </c>
      <c r="AY158">
        <v>3.9622860651185153E-4</v>
      </c>
      <c r="BB158">
        <v>4.49325608225222E-2</v>
      </c>
      <c r="BC158">
        <v>7.7275864895048341E-2</v>
      </c>
      <c r="BE158">
        <v>78489.633604922114</v>
      </c>
      <c r="BF158">
        <v>15.957212581322592</v>
      </c>
      <c r="BG158">
        <v>80561.37925738348</v>
      </c>
      <c r="BH158">
        <v>15.80884743724121</v>
      </c>
      <c r="BI158">
        <v>-2071.7456524613663</v>
      </c>
      <c r="BJ158">
        <v>0.14836514408138157</v>
      </c>
    </row>
    <row r="159" spans="3:62" x14ac:dyDescent="0.2">
      <c r="C159" s="121">
        <v>78149.309439081699</v>
      </c>
      <c r="D159">
        <v>13.608123810786076</v>
      </c>
      <c r="E159" s="121">
        <v>80220.760498703341</v>
      </c>
      <c r="F159" s="121">
        <v>13.386802879759731</v>
      </c>
      <c r="G159" s="121">
        <v>-2071.4510596216423</v>
      </c>
      <c r="H159" s="121">
        <v>0.22132093102634443</v>
      </c>
      <c r="N159" s="121"/>
      <c r="O159" s="121"/>
      <c r="P159" s="121"/>
      <c r="R159">
        <v>293.44666873705955</v>
      </c>
      <c r="S159">
        <v>57.616883612473295</v>
      </c>
      <c r="T159">
        <v>257.84129700832193</v>
      </c>
      <c r="U159">
        <v>86.720927307786567</v>
      </c>
      <c r="X159">
        <v>0.8085743165581023</v>
      </c>
      <c r="Y159">
        <v>0.77920732074349641</v>
      </c>
      <c r="Z159">
        <v>0.74104667858481577</v>
      </c>
      <c r="AA159">
        <v>0.87239393280884725</v>
      </c>
      <c r="AB159">
        <v>0.70482146364180542</v>
      </c>
      <c r="AC159">
        <v>0.92532847924490291</v>
      </c>
      <c r="AD159">
        <v>0.79552340313937997</v>
      </c>
      <c r="AE159">
        <v>0.9282922748482727</v>
      </c>
      <c r="AH159">
        <v>7.450737348698333E-2</v>
      </c>
      <c r="AI159">
        <v>0.26347587213698453</v>
      </c>
      <c r="AJ159">
        <v>1.6463759032488534E-2</v>
      </c>
      <c r="AK159">
        <v>0.13362694465512415</v>
      </c>
      <c r="AL159">
        <v>0.17687504296995304</v>
      </c>
      <c r="AM159">
        <v>8.8434287451254034E-2</v>
      </c>
      <c r="AN159">
        <v>0.10330538670720435</v>
      </c>
      <c r="AO159">
        <v>8.9720284127892236E-2</v>
      </c>
      <c r="AR159">
        <v>1.1628894839679216E-3</v>
      </c>
      <c r="AS159">
        <v>4.4354708111245447E-3</v>
      </c>
      <c r="AT159">
        <v>4.7582878169007874E-3</v>
      </c>
      <c r="AU159">
        <v>1.8514050920896321E-3</v>
      </c>
      <c r="AV159">
        <v>1.9794385424677981E-3</v>
      </c>
      <c r="AW159">
        <v>3.3099787723916856E-3</v>
      </c>
      <c r="AX159">
        <v>3.6422357402615056E-4</v>
      </c>
      <c r="AY159">
        <v>4.5853489258307345E-4</v>
      </c>
      <c r="BB159">
        <v>4.3656671409463672E-2</v>
      </c>
      <c r="BC159">
        <v>2.0381035438589278E-2</v>
      </c>
      <c r="BE159">
        <v>78149.309439081699</v>
      </c>
      <c r="BF159">
        <v>13.608123810786076</v>
      </c>
      <c r="BG159">
        <v>80220.760498703341</v>
      </c>
      <c r="BH159">
        <v>13.386802879759731</v>
      </c>
      <c r="BI159">
        <v>-2071.4510596216423</v>
      </c>
      <c r="BJ159">
        <v>0.22132093102634443</v>
      </c>
    </row>
    <row r="160" spans="3:62" x14ac:dyDescent="0.2">
      <c r="C160" s="121">
        <v>69068.762041567534</v>
      </c>
      <c r="D160">
        <v>16.237736866474734</v>
      </c>
      <c r="E160" s="121">
        <v>70755.499427070696</v>
      </c>
      <c r="F160" s="121">
        <v>16.169108438377883</v>
      </c>
      <c r="G160" s="121">
        <v>-1686.7373855031619</v>
      </c>
      <c r="H160" s="121">
        <v>6.8628428096850769E-2</v>
      </c>
      <c r="N160" s="121"/>
      <c r="O160" s="121"/>
      <c r="P160" s="121"/>
      <c r="R160">
        <v>475.14653615730066</v>
      </c>
      <c r="S160">
        <v>77.944579273101411</v>
      </c>
      <c r="T160">
        <v>214.03602757547597</v>
      </c>
      <c r="U160">
        <v>101.85448107968173</v>
      </c>
      <c r="X160">
        <v>0.85167950846006024</v>
      </c>
      <c r="Y160">
        <v>0.68719036734930072</v>
      </c>
      <c r="Z160">
        <v>0.74575954948898338</v>
      </c>
      <c r="AA160">
        <v>0.83297643696510437</v>
      </c>
      <c r="AB160">
        <v>0.81158705962217492</v>
      </c>
      <c r="AC160">
        <v>0.70225936150996859</v>
      </c>
      <c r="AD160">
        <v>0.69391915108822955</v>
      </c>
      <c r="AE160">
        <v>0.91362888046451862</v>
      </c>
      <c r="AH160">
        <v>0.148576505071493</v>
      </c>
      <c r="AI160">
        <v>0.11150972178895624</v>
      </c>
      <c r="AJ160">
        <v>0.168334750298335</v>
      </c>
      <c r="AK160">
        <v>0.11419644065601509</v>
      </c>
      <c r="AL160">
        <v>0.19558007446605175</v>
      </c>
      <c r="AM160">
        <v>0.13803116285779848</v>
      </c>
      <c r="AN160">
        <v>4.2834801653835797E-2</v>
      </c>
      <c r="AO160">
        <v>3.1435812752681147E-2</v>
      </c>
      <c r="AR160">
        <v>1.0206814614499571E-3</v>
      </c>
      <c r="AS160">
        <v>4.8062635651433538E-3</v>
      </c>
      <c r="AT160">
        <v>5.0967905587693263E-3</v>
      </c>
      <c r="AU160">
        <v>1.9375095404068623E-3</v>
      </c>
      <c r="AV160">
        <v>2.0722247295271723E-3</v>
      </c>
      <c r="AW160">
        <v>3.4833945957473134E-3</v>
      </c>
      <c r="AX160">
        <v>3.9667160617885795E-4</v>
      </c>
      <c r="AY160">
        <v>5.5479697942428796E-4</v>
      </c>
      <c r="BB160">
        <v>4.6637892381770643E-2</v>
      </c>
      <c r="BC160">
        <v>3.0189987091111467E-2</v>
      </c>
      <c r="BE160">
        <v>69068.762041567534</v>
      </c>
      <c r="BF160">
        <v>16.237736866474734</v>
      </c>
      <c r="BG160">
        <v>70755.499427070696</v>
      </c>
      <c r="BH160">
        <v>16.169108438377883</v>
      </c>
      <c r="BI160">
        <v>-1686.7373855031619</v>
      </c>
      <c r="BJ160">
        <v>6.8628428096850769E-2</v>
      </c>
    </row>
    <row r="161" spans="3:62" x14ac:dyDescent="0.2">
      <c r="C161" s="121">
        <v>68018.602846212743</v>
      </c>
      <c r="D161">
        <v>16.089884334044299</v>
      </c>
      <c r="E161" s="121">
        <v>69592.740681296258</v>
      </c>
      <c r="F161" s="121">
        <v>15.94407554756226</v>
      </c>
      <c r="G161" s="121">
        <v>-1574.1378350835148</v>
      </c>
      <c r="H161" s="121">
        <v>0.14580878648203921</v>
      </c>
      <c r="N161" s="121"/>
      <c r="O161" s="121"/>
      <c r="P161" s="121"/>
      <c r="R161">
        <v>305.55539478853052</v>
      </c>
      <c r="S161">
        <v>60.311179576167298</v>
      </c>
      <c r="T161">
        <v>241.93672837417643</v>
      </c>
      <c r="U161">
        <v>75.271893469333904</v>
      </c>
      <c r="X161">
        <v>0.81293707442937047</v>
      </c>
      <c r="Y161">
        <v>0.47307699487313032</v>
      </c>
      <c r="Z161">
        <v>0.48990103535367557</v>
      </c>
      <c r="AA161">
        <v>0.86435953509941355</v>
      </c>
      <c r="AB161">
        <v>0.67708237303577223</v>
      </c>
      <c r="AC161">
        <v>0.82265524970500714</v>
      </c>
      <c r="AD161">
        <v>0.62042340927060913</v>
      </c>
      <c r="AE161">
        <v>0.87603022433378497</v>
      </c>
      <c r="AH161">
        <v>0.10228901350050446</v>
      </c>
      <c r="AI161">
        <v>2.5875791353363264E-2</v>
      </c>
      <c r="AJ161">
        <v>7.5058133357362111E-2</v>
      </c>
      <c r="AK161">
        <v>7.1494869105655279E-2</v>
      </c>
      <c r="AL161">
        <v>6.1017767875219842E-2</v>
      </c>
      <c r="AM161">
        <v>9.2825617599509802E-2</v>
      </c>
      <c r="AN161">
        <v>0.27566542617336953</v>
      </c>
      <c r="AO161">
        <v>0.18236806323094235</v>
      </c>
      <c r="AR161">
        <v>9.2929021415744106E-4</v>
      </c>
      <c r="AS161">
        <v>4.2167820366630811E-3</v>
      </c>
      <c r="AT161">
        <v>5.1207797340030448E-3</v>
      </c>
      <c r="AU161">
        <v>1.8733263433818907E-3</v>
      </c>
      <c r="AV161">
        <v>1.89390441212122E-3</v>
      </c>
      <c r="AW161">
        <v>3.3328988546899641E-3</v>
      </c>
      <c r="AX161">
        <v>3.7186817463058113E-4</v>
      </c>
      <c r="AY161">
        <v>5.4739309530504876E-4</v>
      </c>
      <c r="BB161">
        <v>4.6164369924479393E-2</v>
      </c>
      <c r="BC161">
        <v>2.2238163129642427E-2</v>
      </c>
      <c r="BE161">
        <v>68018.602846212743</v>
      </c>
      <c r="BF161">
        <v>16.089884334044299</v>
      </c>
      <c r="BG161">
        <v>69592.740681296258</v>
      </c>
      <c r="BH161">
        <v>15.94407554756226</v>
      </c>
      <c r="BI161">
        <v>-1574.1378350835148</v>
      </c>
      <c r="BJ161">
        <v>0.14580878648203921</v>
      </c>
    </row>
    <row r="162" spans="3:62" x14ac:dyDescent="0.2">
      <c r="C162" s="121">
        <v>66162.723415360277</v>
      </c>
      <c r="D162">
        <v>18.886966200311221</v>
      </c>
      <c r="E162" s="121">
        <v>67361.940913725528</v>
      </c>
      <c r="F162" s="121">
        <v>18.82602609198884</v>
      </c>
      <c r="G162" s="121">
        <v>-1199.2174983652512</v>
      </c>
      <c r="H162" s="121">
        <v>6.0940108322380837E-2</v>
      </c>
      <c r="N162" s="121"/>
      <c r="O162" s="121"/>
      <c r="P162" s="121"/>
      <c r="R162">
        <v>323.16766033096911</v>
      </c>
      <c r="S162">
        <v>43.409322987508503</v>
      </c>
      <c r="T162">
        <v>249.11636174932747</v>
      </c>
      <c r="U162">
        <v>93.262413118119966</v>
      </c>
      <c r="X162">
        <v>0.50659433014511179</v>
      </c>
      <c r="Y162">
        <v>0.87536191273858321</v>
      </c>
      <c r="Z162">
        <v>0.69580670764457042</v>
      </c>
      <c r="AA162">
        <v>0.59848492339308546</v>
      </c>
      <c r="AB162">
        <v>0.75232582976977425</v>
      </c>
      <c r="AC162">
        <v>0.59912629213945479</v>
      </c>
      <c r="AD162">
        <v>0.61253202601182621</v>
      </c>
      <c r="AE162">
        <v>0.71269832691417279</v>
      </c>
      <c r="AH162">
        <v>0.31733936525715167</v>
      </c>
      <c r="AI162">
        <v>0.12504820712623332</v>
      </c>
      <c r="AJ162">
        <v>7.3494054344036108E-2</v>
      </c>
      <c r="AK162">
        <v>5.3786167289663678E-2</v>
      </c>
      <c r="AL162">
        <v>8.3581492455939155E-2</v>
      </c>
      <c r="AM162">
        <v>0.18645131163433382</v>
      </c>
      <c r="AN162">
        <v>3.4278244736559049E-2</v>
      </c>
      <c r="AO162">
        <v>9.5367869896280988E-2</v>
      </c>
      <c r="AR162">
        <v>7.845464704402485E-4</v>
      </c>
      <c r="AS162">
        <v>4.1737403333725756E-3</v>
      </c>
      <c r="AT162">
        <v>4.9257859613995349E-3</v>
      </c>
      <c r="AU162">
        <v>2.100890165504965E-3</v>
      </c>
      <c r="AV162">
        <v>2.0248373775739736E-3</v>
      </c>
      <c r="AW162">
        <v>3.5998704611353016E-3</v>
      </c>
      <c r="AX162">
        <v>3.9065172759767904E-4</v>
      </c>
      <c r="AY162">
        <v>4.6709152718171776E-4</v>
      </c>
      <c r="BB162">
        <v>4.4389606199110899E-2</v>
      </c>
      <c r="BC162">
        <v>4.9875688067006485E-2</v>
      </c>
      <c r="BE162">
        <v>66162.723415360277</v>
      </c>
      <c r="BF162">
        <v>18.886966200311221</v>
      </c>
      <c r="BG162">
        <v>67361.940913725528</v>
      </c>
      <c r="BH162">
        <v>18.82602609198884</v>
      </c>
      <c r="BI162">
        <v>-1199.2174983652512</v>
      </c>
      <c r="BJ162">
        <v>6.0940108322380837E-2</v>
      </c>
    </row>
    <row r="163" spans="3:62" x14ac:dyDescent="0.2">
      <c r="C163" s="121">
        <v>66095.246032867028</v>
      </c>
      <c r="D163">
        <v>17.239109750039788</v>
      </c>
      <c r="E163" s="121">
        <v>67847.623691622983</v>
      </c>
      <c r="F163" s="121">
        <v>17.103346285377906</v>
      </c>
      <c r="G163" s="121">
        <v>-1752.3776587559551</v>
      </c>
      <c r="H163" s="121">
        <v>0.13576346466188127</v>
      </c>
      <c r="N163" s="121"/>
      <c r="O163" s="121"/>
      <c r="P163" s="121"/>
      <c r="R163">
        <v>304.87413954328372</v>
      </c>
      <c r="S163">
        <v>60.528367639549664</v>
      </c>
      <c r="T163">
        <v>267.30694562263017</v>
      </c>
      <c r="U163">
        <v>114.2935855944575</v>
      </c>
      <c r="X163">
        <v>0.71335413487076782</v>
      </c>
      <c r="Y163">
        <v>0.71596627509834698</v>
      </c>
      <c r="Z163">
        <v>0.71737650683995047</v>
      </c>
      <c r="AA163">
        <v>0.55131763633652731</v>
      </c>
      <c r="AB163">
        <v>0.81064078800015438</v>
      </c>
      <c r="AC163">
        <v>0.8436397774121388</v>
      </c>
      <c r="AD163">
        <v>0.65023418957614709</v>
      </c>
      <c r="AE163">
        <v>0.74951895281523195</v>
      </c>
      <c r="AH163">
        <v>9.8641838760318512E-2</v>
      </c>
      <c r="AI163">
        <v>9.7380118635958191E-2</v>
      </c>
      <c r="AJ163">
        <v>8.3679195179095611E-2</v>
      </c>
      <c r="AK163">
        <v>0.13469252035196577</v>
      </c>
      <c r="AL163">
        <v>5.798284847887436E-2</v>
      </c>
      <c r="AM163">
        <v>0.31438656901093509</v>
      </c>
      <c r="AN163">
        <v>0.18604162730281348</v>
      </c>
      <c r="AO163">
        <v>4.8459182505085741E-2</v>
      </c>
      <c r="AR163">
        <v>1.0512821496969638E-3</v>
      </c>
      <c r="AS163">
        <v>4.4135307039104557E-3</v>
      </c>
      <c r="AT163">
        <v>5.2735241041039771E-3</v>
      </c>
      <c r="AU163">
        <v>2.0179674371644252E-3</v>
      </c>
      <c r="AV163">
        <v>2.0871560699391445E-3</v>
      </c>
      <c r="AW163">
        <v>3.629800107428971E-3</v>
      </c>
      <c r="AX163">
        <v>3.1730000316955545E-4</v>
      </c>
      <c r="AY163">
        <v>3.9415568283431484E-4</v>
      </c>
      <c r="BB163">
        <v>4.6555741831085649E-2</v>
      </c>
      <c r="BC163">
        <v>8.0204731531223317E-2</v>
      </c>
      <c r="BE163">
        <v>66095.246032867028</v>
      </c>
      <c r="BF163">
        <v>17.239109750039788</v>
      </c>
      <c r="BG163">
        <v>67847.623691622983</v>
      </c>
      <c r="BH163">
        <v>17.103346285377906</v>
      </c>
      <c r="BI163">
        <v>-1752.3776587559551</v>
      </c>
      <c r="BJ163">
        <v>0.13576346466188127</v>
      </c>
    </row>
    <row r="164" spans="3:62" x14ac:dyDescent="0.2">
      <c r="C164" s="121">
        <v>71034.403726181161</v>
      </c>
      <c r="D164">
        <v>15.624081636003703</v>
      </c>
      <c r="E164" s="121">
        <v>73102.025598672044</v>
      </c>
      <c r="F164" s="121">
        <v>15.463980281727904</v>
      </c>
      <c r="G164" s="121">
        <v>-2067.6218724908831</v>
      </c>
      <c r="H164" s="121">
        <v>0.16010135427579897</v>
      </c>
      <c r="N164" s="121"/>
      <c r="O164" s="121"/>
      <c r="P164" s="121"/>
      <c r="R164">
        <v>202.08851588688717</v>
      </c>
      <c r="S164">
        <v>59.56391300147807</v>
      </c>
      <c r="T164">
        <v>232.7705820286038</v>
      </c>
      <c r="U164">
        <v>94.357163044113548</v>
      </c>
      <c r="X164">
        <v>0.77413656732793856</v>
      </c>
      <c r="Y164">
        <v>0.66078749941659598</v>
      </c>
      <c r="Z164">
        <v>0.84897516879006552</v>
      </c>
      <c r="AA164">
        <v>0.90548463123506762</v>
      </c>
      <c r="AB164">
        <v>0.87766145158058695</v>
      </c>
      <c r="AC164">
        <v>0.76187626307986556</v>
      </c>
      <c r="AD164">
        <v>0.84198921549803329</v>
      </c>
      <c r="AE164">
        <v>0.8248221639508837</v>
      </c>
      <c r="AH164">
        <v>0.14563751463720731</v>
      </c>
      <c r="AI164">
        <v>0.1202088047259896</v>
      </c>
      <c r="AJ164">
        <v>0.24190519861424686</v>
      </c>
      <c r="AK164">
        <v>4.5024888927933771E-2</v>
      </c>
      <c r="AL164">
        <v>8.2424869953588775E-2</v>
      </c>
      <c r="AM164">
        <v>9.8921259904081627E-2</v>
      </c>
      <c r="AN164">
        <v>0.2164832854297456</v>
      </c>
      <c r="AO164">
        <v>0.12770206701131337</v>
      </c>
      <c r="AR164">
        <v>9.0585486998562281E-4</v>
      </c>
      <c r="AS164">
        <v>4.3376617813249661E-3</v>
      </c>
      <c r="AT164">
        <v>4.7730841768885927E-3</v>
      </c>
      <c r="AU164">
        <v>2.0950334842853024E-3</v>
      </c>
      <c r="AV164">
        <v>1.9385630593568156E-3</v>
      </c>
      <c r="AW164">
        <v>3.2721240969511827E-3</v>
      </c>
      <c r="AX164">
        <v>4.0961263035932394E-4</v>
      </c>
      <c r="AY164">
        <v>5.0310142505882727E-4</v>
      </c>
      <c r="BB164">
        <v>4.738702679203375E-2</v>
      </c>
      <c r="BC164">
        <v>5.6933645723846737E-2</v>
      </c>
      <c r="BE164">
        <v>71034.403726181161</v>
      </c>
      <c r="BF164">
        <v>15.624081636003703</v>
      </c>
      <c r="BG164">
        <v>73102.025598672044</v>
      </c>
      <c r="BH164">
        <v>15.463980281727904</v>
      </c>
      <c r="BI164">
        <v>-2067.6218724908831</v>
      </c>
      <c r="BJ164">
        <v>0.16010135427579897</v>
      </c>
    </row>
    <row r="165" spans="3:62" x14ac:dyDescent="0.2">
      <c r="C165" s="121">
        <v>68537.152122579006</v>
      </c>
      <c r="D165">
        <v>15.762734296841408</v>
      </c>
      <c r="E165" s="121">
        <v>70175.391439219107</v>
      </c>
      <c r="F165" s="121">
        <v>15.683589135628429</v>
      </c>
      <c r="G165" s="121">
        <v>-1638.2393166401016</v>
      </c>
      <c r="H165" s="121">
        <v>7.9145161212979431E-2</v>
      </c>
      <c r="N165" s="121"/>
      <c r="O165" s="121"/>
      <c r="P165" s="121"/>
      <c r="R165">
        <v>224.06009364522151</v>
      </c>
      <c r="S165">
        <v>59.109982201458109</v>
      </c>
      <c r="T165">
        <v>273.33194290869073</v>
      </c>
      <c r="U165">
        <v>110.3320896475624</v>
      </c>
      <c r="X165">
        <v>0.72364971256653299</v>
      </c>
      <c r="Y165">
        <v>0.62238785164016297</v>
      </c>
      <c r="Z165">
        <v>0.72084242000683341</v>
      </c>
      <c r="AA165">
        <v>0.72706871036596432</v>
      </c>
      <c r="AB165">
        <v>0.62292055566684112</v>
      </c>
      <c r="AC165">
        <v>0.80625159561416604</v>
      </c>
      <c r="AD165">
        <v>0.74658553469577993</v>
      </c>
      <c r="AE165">
        <v>0.86735472882345688</v>
      </c>
      <c r="AH165">
        <v>1.2411615439762436E-2</v>
      </c>
      <c r="AI165">
        <v>0.2713367068321364</v>
      </c>
      <c r="AJ165">
        <v>0.12317718758202834</v>
      </c>
      <c r="AK165">
        <v>0.13418726136658388</v>
      </c>
      <c r="AL165">
        <v>8.3408403061022707E-2</v>
      </c>
      <c r="AM165">
        <v>0.14501039499818769</v>
      </c>
      <c r="AN165">
        <v>2.4366818612001961E-2</v>
      </c>
      <c r="AO165">
        <v>2.1632844696580111E-2</v>
      </c>
      <c r="AR165">
        <v>9.752774359657046E-4</v>
      </c>
      <c r="AS165">
        <v>4.7386570182942345E-3</v>
      </c>
      <c r="AT165">
        <v>5.1672377670171077E-3</v>
      </c>
      <c r="AU165">
        <v>2.0336317051996566E-3</v>
      </c>
      <c r="AV165">
        <v>2.0694588634713185E-3</v>
      </c>
      <c r="AW165">
        <v>3.3350932451943933E-3</v>
      </c>
      <c r="AX165">
        <v>4.3475908430834487E-4</v>
      </c>
      <c r="AY165">
        <v>3.8319619929296406E-4</v>
      </c>
      <c r="BB165">
        <v>5.4374586580473783E-2</v>
      </c>
      <c r="BC165">
        <v>5.0017412422709961E-2</v>
      </c>
      <c r="BE165">
        <v>68537.152122579006</v>
      </c>
      <c r="BF165">
        <v>15.762734296841408</v>
      </c>
      <c r="BG165">
        <v>70175.391439219107</v>
      </c>
      <c r="BH165">
        <v>15.683589135628429</v>
      </c>
      <c r="BI165">
        <v>-1638.2393166401016</v>
      </c>
      <c r="BJ165">
        <v>7.9145161212979431E-2</v>
      </c>
    </row>
    <row r="166" spans="3:62" x14ac:dyDescent="0.2">
      <c r="C166" s="121">
        <v>74198.132470534663</v>
      </c>
      <c r="D166">
        <v>14.542649666780202</v>
      </c>
      <c r="E166" s="121">
        <v>76467.100344347578</v>
      </c>
      <c r="F166" s="121">
        <v>14.425104132864583</v>
      </c>
      <c r="G166" s="121">
        <v>-2268.9678738129151</v>
      </c>
      <c r="H166" s="121">
        <v>0.11754553391561906</v>
      </c>
      <c r="N166" s="121"/>
      <c r="O166" s="121"/>
      <c r="P166" s="121"/>
      <c r="R166">
        <v>197.51533360070454</v>
      </c>
      <c r="S166">
        <v>57.517156719963467</v>
      </c>
      <c r="T166">
        <v>262.11338176877183</v>
      </c>
      <c r="U166">
        <v>95.373090444034716</v>
      </c>
      <c r="X166">
        <v>0.50814412453647795</v>
      </c>
      <c r="Y166">
        <v>0.66702924739477198</v>
      </c>
      <c r="Z166">
        <v>0.91819354793555763</v>
      </c>
      <c r="AA166">
        <v>0.46251575920926785</v>
      </c>
      <c r="AB166">
        <v>0.3835282795160424</v>
      </c>
      <c r="AC166">
        <v>0.73525994149602969</v>
      </c>
      <c r="AD166">
        <v>0.80900044564443485</v>
      </c>
      <c r="AE166">
        <v>0.79381718344453478</v>
      </c>
      <c r="AH166">
        <v>5.2362228968720448E-2</v>
      </c>
      <c r="AI166">
        <v>0.16207323603312196</v>
      </c>
      <c r="AJ166">
        <v>0.1786658423605465</v>
      </c>
      <c r="AK166">
        <v>4.2721187323080945E-2</v>
      </c>
      <c r="AL166">
        <v>4.5829854295916572E-2</v>
      </c>
      <c r="AM166">
        <v>0.12154376699532654</v>
      </c>
      <c r="AN166">
        <v>0.12239184111746748</v>
      </c>
      <c r="AO166">
        <v>3.0056812937703459E-2</v>
      </c>
      <c r="AR166">
        <v>8.6716611604948886E-4</v>
      </c>
      <c r="AS166">
        <v>4.3642797150527934E-3</v>
      </c>
      <c r="AT166">
        <v>4.9750436784092855E-3</v>
      </c>
      <c r="AU166">
        <v>1.9592567781047559E-3</v>
      </c>
      <c r="AV166">
        <v>2.1263572442882239E-3</v>
      </c>
      <c r="AW166">
        <v>3.4423360782398493E-3</v>
      </c>
      <c r="AX166">
        <v>4.1105854432721411E-4</v>
      </c>
      <c r="AY166">
        <v>4.3993942634549328E-4</v>
      </c>
      <c r="BB166">
        <v>5.0042595569178006E-2</v>
      </c>
      <c r="BC166">
        <v>3.1663395558344638E-2</v>
      </c>
      <c r="BE166">
        <v>74198.132470534663</v>
      </c>
      <c r="BF166">
        <v>14.542649666780202</v>
      </c>
      <c r="BG166">
        <v>76467.100344347578</v>
      </c>
      <c r="BH166">
        <v>14.425104132864583</v>
      </c>
      <c r="BI166">
        <v>-2268.9678738129151</v>
      </c>
      <c r="BJ166">
        <v>0.11754553391561906</v>
      </c>
    </row>
    <row r="167" spans="3:62" x14ac:dyDescent="0.2">
      <c r="C167" s="121">
        <v>75273.752188733546</v>
      </c>
      <c r="D167">
        <v>17.362135984307411</v>
      </c>
      <c r="E167" s="121">
        <v>77055.898554733722</v>
      </c>
      <c r="F167" s="121">
        <v>17.211482294393708</v>
      </c>
      <c r="G167" s="121">
        <v>-1782.1463660001755</v>
      </c>
      <c r="H167" s="121">
        <v>0.1506536899137032</v>
      </c>
      <c r="N167" s="121"/>
      <c r="O167" s="121"/>
      <c r="P167" s="121"/>
      <c r="R167">
        <v>371.24336828280002</v>
      </c>
      <c r="S167">
        <v>63.75195881595063</v>
      </c>
      <c r="T167">
        <v>214.24833674920387</v>
      </c>
      <c r="U167">
        <v>108.5538247232827</v>
      </c>
      <c r="X167">
        <v>0.80041081172088036</v>
      </c>
      <c r="Y167">
        <v>0.37802014727938948</v>
      </c>
      <c r="Z167">
        <v>0.83872861245168095</v>
      </c>
      <c r="AA167">
        <v>0.6405708698167778</v>
      </c>
      <c r="AB167">
        <v>0.58746389966446066</v>
      </c>
      <c r="AC167">
        <v>0.71762072817535927</v>
      </c>
      <c r="AD167">
        <v>0.83153112934324624</v>
      </c>
      <c r="AE167">
        <v>0.89008773664832874</v>
      </c>
      <c r="AH167">
        <v>0.13565644422477552</v>
      </c>
      <c r="AI167">
        <v>1.9957488694790859E-2</v>
      </c>
      <c r="AJ167">
        <v>7.1071189605405927E-2</v>
      </c>
      <c r="AK167">
        <v>7.1326461080671755E-2</v>
      </c>
      <c r="AL167">
        <v>5.2995439873482209E-3</v>
      </c>
      <c r="AM167">
        <v>8.8795416249793369E-2</v>
      </c>
      <c r="AN167">
        <v>0.10274208090320724</v>
      </c>
      <c r="AO167">
        <v>0.10912278997103131</v>
      </c>
      <c r="AR167">
        <v>9.8415004786722715E-4</v>
      </c>
      <c r="AS167">
        <v>4.6426675930398842E-3</v>
      </c>
      <c r="AT167">
        <v>4.8256833871940658E-3</v>
      </c>
      <c r="AU167">
        <v>2.012216804349487E-3</v>
      </c>
      <c r="AV167">
        <v>2.0810685034485799E-3</v>
      </c>
      <c r="AW167">
        <v>3.3951480712040663E-3</v>
      </c>
      <c r="AX167">
        <v>3.5531900424292198E-4</v>
      </c>
      <c r="AY167">
        <v>3.7300369206630455E-4</v>
      </c>
      <c r="BB167">
        <v>4.6917123397679589E-2</v>
      </c>
      <c r="BC167">
        <v>3.8306424175800047E-2</v>
      </c>
      <c r="BE167">
        <v>75273.752188733546</v>
      </c>
      <c r="BF167">
        <v>17.362135984307411</v>
      </c>
      <c r="BG167">
        <v>77055.898554733722</v>
      </c>
      <c r="BH167">
        <v>17.211482294393708</v>
      </c>
      <c r="BI167">
        <v>-1782.1463660001755</v>
      </c>
      <c r="BJ167">
        <v>0.1506536899137032</v>
      </c>
    </row>
    <row r="168" spans="3:62" x14ac:dyDescent="0.2">
      <c r="C168" s="121">
        <v>68104.652218671821</v>
      </c>
      <c r="D168">
        <v>16.863418791080175</v>
      </c>
      <c r="E168" s="121">
        <v>69456.122143897068</v>
      </c>
      <c r="F168" s="121">
        <v>16.761439577462916</v>
      </c>
      <c r="G168" s="121">
        <v>-1351.4699252252467</v>
      </c>
      <c r="H168" s="121">
        <v>0.10197921361725903</v>
      </c>
      <c r="N168" s="121"/>
      <c r="O168" s="121"/>
      <c r="P168" s="121"/>
      <c r="R168">
        <v>136.71985609232865</v>
      </c>
      <c r="S168">
        <v>64.114604097006435</v>
      </c>
      <c r="T168">
        <v>253.92339398008022</v>
      </c>
      <c r="U168">
        <v>98.210287193202959</v>
      </c>
      <c r="X168">
        <v>0.85314094555651487</v>
      </c>
      <c r="Y168">
        <v>0.65980740970655982</v>
      </c>
      <c r="Z168">
        <v>0.94748950568652457</v>
      </c>
      <c r="AA168">
        <v>0.86624207193388048</v>
      </c>
      <c r="AB168">
        <v>0.94293977088264214</v>
      </c>
      <c r="AC168">
        <v>0.72888676219269977</v>
      </c>
      <c r="AD168">
        <v>0.76229577291841011</v>
      </c>
      <c r="AE168">
        <v>0.53392839804632275</v>
      </c>
      <c r="AH168">
        <v>0.26376499859421765</v>
      </c>
      <c r="AI168">
        <v>0.15789482096496343</v>
      </c>
      <c r="AJ168">
        <v>0.22111199160325312</v>
      </c>
      <c r="AK168">
        <v>0.12090256078924289</v>
      </c>
      <c r="AL168">
        <v>5.7667450135565401E-2</v>
      </c>
      <c r="AM168">
        <v>0.1737414443625942</v>
      </c>
      <c r="AN168">
        <v>0.19117159564809005</v>
      </c>
      <c r="AO168">
        <v>3.3501119570441884E-2</v>
      </c>
      <c r="AR168">
        <v>8.251001828630068E-4</v>
      </c>
      <c r="AS168">
        <v>4.3426066156047986E-3</v>
      </c>
      <c r="AT168">
        <v>4.9048686103036867E-3</v>
      </c>
      <c r="AU168">
        <v>1.9097572999578055E-3</v>
      </c>
      <c r="AV168">
        <v>1.9123954847251648E-3</v>
      </c>
      <c r="AW168">
        <v>3.4857813319151276E-3</v>
      </c>
      <c r="AX168">
        <v>3.4918916203951036E-4</v>
      </c>
      <c r="AY168">
        <v>4.0696729073857915E-4</v>
      </c>
      <c r="BB168">
        <v>4.9691896254381425E-2</v>
      </c>
      <c r="BC168">
        <v>2.36658831341592E-2</v>
      </c>
      <c r="BE168">
        <v>68104.652218671821</v>
      </c>
      <c r="BF168">
        <v>16.863418791080175</v>
      </c>
      <c r="BG168">
        <v>69456.122143897068</v>
      </c>
      <c r="BH168">
        <v>16.761439577462916</v>
      </c>
      <c r="BI168">
        <v>-1351.4699252252467</v>
      </c>
      <c r="BJ168">
        <v>0.10197921361725903</v>
      </c>
    </row>
    <row r="169" spans="3:62" x14ac:dyDescent="0.2">
      <c r="C169" s="121">
        <v>66043.02977616452</v>
      </c>
      <c r="D169">
        <v>17.742851040942533</v>
      </c>
      <c r="E169" s="121">
        <v>67171.936824695018</v>
      </c>
      <c r="F169" s="121">
        <v>17.648841495586751</v>
      </c>
      <c r="G169" s="121">
        <v>-1128.9070485304983</v>
      </c>
      <c r="H169" s="121">
        <v>9.4009545355781654E-2</v>
      </c>
      <c r="N169" s="121"/>
      <c r="O169" s="121"/>
      <c r="P169" s="121"/>
      <c r="R169">
        <v>236.14931756006501</v>
      </c>
      <c r="S169">
        <v>58.779663767444724</v>
      </c>
      <c r="T169">
        <v>248.1832791990374</v>
      </c>
      <c r="U169">
        <v>109.4764930885804</v>
      </c>
      <c r="X169">
        <v>0.8452406590076651</v>
      </c>
      <c r="Y169">
        <v>0.7399286866881668</v>
      </c>
      <c r="Z169">
        <v>0.82318523995523374</v>
      </c>
      <c r="AA169">
        <v>0.64023718128658347</v>
      </c>
      <c r="AB169">
        <v>0.53622062202881859</v>
      </c>
      <c r="AC169">
        <v>0.80640511399925585</v>
      </c>
      <c r="AD169">
        <v>0.79650144861938577</v>
      </c>
      <c r="AE169">
        <v>0.81164565082688656</v>
      </c>
      <c r="AH169">
        <v>4.2257527284151664E-2</v>
      </c>
      <c r="AI169">
        <v>5.6564646445694033E-2</v>
      </c>
      <c r="AJ169">
        <v>6.0873860330623142E-2</v>
      </c>
      <c r="AK169">
        <v>0.12584826593945275</v>
      </c>
      <c r="AL169">
        <v>5.005058705626686E-2</v>
      </c>
      <c r="AM169">
        <v>0.19104011438468138</v>
      </c>
      <c r="AN169">
        <v>0.28467251376748381</v>
      </c>
      <c r="AO169">
        <v>0.12403304605601129</v>
      </c>
      <c r="AR169">
        <v>1.0534989977629694E-3</v>
      </c>
      <c r="AS169">
        <v>4.5304430539145901E-3</v>
      </c>
      <c r="AT169">
        <v>4.4682455786645555E-3</v>
      </c>
      <c r="AU169">
        <v>2.0412447253321808E-3</v>
      </c>
      <c r="AV169">
        <v>1.9731861212858954E-3</v>
      </c>
      <c r="AW169">
        <v>3.5256210717320435E-3</v>
      </c>
      <c r="AX169">
        <v>5.2201797839379616E-4</v>
      </c>
      <c r="AY169">
        <v>5.053603137161744E-4</v>
      </c>
      <c r="BB169">
        <v>5.2429453920022406E-2</v>
      </c>
      <c r="BC169">
        <v>2.4547986597082985E-2</v>
      </c>
      <c r="BE169">
        <v>66043.02977616452</v>
      </c>
      <c r="BF169">
        <v>17.742851040942533</v>
      </c>
      <c r="BG169">
        <v>67171.936824695018</v>
      </c>
      <c r="BH169">
        <v>17.648841495586751</v>
      </c>
      <c r="BI169">
        <v>-1128.9070485304983</v>
      </c>
      <c r="BJ169">
        <v>9.4009545355781654E-2</v>
      </c>
    </row>
    <row r="170" spans="3:62" x14ac:dyDescent="0.2">
      <c r="C170" s="121">
        <v>75997.167286202952</v>
      </c>
      <c r="D170" s="121">
        <v>15.463397517403314</v>
      </c>
      <c r="E170" s="121">
        <v>78582.590704682167</v>
      </c>
      <c r="F170" s="121">
        <v>15.30180109519628</v>
      </c>
      <c r="G170" s="121">
        <v>-2585.4234184792149</v>
      </c>
      <c r="H170" s="121">
        <v>0.16159642220703319</v>
      </c>
      <c r="N170" s="121"/>
      <c r="O170" s="121"/>
      <c r="P170" s="121"/>
      <c r="R170">
        <v>145.63816249697908</v>
      </c>
      <c r="S170">
        <v>54.907824668451617</v>
      </c>
      <c r="T170">
        <v>256.47425905794427</v>
      </c>
      <c r="U170">
        <v>109.30562945655191</v>
      </c>
      <c r="X170">
        <v>0.88223451010145593</v>
      </c>
      <c r="Y170">
        <v>0.79473164114932449</v>
      </c>
      <c r="Z170">
        <v>0.65263246483249171</v>
      </c>
      <c r="AA170">
        <v>0.83454739465322403</v>
      </c>
      <c r="AB170">
        <v>0.63172962537633615</v>
      </c>
      <c r="AC170">
        <v>0.87784418580565826</v>
      </c>
      <c r="AD170">
        <v>0.84272462063857601</v>
      </c>
      <c r="AE170">
        <v>0.8237361824461551</v>
      </c>
      <c r="AH170">
        <v>6.2098137394434705E-2</v>
      </c>
      <c r="AI170">
        <v>0.16322418642161851</v>
      </c>
      <c r="AJ170">
        <v>0.17324865666740119</v>
      </c>
      <c r="AK170">
        <v>0.11286311300600171</v>
      </c>
      <c r="AL170">
        <v>7.3216824592628127E-2</v>
      </c>
      <c r="AM170">
        <v>0.14383724378540419</v>
      </c>
      <c r="AN170">
        <v>0.15820414931289206</v>
      </c>
      <c r="AO170">
        <v>0.16367035084615689</v>
      </c>
      <c r="AR170">
        <v>8.3647487839259643E-4</v>
      </c>
      <c r="AS170">
        <v>4.5969574330926299E-3</v>
      </c>
      <c r="AT170">
        <v>4.9298510499390961E-3</v>
      </c>
      <c r="AU170">
        <v>2.1523551064844826E-3</v>
      </c>
      <c r="AV170">
        <v>2.1112733887078683E-3</v>
      </c>
      <c r="AW170">
        <v>3.3157353759967595E-3</v>
      </c>
      <c r="AX170">
        <v>4.3729744447240648E-4</v>
      </c>
      <c r="AY170">
        <v>3.7418795056916429E-4</v>
      </c>
      <c r="BB170">
        <v>4.8233225338827547E-2</v>
      </c>
      <c r="BC170">
        <v>1.0873875116676795E-2</v>
      </c>
      <c r="BE170">
        <v>75997.167286202952</v>
      </c>
      <c r="BF170">
        <v>15.463397517403314</v>
      </c>
      <c r="BG170">
        <v>78582.590704682167</v>
      </c>
      <c r="BH170">
        <v>15.30180109519628</v>
      </c>
      <c r="BI170">
        <v>-2585.4234184792149</v>
      </c>
      <c r="BJ170">
        <v>0.16159642220703319</v>
      </c>
    </row>
    <row r="171" spans="3:62" x14ac:dyDescent="0.2">
      <c r="C171" s="121">
        <v>76431.84460161117</v>
      </c>
      <c r="D171" s="121">
        <v>16.517297750795557</v>
      </c>
      <c r="E171" s="121">
        <v>78112.077281400823</v>
      </c>
      <c r="F171" s="121">
        <v>16.402150620174957</v>
      </c>
      <c r="G171" s="121">
        <v>-1680.232679789653</v>
      </c>
      <c r="H171" s="121">
        <v>0.11514713062059911</v>
      </c>
      <c r="N171" s="121"/>
      <c r="O171" s="121"/>
      <c r="P171" s="121"/>
      <c r="R171">
        <v>190.18019073424165</v>
      </c>
      <c r="S171">
        <v>64.065202659145967</v>
      </c>
      <c r="T171">
        <v>283.73826693944625</v>
      </c>
      <c r="U171">
        <v>98.068776284531708</v>
      </c>
      <c r="X171">
        <v>0.90961800083449473</v>
      </c>
      <c r="Y171">
        <v>0.64047847829066662</v>
      </c>
      <c r="Z171">
        <v>0.85136904445918105</v>
      </c>
      <c r="AA171">
        <v>0.76821145417930825</v>
      </c>
      <c r="AB171">
        <v>0.90202764378481792</v>
      </c>
      <c r="AC171">
        <v>0.89256411840825778</v>
      </c>
      <c r="AD171">
        <v>0.71271285878521218</v>
      </c>
      <c r="AE171">
        <v>0.4590704743787769</v>
      </c>
      <c r="AH171">
        <v>0.17612466070499222</v>
      </c>
      <c r="AI171">
        <v>0.11838115239580327</v>
      </c>
      <c r="AJ171">
        <v>0.21136571109266855</v>
      </c>
      <c r="AK171">
        <v>0.12079004475734789</v>
      </c>
      <c r="AL171">
        <v>4.1268516722115622E-2</v>
      </c>
      <c r="AM171">
        <v>8.4840578267124211E-2</v>
      </c>
      <c r="AN171">
        <v>5.0401993461056227E-2</v>
      </c>
      <c r="AO171">
        <v>9.2383410025028367E-2</v>
      </c>
      <c r="AR171">
        <v>8.6809585158953754E-4</v>
      </c>
      <c r="AS171">
        <v>4.4894479130259159E-3</v>
      </c>
      <c r="AT171">
        <v>4.3830765515606839E-3</v>
      </c>
      <c r="AU171">
        <v>2.0359466355707179E-3</v>
      </c>
      <c r="AV171">
        <v>1.8875573860259534E-3</v>
      </c>
      <c r="AW171">
        <v>3.268551900316807E-3</v>
      </c>
      <c r="AX171">
        <v>4.6723122042280352E-4</v>
      </c>
      <c r="AY171">
        <v>4.1529235637858273E-4</v>
      </c>
      <c r="BB171">
        <v>5.4865110228326408E-2</v>
      </c>
      <c r="BC171">
        <v>5.3599478592700645E-2</v>
      </c>
      <c r="BE171">
        <v>76431.84460161117</v>
      </c>
      <c r="BF171">
        <v>16.517297750795557</v>
      </c>
      <c r="BG171">
        <v>78112.077281400823</v>
      </c>
      <c r="BH171">
        <v>16.402150620174957</v>
      </c>
      <c r="BI171">
        <v>-1680.232679789653</v>
      </c>
      <c r="BJ171">
        <v>0.11514713062059911</v>
      </c>
    </row>
    <row r="172" spans="3:62" x14ac:dyDescent="0.2">
      <c r="C172" s="121">
        <v>64796.089452007582</v>
      </c>
      <c r="D172" s="121">
        <v>15.672546725109237</v>
      </c>
      <c r="E172" s="121">
        <v>66526.720197535033</v>
      </c>
      <c r="F172" s="121">
        <v>15.58958141278848</v>
      </c>
      <c r="G172" s="121">
        <v>-1730.6307455274509</v>
      </c>
      <c r="H172" s="121">
        <v>8.2965312320757434E-2</v>
      </c>
      <c r="N172" s="121"/>
      <c r="O172" s="121"/>
      <c r="P172" s="121"/>
      <c r="R172">
        <v>196.16122536143899</v>
      </c>
      <c r="S172">
        <v>52.986193674602092</v>
      </c>
      <c r="T172">
        <v>186.51890122091407</v>
      </c>
      <c r="U172">
        <v>105.99199936075624</v>
      </c>
      <c r="X172">
        <v>0.83777999473972731</v>
      </c>
      <c r="Y172">
        <v>0.8641517734026426</v>
      </c>
      <c r="Z172">
        <v>0.72109798018299831</v>
      </c>
      <c r="AA172">
        <v>0.8925501215758741</v>
      </c>
      <c r="AB172">
        <v>0.70391617679717744</v>
      </c>
      <c r="AC172">
        <v>0.66237817814214028</v>
      </c>
      <c r="AD172">
        <v>0.86540779611859109</v>
      </c>
      <c r="AE172">
        <v>0.94499974583822022</v>
      </c>
      <c r="AH172">
        <v>0.18116508772422202</v>
      </c>
      <c r="AI172">
        <v>0.3719358854072049</v>
      </c>
      <c r="AJ172">
        <v>2.10353277987676E-2</v>
      </c>
      <c r="AK172">
        <v>0.11593786283741259</v>
      </c>
      <c r="AL172">
        <v>3.1666957860666423E-2</v>
      </c>
      <c r="AM172">
        <v>0.26084535260295016</v>
      </c>
      <c r="AN172">
        <v>0.13010763899586686</v>
      </c>
      <c r="AO172">
        <v>3.5055726748937088E-2</v>
      </c>
      <c r="AR172">
        <v>1.003750606662912E-3</v>
      </c>
      <c r="AS172">
        <v>4.8817855473555216E-3</v>
      </c>
      <c r="AT172">
        <v>5.0597305075837928E-3</v>
      </c>
      <c r="AU172">
        <v>2.0229303612376848E-3</v>
      </c>
      <c r="AV172">
        <v>2.1825453561484798E-3</v>
      </c>
      <c r="AW172">
        <v>3.1804987991012556E-3</v>
      </c>
      <c r="AX172">
        <v>4.3583927238000086E-4</v>
      </c>
      <c r="AY172">
        <v>5.0861375774169382E-4</v>
      </c>
      <c r="BB172">
        <v>5.1209757504129372E-2</v>
      </c>
      <c r="BC172">
        <v>4.6422345536317848E-2</v>
      </c>
      <c r="BE172">
        <v>64796.089452007582</v>
      </c>
      <c r="BF172">
        <v>15.672546725109237</v>
      </c>
      <c r="BG172">
        <v>66526.720197535033</v>
      </c>
      <c r="BH172">
        <v>15.58958141278848</v>
      </c>
      <c r="BI172">
        <v>-1730.6307455274509</v>
      </c>
      <c r="BJ172">
        <v>8.2965312320757434E-2</v>
      </c>
    </row>
    <row r="173" spans="3:62" x14ac:dyDescent="0.2">
      <c r="C173" s="121">
        <v>72868.760821073767</v>
      </c>
      <c r="D173" s="121">
        <v>16.294755912510471</v>
      </c>
      <c r="E173" s="121">
        <v>75164.098879337587</v>
      </c>
      <c r="F173" s="121">
        <v>16.256219654218679</v>
      </c>
      <c r="G173" s="121">
        <v>-2295.3380582638201</v>
      </c>
      <c r="H173" s="121">
        <v>3.853625829179208E-2</v>
      </c>
      <c r="N173" s="121"/>
      <c r="O173" s="121"/>
      <c r="P173" s="121"/>
      <c r="R173">
        <v>400.027962859848</v>
      </c>
      <c r="S173">
        <v>59.923308833000107</v>
      </c>
      <c r="T173">
        <v>297.7335036637736</v>
      </c>
      <c r="U173">
        <v>96.140972384382522</v>
      </c>
      <c r="X173">
        <v>0.89261879600945426</v>
      </c>
      <c r="Y173">
        <v>0.72001676984371354</v>
      </c>
      <c r="Z173">
        <v>0.54912596822718307</v>
      </c>
      <c r="AA173">
        <v>0.80458341299028757</v>
      </c>
      <c r="AB173">
        <v>0.85563010919128679</v>
      </c>
      <c r="AC173">
        <v>0.80861123669789636</v>
      </c>
      <c r="AD173">
        <v>0.87774771008448482</v>
      </c>
      <c r="AE173">
        <v>0.82958458660899592</v>
      </c>
      <c r="AH173">
        <v>1.0734528214983108E-2</v>
      </c>
      <c r="AI173">
        <v>3.2115567503605114E-2</v>
      </c>
      <c r="AJ173">
        <v>0.13008157440665635</v>
      </c>
      <c r="AK173">
        <v>0.10434632436457481</v>
      </c>
      <c r="AL173">
        <v>7.3269031888577141E-2</v>
      </c>
      <c r="AM173">
        <v>9.2445197794900902E-2</v>
      </c>
      <c r="AN173">
        <v>8.4492619268792257E-3</v>
      </c>
      <c r="AO173">
        <v>4.1589427725232442E-2</v>
      </c>
      <c r="AR173">
        <v>9.1414349995266875E-4</v>
      </c>
      <c r="AS173">
        <v>4.4171305330453423E-3</v>
      </c>
      <c r="AT173">
        <v>4.9133972513790841E-3</v>
      </c>
      <c r="AU173">
        <v>1.8782248611073514E-3</v>
      </c>
      <c r="AV173">
        <v>1.996852715171693E-3</v>
      </c>
      <c r="AW173">
        <v>3.4691288558131861E-3</v>
      </c>
      <c r="AX173">
        <v>3.4695966643961013E-4</v>
      </c>
      <c r="AY173">
        <v>5.4916376071956208E-4</v>
      </c>
      <c r="BB173">
        <v>5.033393806313724E-2</v>
      </c>
      <c r="BC173">
        <v>3.8345994515373898E-2</v>
      </c>
      <c r="BE173">
        <v>72868.760821073767</v>
      </c>
      <c r="BF173">
        <v>16.294755912510471</v>
      </c>
      <c r="BG173">
        <v>75164.098879337587</v>
      </c>
      <c r="BH173">
        <v>16.256219654218679</v>
      </c>
      <c r="BI173">
        <v>-2295.3380582638201</v>
      </c>
      <c r="BJ173">
        <v>3.853625829179208E-2</v>
      </c>
    </row>
    <row r="174" spans="3:62" x14ac:dyDescent="0.2">
      <c r="C174" s="121">
        <v>70776.611163313864</v>
      </c>
      <c r="D174" s="121">
        <v>16.999756112768981</v>
      </c>
      <c r="E174" s="121">
        <v>72294.851439052494</v>
      </c>
      <c r="F174" s="121">
        <v>16.8686940223233</v>
      </c>
      <c r="G174" s="121">
        <v>-1518.2402757386299</v>
      </c>
      <c r="H174" s="121">
        <v>0.13106209044568118</v>
      </c>
      <c r="N174" s="121"/>
      <c r="O174" s="121"/>
      <c r="P174" s="121"/>
      <c r="R174">
        <v>336.57454698937619</v>
      </c>
      <c r="S174">
        <v>60.494436843545131</v>
      </c>
      <c r="T174">
        <v>242.48329893650663</v>
      </c>
      <c r="U174">
        <v>78.035323462056198</v>
      </c>
      <c r="X174">
        <v>0.89602952252931423</v>
      </c>
      <c r="Y174">
        <v>0.8323898933415439</v>
      </c>
      <c r="Z174">
        <v>0.96156311274661765</v>
      </c>
      <c r="AA174">
        <v>0.84003402692614482</v>
      </c>
      <c r="AB174">
        <v>0.8741219285980999</v>
      </c>
      <c r="AC174">
        <v>0.79635706756367164</v>
      </c>
      <c r="AD174">
        <v>0.63103544804149037</v>
      </c>
      <c r="AE174">
        <v>0.92352707473688289</v>
      </c>
      <c r="AH174">
        <v>5.0387056646948314E-2</v>
      </c>
      <c r="AI174">
        <v>1.8772928618055795E-2</v>
      </c>
      <c r="AJ174">
        <v>0.11069882812443188</v>
      </c>
      <c r="AK174">
        <v>5.3688846406192314E-2</v>
      </c>
      <c r="AL174">
        <v>0.19973588433702516</v>
      </c>
      <c r="AM174">
        <v>4.8089429775740156E-2</v>
      </c>
      <c r="AN174">
        <v>0.17147372385571791</v>
      </c>
      <c r="AO174">
        <v>0.30484375220218995</v>
      </c>
      <c r="AR174">
        <v>9.409544826858296E-4</v>
      </c>
      <c r="AS174">
        <v>4.5442696759238066E-3</v>
      </c>
      <c r="AT174">
        <v>4.8060878636839574E-3</v>
      </c>
      <c r="AU174">
        <v>1.8061649494518111E-3</v>
      </c>
      <c r="AV174">
        <v>1.8973044306353057E-3</v>
      </c>
      <c r="AW174">
        <v>3.7078718707838076E-3</v>
      </c>
      <c r="AX174">
        <v>3.9624178107551783E-4</v>
      </c>
      <c r="AY174">
        <v>4.5680847831075511E-4</v>
      </c>
      <c r="BB174">
        <v>5.3520435547008027E-2</v>
      </c>
      <c r="BC174">
        <v>4.4881178675902245E-2</v>
      </c>
      <c r="BE174">
        <v>70776.611163313864</v>
      </c>
      <c r="BF174">
        <v>16.999756112768981</v>
      </c>
      <c r="BG174">
        <v>72294.851439052494</v>
      </c>
      <c r="BH174">
        <v>16.8686940223233</v>
      </c>
      <c r="BI174">
        <v>-1518.2402757386299</v>
      </c>
      <c r="BJ174">
        <v>0.13106209044568118</v>
      </c>
    </row>
    <row r="175" spans="3:62" x14ac:dyDescent="0.2">
      <c r="C175" s="121">
        <v>77582.675458142607</v>
      </c>
      <c r="D175" s="121">
        <v>15.469894782707623</v>
      </c>
      <c r="E175" s="121">
        <v>79979.856452718028</v>
      </c>
      <c r="F175" s="121">
        <v>15.273460519853707</v>
      </c>
      <c r="G175" s="121">
        <v>-2397.1809945754212</v>
      </c>
      <c r="H175" s="121">
        <v>0.19643426285391641</v>
      </c>
      <c r="N175" s="121"/>
      <c r="O175" s="121"/>
      <c r="P175" s="121"/>
      <c r="R175">
        <v>264.94551752289976</v>
      </c>
      <c r="S175">
        <v>65.924391058512299</v>
      </c>
      <c r="T175">
        <v>269.34000615380677</v>
      </c>
      <c r="U175">
        <v>81.216352690278271</v>
      </c>
      <c r="X175">
        <v>0.63117801051085987</v>
      </c>
      <c r="Y175">
        <v>0.92189196640742055</v>
      </c>
      <c r="Z175">
        <v>0.77889632679752863</v>
      </c>
      <c r="AA175">
        <v>0.70284070518751451</v>
      </c>
      <c r="AB175">
        <v>0.95652031879225885</v>
      </c>
      <c r="AC175">
        <v>0.70298111805908936</v>
      </c>
      <c r="AD175">
        <v>0.89591013791058483</v>
      </c>
      <c r="AE175">
        <v>0.65584762508949024</v>
      </c>
      <c r="AH175">
        <v>0.1073090081500806</v>
      </c>
      <c r="AI175">
        <v>0.15113076575046769</v>
      </c>
      <c r="AJ175">
        <v>1.8878289275242821E-2</v>
      </c>
      <c r="AK175">
        <v>0.17671015797524892</v>
      </c>
      <c r="AL175">
        <v>0.22179727102844382</v>
      </c>
      <c r="AM175">
        <v>0.12180451268101011</v>
      </c>
      <c r="AN175">
        <v>0.13124517930493973</v>
      </c>
      <c r="AO175">
        <v>5.1798665044561876E-2</v>
      </c>
      <c r="AR175">
        <v>8.6876941018140981E-4</v>
      </c>
      <c r="AS175">
        <v>4.2395356264224747E-3</v>
      </c>
      <c r="AT175">
        <v>5.4798615874328549E-3</v>
      </c>
      <c r="AU175">
        <v>1.8388178135702615E-3</v>
      </c>
      <c r="AV175">
        <v>2.1866851852794245E-3</v>
      </c>
      <c r="AW175">
        <v>3.5862362301056772E-3</v>
      </c>
      <c r="AX175">
        <v>3.3451668717119222E-4</v>
      </c>
      <c r="AY175">
        <v>3.8222108236021693E-4</v>
      </c>
      <c r="BB175">
        <v>5.2180980268864752E-2</v>
      </c>
      <c r="BC175">
        <v>9.2807023612843542E-2</v>
      </c>
      <c r="BE175">
        <v>77582.675458142607</v>
      </c>
      <c r="BF175">
        <v>15.469894782707623</v>
      </c>
      <c r="BG175">
        <v>79979.856452718028</v>
      </c>
      <c r="BH175">
        <v>15.273460519853707</v>
      </c>
      <c r="BI175">
        <v>-2397.1809945754212</v>
      </c>
      <c r="BJ175">
        <v>0.19643426285391641</v>
      </c>
    </row>
    <row r="176" spans="3:62" x14ac:dyDescent="0.2">
      <c r="C176" s="121">
        <v>73712.612539267851</v>
      </c>
      <c r="D176" s="121">
        <v>15.191645439022784</v>
      </c>
      <c r="E176" s="121">
        <v>75271.824813881598</v>
      </c>
      <c r="F176" s="121">
        <v>15.092362260322837</v>
      </c>
      <c r="G176" s="121">
        <v>-1559.2122746137466</v>
      </c>
      <c r="H176" s="121">
        <v>9.9283178699947072E-2</v>
      </c>
      <c r="N176" s="121"/>
      <c r="O176" s="121"/>
      <c r="P176" s="121"/>
      <c r="R176">
        <v>389.97495882032263</v>
      </c>
      <c r="S176">
        <v>70.383761079884891</v>
      </c>
      <c r="T176">
        <v>260.7585229282036</v>
      </c>
      <c r="U176">
        <v>104.1879637568518</v>
      </c>
      <c r="X176">
        <v>0.84173367570384228</v>
      </c>
      <c r="Y176">
        <v>0.78433875351976412</v>
      </c>
      <c r="Z176">
        <v>0.76561884530604407</v>
      </c>
      <c r="AA176">
        <v>0.53875710902135421</v>
      </c>
      <c r="AB176">
        <v>0.84207589657590454</v>
      </c>
      <c r="AC176">
        <v>0.50146912702192814</v>
      </c>
      <c r="AD176">
        <v>0.57721386600701197</v>
      </c>
      <c r="AE176">
        <v>0.75430312340974248</v>
      </c>
      <c r="AH176">
        <v>0.43387154415569407</v>
      </c>
      <c r="AI176">
        <v>0.17999671526092287</v>
      </c>
      <c r="AJ176">
        <v>7.6611420044034428E-2</v>
      </c>
      <c r="AK176">
        <v>9.662987072575957E-3</v>
      </c>
      <c r="AL176">
        <v>3.4367336911327317E-2</v>
      </c>
      <c r="AM176">
        <v>5.6950895428649506E-2</v>
      </c>
      <c r="AN176">
        <v>0.10089716880031885</v>
      </c>
      <c r="AO176">
        <v>0.15280252252916104</v>
      </c>
      <c r="AR176">
        <v>1.1325545141973592E-3</v>
      </c>
      <c r="AS176">
        <v>4.6163883576144649E-3</v>
      </c>
      <c r="AT176">
        <v>4.9838717152409506E-3</v>
      </c>
      <c r="AU176">
        <v>2.0447361151577637E-3</v>
      </c>
      <c r="AV176">
        <v>2.1042623991929243E-3</v>
      </c>
      <c r="AW176">
        <v>3.2428375544871226E-3</v>
      </c>
      <c r="AX176">
        <v>4.4529924803082821E-4</v>
      </c>
      <c r="AY176">
        <v>5.7134996810226379E-4</v>
      </c>
      <c r="BB176">
        <v>4.5762409546257821E-2</v>
      </c>
      <c r="BC176">
        <v>8.6880637138953887E-2</v>
      </c>
      <c r="BE176">
        <v>73712.612539267851</v>
      </c>
      <c r="BF176">
        <v>15.191645439022784</v>
      </c>
      <c r="BG176">
        <v>75271.824813881598</v>
      </c>
      <c r="BH176">
        <v>15.092362260322837</v>
      </c>
      <c r="BI176">
        <v>-1559.2122746137466</v>
      </c>
      <c r="BJ176">
        <v>9.9283178699947072E-2</v>
      </c>
    </row>
    <row r="177" spans="3:62" x14ac:dyDescent="0.2">
      <c r="C177" s="121">
        <v>74462.202740864945</v>
      </c>
      <c r="D177" s="121">
        <v>14.894684516735575</v>
      </c>
      <c r="E177" s="121">
        <v>76755.302055537046</v>
      </c>
      <c r="F177" s="121">
        <v>14.662736689070297</v>
      </c>
      <c r="G177" s="121">
        <v>-2293.0993146721012</v>
      </c>
      <c r="H177" s="121">
        <v>0.23194782766527844</v>
      </c>
      <c r="N177" s="121"/>
      <c r="O177" s="121"/>
      <c r="P177" s="121"/>
      <c r="R177">
        <v>163.4298363246557</v>
      </c>
      <c r="S177">
        <v>63.490594253693686</v>
      </c>
      <c r="T177">
        <v>255.30951360462652</v>
      </c>
      <c r="U177">
        <v>98.707210548330707</v>
      </c>
      <c r="X177">
        <v>0.8713242464199471</v>
      </c>
      <c r="Y177">
        <v>0.70912388006224658</v>
      </c>
      <c r="Z177">
        <v>0.80264340350302732</v>
      </c>
      <c r="AA177">
        <v>0.87552739625326526</v>
      </c>
      <c r="AB177">
        <v>0.71448992660637589</v>
      </c>
      <c r="AC177">
        <v>0.69295000842695809</v>
      </c>
      <c r="AD177">
        <v>0.87430747607357562</v>
      </c>
      <c r="AE177">
        <v>0.89396449261805877</v>
      </c>
      <c r="AH177">
        <v>9.1890428764000776E-2</v>
      </c>
      <c r="AI177">
        <v>0.12629559118930866</v>
      </c>
      <c r="AJ177">
        <v>0.12942038591469063</v>
      </c>
      <c r="AK177">
        <v>0.14403463278147532</v>
      </c>
      <c r="AL177">
        <v>0.14625525834522524</v>
      </c>
      <c r="AM177">
        <v>9.1206939450747204E-2</v>
      </c>
      <c r="AN177">
        <v>7.2713788347142039E-2</v>
      </c>
      <c r="AO177">
        <v>6.216345194766415E-2</v>
      </c>
      <c r="AR177">
        <v>9.2628365228231146E-4</v>
      </c>
      <c r="AS177">
        <v>4.9233311836782701E-3</v>
      </c>
      <c r="AT177">
        <v>4.9876208350071449E-3</v>
      </c>
      <c r="AU177">
        <v>1.9255719101324829E-3</v>
      </c>
      <c r="AV177">
        <v>2.2599065443216215E-3</v>
      </c>
      <c r="AW177">
        <v>3.402918499193643E-3</v>
      </c>
      <c r="AX177">
        <v>4.8210975862794658E-4</v>
      </c>
      <c r="AY177">
        <v>4.5506922179705533E-4</v>
      </c>
      <c r="BB177">
        <v>5.2080404942465686E-2</v>
      </c>
      <c r="BC177">
        <v>6.102649212054212E-2</v>
      </c>
      <c r="BE177">
        <v>74462.202740864945</v>
      </c>
      <c r="BF177">
        <v>14.894684516735575</v>
      </c>
      <c r="BG177">
        <v>76755.302055537046</v>
      </c>
      <c r="BH177">
        <v>14.662736689070297</v>
      </c>
      <c r="BI177">
        <v>-2293.0993146721012</v>
      </c>
      <c r="BJ177">
        <v>0.23194782766527844</v>
      </c>
    </row>
    <row r="178" spans="3:62" x14ac:dyDescent="0.2">
      <c r="C178" s="121">
        <v>64538.834440868799</v>
      </c>
      <c r="D178" s="121">
        <v>16.839847735256978</v>
      </c>
      <c r="E178" s="121">
        <v>66286.488882248232</v>
      </c>
      <c r="F178" s="121">
        <v>16.694676011566216</v>
      </c>
      <c r="G178" s="121">
        <v>-1747.6544413794327</v>
      </c>
      <c r="H178" s="121">
        <v>0.14517172369076192</v>
      </c>
      <c r="N178" s="121"/>
      <c r="O178" s="121"/>
      <c r="P178" s="121"/>
      <c r="R178">
        <v>70.620577263563376</v>
      </c>
      <c r="S178">
        <v>71.744190213585625</v>
      </c>
      <c r="T178">
        <v>237.6974981290569</v>
      </c>
      <c r="U178">
        <v>91.06914129832326</v>
      </c>
      <c r="X178">
        <v>0.64780353036593552</v>
      </c>
      <c r="Y178">
        <v>0.85445338906892254</v>
      </c>
      <c r="Z178">
        <v>0.83354937162878529</v>
      </c>
      <c r="AA178">
        <v>0.69081819582409931</v>
      </c>
      <c r="AB178">
        <v>0.83144421052136963</v>
      </c>
      <c r="AC178">
        <v>0.77761483496858663</v>
      </c>
      <c r="AD178">
        <v>0.8036026606512543</v>
      </c>
      <c r="AE178">
        <v>0.81403257139864937</v>
      </c>
      <c r="AH178">
        <v>6.6351519886422961E-2</v>
      </c>
      <c r="AI178">
        <v>0.23736465099109405</v>
      </c>
      <c r="AJ178">
        <v>0.30038799023196183</v>
      </c>
      <c r="AK178">
        <v>3.0574291995581149E-2</v>
      </c>
      <c r="AL178">
        <v>4.6239405339876916E-2</v>
      </c>
      <c r="AM178">
        <v>0.10817395835116073</v>
      </c>
      <c r="AN178">
        <v>0.16270031829363085</v>
      </c>
      <c r="AO178">
        <v>0.14170301005909869</v>
      </c>
      <c r="AR178">
        <v>7.695102305197392E-4</v>
      </c>
      <c r="AS178">
        <v>4.7733533214302515E-3</v>
      </c>
      <c r="AT178">
        <v>5.1356980936280161E-3</v>
      </c>
      <c r="AU178">
        <v>2.0482449343601772E-3</v>
      </c>
      <c r="AV178">
        <v>2.1169537795076021E-3</v>
      </c>
      <c r="AW178">
        <v>3.4592136141274876E-3</v>
      </c>
      <c r="AX178">
        <v>5.5326847952619218E-4</v>
      </c>
      <c r="AY178">
        <v>4.3995761035228335E-4</v>
      </c>
      <c r="BB178">
        <v>5.2217668897710401E-2</v>
      </c>
      <c r="BC178">
        <v>3.6582413233567597E-2</v>
      </c>
      <c r="BE178">
        <v>64538.834440868799</v>
      </c>
      <c r="BF178">
        <v>16.839847735256978</v>
      </c>
      <c r="BG178">
        <v>66286.488882248232</v>
      </c>
      <c r="BH178">
        <v>16.694676011566216</v>
      </c>
      <c r="BI178">
        <v>-1747.6544413794327</v>
      </c>
      <c r="BJ178">
        <v>0.14517172369076192</v>
      </c>
    </row>
    <row r="179" spans="3:62" x14ac:dyDescent="0.2">
      <c r="C179" s="121">
        <v>70062.895265161584</v>
      </c>
      <c r="D179" s="121">
        <v>16.390406756723934</v>
      </c>
      <c r="E179" s="121">
        <v>71958.762102644847</v>
      </c>
      <c r="F179" s="121">
        <v>16.256770446444634</v>
      </c>
      <c r="G179" s="121">
        <v>-1895.8668374832632</v>
      </c>
      <c r="H179" s="121">
        <v>0.13363631027930012</v>
      </c>
      <c r="N179" s="121"/>
      <c r="O179" s="121"/>
      <c r="P179" s="121"/>
      <c r="R179">
        <v>286.61849081259561</v>
      </c>
      <c r="S179">
        <v>64.484828901140105</v>
      </c>
      <c r="T179">
        <v>238.67991465684912</v>
      </c>
      <c r="U179">
        <v>111.05648612037734</v>
      </c>
      <c r="X179">
        <v>0.8486501271651985</v>
      </c>
      <c r="Y179">
        <v>0.68577875046987469</v>
      </c>
      <c r="Z179">
        <v>0.78033302731154408</v>
      </c>
      <c r="AA179">
        <v>0.96502524729670558</v>
      </c>
      <c r="AB179">
        <v>0.69859933363684545</v>
      </c>
      <c r="AC179">
        <v>0.83342254116037684</v>
      </c>
      <c r="AD179">
        <v>0.81510810278106471</v>
      </c>
      <c r="AE179">
        <v>0.80175867229828446</v>
      </c>
      <c r="AH179">
        <v>3.4543872048834245E-2</v>
      </c>
      <c r="AI179">
        <v>0.15103021064061828</v>
      </c>
      <c r="AJ179">
        <v>0.10347454553138391</v>
      </c>
      <c r="AK179">
        <v>1.8297969952039805E-2</v>
      </c>
      <c r="AL179">
        <v>0.21211612183692941</v>
      </c>
      <c r="AM179">
        <v>0.22974790105099063</v>
      </c>
      <c r="AN179">
        <v>0.1477665668025604</v>
      </c>
      <c r="AO179">
        <v>0.23876654554699261</v>
      </c>
      <c r="AR179">
        <v>8.6382092715516846E-4</v>
      </c>
      <c r="AS179">
        <v>4.8166450992288556E-3</v>
      </c>
      <c r="AT179">
        <v>4.9752659735194937E-3</v>
      </c>
      <c r="AU179">
        <v>2.1303595223565175E-3</v>
      </c>
      <c r="AV179">
        <v>2.1472662267646436E-3</v>
      </c>
      <c r="AW179">
        <v>3.7431695242933216E-3</v>
      </c>
      <c r="AX179">
        <v>4.2515446894764164E-4</v>
      </c>
      <c r="AY179">
        <v>5.4926020571355316E-4</v>
      </c>
      <c r="BB179">
        <v>4.0671225415504185E-2</v>
      </c>
      <c r="BC179">
        <v>8.9309147032421099E-2</v>
      </c>
      <c r="BE179">
        <v>70062.895265161584</v>
      </c>
      <c r="BF179">
        <v>16.390406756723934</v>
      </c>
      <c r="BG179">
        <v>71958.762102644847</v>
      </c>
      <c r="BH179">
        <v>16.256770446444634</v>
      </c>
      <c r="BI179">
        <v>-1895.8668374832632</v>
      </c>
      <c r="BJ179">
        <v>0.13363631027930012</v>
      </c>
    </row>
    <row r="180" spans="3:62" x14ac:dyDescent="0.2">
      <c r="C180" s="121">
        <v>67911.646274984872</v>
      </c>
      <c r="D180" s="121">
        <v>16.587180074709256</v>
      </c>
      <c r="E180" s="121">
        <v>69672.197932446186</v>
      </c>
      <c r="F180" s="121">
        <v>16.499688834132144</v>
      </c>
      <c r="G180" s="121">
        <v>-1760.5516574613139</v>
      </c>
      <c r="H180" s="121">
        <v>8.7491240577111995E-2</v>
      </c>
      <c r="N180" s="121"/>
      <c r="O180" s="121"/>
      <c r="P180" s="121"/>
      <c r="R180">
        <v>290.85493591546089</v>
      </c>
      <c r="S180">
        <v>55.827959966754321</v>
      </c>
      <c r="T180">
        <v>225.99745557477692</v>
      </c>
      <c r="U180">
        <v>127.44065144606569</v>
      </c>
      <c r="X180">
        <v>0.6328159686084055</v>
      </c>
      <c r="Y180">
        <v>0.83252706706288804</v>
      </c>
      <c r="Z180">
        <v>0.89258374454226863</v>
      </c>
      <c r="AA180">
        <v>0.73206503436532722</v>
      </c>
      <c r="AB180">
        <v>0.64067742151782181</v>
      </c>
      <c r="AC180">
        <v>0.73248270936373261</v>
      </c>
      <c r="AD180">
        <v>0.76001099750868972</v>
      </c>
      <c r="AE180">
        <v>0.78303085107835224</v>
      </c>
      <c r="AH180">
        <v>0.1262041866443252</v>
      </c>
      <c r="AI180">
        <v>0.25899646279824817</v>
      </c>
      <c r="AJ180">
        <v>0.1506075007442137</v>
      </c>
      <c r="AK180">
        <v>3.234217023355368E-2</v>
      </c>
      <c r="AL180">
        <v>8.6134013674444398E-2</v>
      </c>
      <c r="AM180">
        <v>3.9628894690986183E-2</v>
      </c>
      <c r="AN180">
        <v>0.15471954323261727</v>
      </c>
      <c r="AO180">
        <v>0.12306058720673607</v>
      </c>
      <c r="AR180">
        <v>7.3609184400138259E-4</v>
      </c>
      <c r="AS180">
        <v>4.3554768476003168E-3</v>
      </c>
      <c r="AT180">
        <v>5.1310875347324592E-3</v>
      </c>
      <c r="AU180">
        <v>1.8798125057396498E-3</v>
      </c>
      <c r="AV180">
        <v>1.8862766499998292E-3</v>
      </c>
      <c r="AW180">
        <v>3.7609845287056576E-3</v>
      </c>
      <c r="AX180">
        <v>4.2241823069166795E-4</v>
      </c>
      <c r="AY180">
        <v>4.7745157075207434E-4</v>
      </c>
      <c r="BB180">
        <v>5.09763261857753E-2</v>
      </c>
      <c r="BC180">
        <v>1.809135002329022E-2</v>
      </c>
      <c r="BE180">
        <v>67911.646274984872</v>
      </c>
      <c r="BF180">
        <v>16.587180074709256</v>
      </c>
      <c r="BG180">
        <v>69672.197932446186</v>
      </c>
      <c r="BH180">
        <v>16.499688834132144</v>
      </c>
      <c r="BI180">
        <v>-1760.5516574613139</v>
      </c>
      <c r="BJ180">
        <v>8.7491240577111995E-2</v>
      </c>
    </row>
    <row r="181" spans="3:62" x14ac:dyDescent="0.2">
      <c r="C181" s="121">
        <v>65397.33747471917</v>
      </c>
      <c r="D181" s="121">
        <v>15.979119335606999</v>
      </c>
      <c r="E181" s="121">
        <v>66825.978328025085</v>
      </c>
      <c r="F181" s="121">
        <v>15.890638493798702</v>
      </c>
      <c r="G181" s="121">
        <v>-1428.6408533059148</v>
      </c>
      <c r="H181" s="121">
        <v>8.8480841808296518E-2</v>
      </c>
      <c r="N181" s="121"/>
      <c r="O181" s="121"/>
      <c r="P181" s="121"/>
      <c r="R181">
        <v>203.81685259527643</v>
      </c>
      <c r="S181">
        <v>58.531424829411428</v>
      </c>
      <c r="T181">
        <v>247.06155847553143</v>
      </c>
      <c r="U181">
        <v>97.506383185045308</v>
      </c>
      <c r="X181">
        <v>0.89246405739449186</v>
      </c>
      <c r="Y181">
        <v>0.87661265733448968</v>
      </c>
      <c r="Z181">
        <v>0.80942445137456442</v>
      </c>
      <c r="AA181">
        <v>0.71221794411135619</v>
      </c>
      <c r="AB181">
        <v>0.78447718768391261</v>
      </c>
      <c r="AC181">
        <v>0.69376859773792787</v>
      </c>
      <c r="AD181">
        <v>0.38913238401372796</v>
      </c>
      <c r="AE181">
        <v>0.75828708942963607</v>
      </c>
      <c r="AH181">
        <v>1.4655439694196026E-2</v>
      </c>
      <c r="AI181">
        <v>4.0635674993545479E-2</v>
      </c>
      <c r="AJ181">
        <v>0.13129373608307482</v>
      </c>
      <c r="AK181">
        <v>0.17654835945490699</v>
      </c>
      <c r="AL181">
        <v>0.16860894315582708</v>
      </c>
      <c r="AM181">
        <v>0.18476345372765557</v>
      </c>
      <c r="AN181">
        <v>0.16041509353400141</v>
      </c>
      <c r="AO181">
        <v>0.28257301925293155</v>
      </c>
      <c r="AR181">
        <v>9.3046854140599322E-4</v>
      </c>
      <c r="AS181">
        <v>4.2530458301493022E-3</v>
      </c>
      <c r="AT181">
        <v>4.7318981637060574E-3</v>
      </c>
      <c r="AU181">
        <v>2.0758552245008222E-3</v>
      </c>
      <c r="AV181">
        <v>1.8641430180314173E-3</v>
      </c>
      <c r="AW181">
        <v>3.5697293669959551E-3</v>
      </c>
      <c r="AX181">
        <v>4.0176211482012558E-4</v>
      </c>
      <c r="AY181">
        <v>4.6495142833269387E-4</v>
      </c>
      <c r="BB181">
        <v>4.8382857637603853E-2</v>
      </c>
      <c r="BC181">
        <v>2.9884586555379587E-2</v>
      </c>
      <c r="BE181">
        <v>65397.33747471917</v>
      </c>
      <c r="BF181">
        <v>15.979119335606999</v>
      </c>
      <c r="BG181">
        <v>66825.978328025085</v>
      </c>
      <c r="BH181">
        <v>15.890638493798702</v>
      </c>
      <c r="BI181">
        <v>-1428.6408533059148</v>
      </c>
      <c r="BJ181">
        <v>8.8480841808296518E-2</v>
      </c>
    </row>
    <row r="182" spans="3:62" x14ac:dyDescent="0.2">
      <c r="C182" s="121">
        <v>72230.060821075036</v>
      </c>
      <c r="D182" s="121">
        <v>15.975416318789913</v>
      </c>
      <c r="E182" s="121">
        <v>73577.769141735174</v>
      </c>
      <c r="F182" s="121">
        <v>15.838609123540786</v>
      </c>
      <c r="G182" s="121">
        <v>-1347.7083206601383</v>
      </c>
      <c r="H182" s="121">
        <v>0.13680719524912632</v>
      </c>
      <c r="N182" s="121"/>
      <c r="O182" s="121"/>
      <c r="P182" s="121"/>
      <c r="R182">
        <v>262.02310824949149</v>
      </c>
      <c r="S182">
        <v>55.553849974963519</v>
      </c>
      <c r="T182">
        <v>247.86395828616668</v>
      </c>
      <c r="U182">
        <v>85.755981273363759</v>
      </c>
      <c r="X182">
        <v>0.7033259855457622</v>
      </c>
      <c r="Y182">
        <v>0.79902206838016832</v>
      </c>
      <c r="Z182">
        <v>0.45570268445962941</v>
      </c>
      <c r="AA182">
        <v>0.86978211225755753</v>
      </c>
      <c r="AB182">
        <v>0.76241710194205337</v>
      </c>
      <c r="AC182">
        <v>0.76816184440673307</v>
      </c>
      <c r="AD182">
        <v>0.85877626222680303</v>
      </c>
      <c r="AE182">
        <v>0.48585932574543744</v>
      </c>
      <c r="AH182">
        <v>0.30435875355534259</v>
      </c>
      <c r="AI182">
        <v>0.26139523748782911</v>
      </c>
      <c r="AJ182">
        <v>7.6146141887186158E-2</v>
      </c>
      <c r="AK182">
        <v>0.28060251880634901</v>
      </c>
      <c r="AL182">
        <v>0.15321532043838859</v>
      </c>
      <c r="AM182">
        <v>5.7228299032666019E-2</v>
      </c>
      <c r="AN182">
        <v>0.29061357765593698</v>
      </c>
      <c r="AO182">
        <v>0.20603627368049382</v>
      </c>
      <c r="AR182">
        <v>9.3145992743837169E-4</v>
      </c>
      <c r="AS182">
        <v>4.5369360321155794E-3</v>
      </c>
      <c r="AT182">
        <v>4.7942037720209085E-3</v>
      </c>
      <c r="AU182">
        <v>1.8420631194978722E-3</v>
      </c>
      <c r="AV182">
        <v>1.9016096903553047E-3</v>
      </c>
      <c r="AW182">
        <v>3.3874565917915056E-3</v>
      </c>
      <c r="AX182">
        <v>4.5891267925313173E-4</v>
      </c>
      <c r="AY182">
        <v>3.9908087954039425E-4</v>
      </c>
      <c r="BB182">
        <v>4.4267089573205257E-2</v>
      </c>
      <c r="BC182">
        <v>2.888728483223179E-2</v>
      </c>
      <c r="BE182">
        <v>72230.060821075036</v>
      </c>
      <c r="BF182">
        <v>15.975416318789913</v>
      </c>
      <c r="BG182">
        <v>73577.769141735174</v>
      </c>
      <c r="BH182">
        <v>15.838609123540786</v>
      </c>
      <c r="BI182">
        <v>-1347.7083206601383</v>
      </c>
      <c r="BJ182">
        <v>0.13680719524912632</v>
      </c>
    </row>
    <row r="183" spans="3:62" x14ac:dyDescent="0.2">
      <c r="C183" s="121">
        <v>73074.833213820573</v>
      </c>
      <c r="D183" s="121">
        <v>15.023461096223583</v>
      </c>
      <c r="E183" s="121">
        <v>74746.544169610876</v>
      </c>
      <c r="F183" s="121">
        <v>14.904296032807816</v>
      </c>
      <c r="G183" s="121">
        <v>-1671.7109557903023</v>
      </c>
      <c r="H183" s="121">
        <v>0.11916506341576749</v>
      </c>
      <c r="N183" s="121"/>
      <c r="O183" s="121"/>
      <c r="P183" s="121"/>
      <c r="R183">
        <v>182.48664456818693</v>
      </c>
      <c r="S183">
        <v>63.769615782935368</v>
      </c>
      <c r="T183">
        <v>234.49610720371933</v>
      </c>
      <c r="U183">
        <v>107.74369324807981</v>
      </c>
      <c r="X183">
        <v>0.59846832226383284</v>
      </c>
      <c r="Y183">
        <v>0.79468810908252652</v>
      </c>
      <c r="Z183">
        <v>0.76322030106814243</v>
      </c>
      <c r="AA183">
        <v>0.69277792055029219</v>
      </c>
      <c r="AB183">
        <v>0.92623820859460237</v>
      </c>
      <c r="AC183">
        <v>0.78251886146390048</v>
      </c>
      <c r="AD183">
        <v>0.49168179273319002</v>
      </c>
      <c r="AE183">
        <v>0.77187178855002614</v>
      </c>
      <c r="AH183">
        <v>3.1295927699674819E-2</v>
      </c>
      <c r="AI183">
        <v>8.891437193067131E-2</v>
      </c>
      <c r="AJ183">
        <v>5.7189101581168966E-2</v>
      </c>
      <c r="AK183">
        <v>0.12007313327419122</v>
      </c>
      <c r="AL183">
        <v>4.4965524600335094E-2</v>
      </c>
      <c r="AM183">
        <v>8.3387732221790856E-2</v>
      </c>
      <c r="AN183">
        <v>5.7509711866928326E-2</v>
      </c>
      <c r="AO183">
        <v>6.2775405264841155E-2</v>
      </c>
      <c r="AR183">
        <v>8.1864291856561188E-4</v>
      </c>
      <c r="AS183">
        <v>4.3632233528639432E-3</v>
      </c>
      <c r="AT183">
        <v>4.6671846679657769E-3</v>
      </c>
      <c r="AU183">
        <v>2.2077409761210864E-3</v>
      </c>
      <c r="AV183">
        <v>2.2297768851293753E-3</v>
      </c>
      <c r="AW183">
        <v>3.3601690953813167E-3</v>
      </c>
      <c r="AX183">
        <v>3.6435610799821706E-4</v>
      </c>
      <c r="AY183">
        <v>4.9048524837280727E-4</v>
      </c>
      <c r="BB183">
        <v>5.2747465001005134E-2</v>
      </c>
      <c r="BC183">
        <v>4.0576268950907483E-2</v>
      </c>
      <c r="BE183">
        <v>73074.833213820573</v>
      </c>
      <c r="BF183">
        <v>15.023461096223583</v>
      </c>
      <c r="BG183">
        <v>74746.544169610876</v>
      </c>
      <c r="BH183">
        <v>14.904296032807816</v>
      </c>
      <c r="BI183">
        <v>-1671.7109557903023</v>
      </c>
      <c r="BJ183">
        <v>0.11916506341576749</v>
      </c>
    </row>
    <row r="184" spans="3:62" x14ac:dyDescent="0.2">
      <c r="C184" s="121">
        <v>77356.200881923447</v>
      </c>
      <c r="D184" s="121">
        <v>14.985823303692591</v>
      </c>
      <c r="E184" s="121">
        <v>78819.953306976633</v>
      </c>
      <c r="F184" s="121">
        <v>14.855340908466374</v>
      </c>
      <c r="G184" s="121">
        <v>-1463.752425053186</v>
      </c>
      <c r="H184" s="121">
        <v>0.13048239522621685</v>
      </c>
      <c r="N184" s="121"/>
      <c r="O184" s="121"/>
      <c r="P184" s="121"/>
      <c r="R184">
        <v>171.26349676583152</v>
      </c>
      <c r="S184">
        <v>56.138967407072442</v>
      </c>
      <c r="T184">
        <v>276.24467936182754</v>
      </c>
      <c r="U184">
        <v>90.149779101576073</v>
      </c>
      <c r="X184">
        <v>0.68828664469070588</v>
      </c>
      <c r="Y184">
        <v>0.74013313021080418</v>
      </c>
      <c r="Z184">
        <v>0.73379596543170755</v>
      </c>
      <c r="AA184">
        <v>0.76377285047201016</v>
      </c>
      <c r="AB184">
        <v>0.56207081378426416</v>
      </c>
      <c r="AC184">
        <v>0.8400687399337714</v>
      </c>
      <c r="AD184">
        <v>0.83614120024557403</v>
      </c>
      <c r="AE184">
        <v>0.78146576247100863</v>
      </c>
      <c r="AH184">
        <v>0.15465695830484583</v>
      </c>
      <c r="AI184">
        <v>0.22619529311014064</v>
      </c>
      <c r="AJ184">
        <v>0.13352555706063363</v>
      </c>
      <c r="AK184">
        <v>8.3252132923519406E-2</v>
      </c>
      <c r="AL184">
        <v>5.7593937492639191E-2</v>
      </c>
      <c r="AM184">
        <v>0.11334423536405502</v>
      </c>
      <c r="AN184">
        <v>0.20269558851996694</v>
      </c>
      <c r="AO184">
        <v>6.5457569756887102E-2</v>
      </c>
      <c r="AR184">
        <v>8.7635083228031392E-4</v>
      </c>
      <c r="AS184">
        <v>4.6818086013369342E-3</v>
      </c>
      <c r="AT184">
        <v>4.8219603867927742E-3</v>
      </c>
      <c r="AU184">
        <v>2.1737545146331971E-3</v>
      </c>
      <c r="AV184">
        <v>2.061059482220684E-3</v>
      </c>
      <c r="AW184">
        <v>3.647763847549057E-3</v>
      </c>
      <c r="AX184">
        <v>4.7657352783969653E-4</v>
      </c>
      <c r="AY184">
        <v>4.8209531906406866E-4</v>
      </c>
      <c r="BB184">
        <v>5.0196396366647744E-2</v>
      </c>
      <c r="BC184">
        <v>0.1330046856176863</v>
      </c>
      <c r="BE184">
        <v>77356.200881923447</v>
      </c>
      <c r="BF184">
        <v>14.985823303692591</v>
      </c>
      <c r="BG184">
        <v>78819.953306976633</v>
      </c>
      <c r="BH184">
        <v>14.855340908466374</v>
      </c>
      <c r="BI184">
        <v>-1463.752425053186</v>
      </c>
      <c r="BJ184">
        <v>0.13048239522621685</v>
      </c>
    </row>
    <row r="185" spans="3:62" x14ac:dyDescent="0.2">
      <c r="C185" s="121">
        <v>72821.965084575641</v>
      </c>
      <c r="D185" s="121">
        <v>16.466703368797653</v>
      </c>
      <c r="E185" s="121">
        <v>74748.182615524536</v>
      </c>
      <c r="F185" s="121">
        <v>16.330468447106078</v>
      </c>
      <c r="G185" s="121">
        <v>-1926.2175309488957</v>
      </c>
      <c r="H185" s="121">
        <v>0.13623492169157458</v>
      </c>
      <c r="N185" s="121"/>
      <c r="O185" s="121"/>
      <c r="P185" s="121"/>
      <c r="R185">
        <v>284.37685057938927</v>
      </c>
      <c r="S185">
        <v>66.243249277778844</v>
      </c>
      <c r="T185">
        <v>234.9528250669506</v>
      </c>
      <c r="U185">
        <v>74.601830458444311</v>
      </c>
      <c r="X185">
        <v>0.78938130365266324</v>
      </c>
      <c r="Y185">
        <v>0.98024221029536407</v>
      </c>
      <c r="Z185">
        <v>0.84899242967927246</v>
      </c>
      <c r="AA185">
        <v>0.73988975237146815</v>
      </c>
      <c r="AB185">
        <v>0.65175781183392612</v>
      </c>
      <c r="AC185">
        <v>0.94689318934569178</v>
      </c>
      <c r="AD185">
        <v>0.8339047352658906</v>
      </c>
      <c r="AE185">
        <v>0.76359544165479232</v>
      </c>
      <c r="AH185">
        <v>0.24250276072506138</v>
      </c>
      <c r="AI185">
        <v>0.21680336366268593</v>
      </c>
      <c r="AJ185">
        <v>3.413235940691095E-2</v>
      </c>
      <c r="AK185">
        <v>0.10634362829537902</v>
      </c>
      <c r="AL185">
        <v>0.13666924888135257</v>
      </c>
      <c r="AM185">
        <v>2.8723140745687159E-2</v>
      </c>
      <c r="AN185">
        <v>0.12385669980528935</v>
      </c>
      <c r="AO185">
        <v>1.8559790940345655E-2</v>
      </c>
      <c r="AR185">
        <v>8.546169478472731E-4</v>
      </c>
      <c r="AS185">
        <v>4.4209714572300638E-3</v>
      </c>
      <c r="AT185">
        <v>4.9135900033565197E-3</v>
      </c>
      <c r="AU185">
        <v>2.1280160042127516E-3</v>
      </c>
      <c r="AV185">
        <v>1.9628424222126939E-3</v>
      </c>
      <c r="AW185">
        <v>3.2363756500470753E-3</v>
      </c>
      <c r="AX185">
        <v>3.2662290979676558E-4</v>
      </c>
      <c r="AY185">
        <v>3.8626151836204133E-4</v>
      </c>
      <c r="BB185">
        <v>6.0440219107936288E-2</v>
      </c>
      <c r="BC185">
        <v>3.1934109352318572E-2</v>
      </c>
      <c r="BE185">
        <v>72821.965084575641</v>
      </c>
      <c r="BF185">
        <v>16.466703368797653</v>
      </c>
      <c r="BG185">
        <v>74748.182615524536</v>
      </c>
      <c r="BH185">
        <v>16.330468447106078</v>
      </c>
      <c r="BI185">
        <v>-1926.2175309488957</v>
      </c>
      <c r="BJ185">
        <v>0.13623492169157458</v>
      </c>
    </row>
    <row r="186" spans="3:62" x14ac:dyDescent="0.2">
      <c r="C186" s="121">
        <v>64552.858733988593</v>
      </c>
      <c r="D186" s="121">
        <v>14.457186784238068</v>
      </c>
      <c r="E186" s="121">
        <v>66627.796235153932</v>
      </c>
      <c r="F186" s="121">
        <v>14.32750544617638</v>
      </c>
      <c r="G186" s="121">
        <v>-2074.9375011653392</v>
      </c>
      <c r="H186" s="121">
        <v>0.12968133806168858</v>
      </c>
      <c r="N186" s="121"/>
      <c r="O186" s="121"/>
      <c r="P186" s="121"/>
      <c r="R186">
        <v>233.92248636863735</v>
      </c>
      <c r="S186">
        <v>59.540577593572969</v>
      </c>
      <c r="T186">
        <v>227.27540253443706</v>
      </c>
      <c r="U186">
        <v>97.679259983614031</v>
      </c>
      <c r="X186">
        <v>0.92542192201961659</v>
      </c>
      <c r="Y186">
        <v>0.81466932029460004</v>
      </c>
      <c r="Z186">
        <v>0.78323674927022147</v>
      </c>
      <c r="AA186">
        <v>0.66910628156621565</v>
      </c>
      <c r="AB186">
        <v>0.70310109954540734</v>
      </c>
      <c r="AC186">
        <v>0.89932851261555857</v>
      </c>
      <c r="AD186">
        <v>0.84743355475956217</v>
      </c>
      <c r="AE186">
        <v>0.69740525158720623</v>
      </c>
      <c r="AH186">
        <v>0.12865881128479828</v>
      </c>
      <c r="AI186">
        <v>4.0117229473077609E-2</v>
      </c>
      <c r="AJ186">
        <v>2.3059655218679476E-2</v>
      </c>
      <c r="AK186">
        <v>9.1703637089968315E-2</v>
      </c>
      <c r="AL186">
        <v>0.15345624733702523</v>
      </c>
      <c r="AM186">
        <v>6.2976821346079737E-2</v>
      </c>
      <c r="AN186">
        <v>0.16637311401633947</v>
      </c>
      <c r="AO186">
        <v>6.316647150094945E-3</v>
      </c>
      <c r="AR186">
        <v>9.5251272736995851E-4</v>
      </c>
      <c r="AS186">
        <v>4.6543300260147857E-3</v>
      </c>
      <c r="AT186">
        <v>5.0656064494658537E-3</v>
      </c>
      <c r="AU186">
        <v>2.1146061144574624E-3</v>
      </c>
      <c r="AV186">
        <v>1.7522367440551999E-3</v>
      </c>
      <c r="AW186">
        <v>3.3727854444175866E-3</v>
      </c>
      <c r="AX186">
        <v>4.4128055522441034E-4</v>
      </c>
      <c r="AY186">
        <v>4.4225672348988327E-4</v>
      </c>
      <c r="BB186">
        <v>5.3009470548587956E-2</v>
      </c>
      <c r="BC186">
        <v>3.557504699147819E-2</v>
      </c>
      <c r="BE186">
        <v>64552.858733988593</v>
      </c>
      <c r="BF186">
        <v>14.457186784238068</v>
      </c>
      <c r="BG186">
        <v>66627.796235153932</v>
      </c>
      <c r="BH186">
        <v>14.32750544617638</v>
      </c>
      <c r="BI186">
        <v>-2074.9375011653392</v>
      </c>
      <c r="BJ186">
        <v>0.12968133806168858</v>
      </c>
    </row>
    <row r="187" spans="3:62" x14ac:dyDescent="0.2">
      <c r="C187" s="121">
        <v>69082.305228712023</v>
      </c>
      <c r="D187" s="121">
        <v>16.610429624264185</v>
      </c>
      <c r="E187" s="121">
        <v>70800.52421758011</v>
      </c>
      <c r="F187" s="121">
        <v>16.506896148476198</v>
      </c>
      <c r="G187" s="121">
        <v>-1718.2189888680878</v>
      </c>
      <c r="H187" s="121">
        <v>0.10353347578798733</v>
      </c>
      <c r="N187" s="121"/>
      <c r="O187" s="121"/>
      <c r="P187" s="121"/>
      <c r="R187">
        <v>372.13733810118714</v>
      </c>
      <c r="S187">
        <v>57.162083968468728</v>
      </c>
      <c r="T187">
        <v>224.58556898506512</v>
      </c>
      <c r="U187">
        <v>98.231296321355003</v>
      </c>
      <c r="X187">
        <v>0.68704585621884839</v>
      </c>
      <c r="Y187">
        <v>0.78760031156258004</v>
      </c>
      <c r="Z187">
        <v>0.567026604342735</v>
      </c>
      <c r="AA187">
        <v>0.78325053147484469</v>
      </c>
      <c r="AB187">
        <v>0.8182576969376516</v>
      </c>
      <c r="AC187">
        <v>0.71195295204878351</v>
      </c>
      <c r="AD187">
        <v>0.80072121779904926</v>
      </c>
      <c r="AE187">
        <v>0.5868439306106602</v>
      </c>
      <c r="AH187">
        <v>6.2851615591350773E-2</v>
      </c>
      <c r="AI187">
        <v>2.4299028800536027E-2</v>
      </c>
      <c r="AJ187">
        <v>8.9943677928270738E-2</v>
      </c>
      <c r="AK187">
        <v>9.418677695529265E-2</v>
      </c>
      <c r="AL187">
        <v>6.1013514387560419E-2</v>
      </c>
      <c r="AM187">
        <v>0.23778046106951822</v>
      </c>
      <c r="AN187">
        <v>0.16175058941422049</v>
      </c>
      <c r="AO187">
        <v>0.19523646739563649</v>
      </c>
      <c r="AR187">
        <v>9.9195434512822089E-4</v>
      </c>
      <c r="AS187">
        <v>4.5178895515948225E-3</v>
      </c>
      <c r="AT187">
        <v>4.5519156867608965E-3</v>
      </c>
      <c r="AU187">
        <v>2.2634998085234725E-3</v>
      </c>
      <c r="AV187">
        <v>2.1277964819311768E-3</v>
      </c>
      <c r="AW187">
        <v>3.5289703776638648E-3</v>
      </c>
      <c r="AX187">
        <v>3.6297505378954088E-4</v>
      </c>
      <c r="AY187">
        <v>4.5932306384122157E-4</v>
      </c>
      <c r="BB187">
        <v>5.3966164879181489E-2</v>
      </c>
      <c r="BC187">
        <v>3.9959203258368124E-2</v>
      </c>
      <c r="BE187">
        <v>69082.305228712023</v>
      </c>
      <c r="BF187">
        <v>16.610429624264185</v>
      </c>
      <c r="BG187">
        <v>70800.52421758011</v>
      </c>
      <c r="BH187">
        <v>16.506896148476198</v>
      </c>
      <c r="BI187">
        <v>-1718.2189888680878</v>
      </c>
      <c r="BJ187">
        <v>0.10353347578798733</v>
      </c>
    </row>
    <row r="188" spans="3:62" x14ac:dyDescent="0.2">
      <c r="C188" s="121">
        <v>73623.092350748469</v>
      </c>
      <c r="D188" s="121">
        <v>15.63601751943901</v>
      </c>
      <c r="E188" s="121">
        <v>75391.899109186284</v>
      </c>
      <c r="F188" s="121">
        <v>15.535129289314673</v>
      </c>
      <c r="G188" s="121">
        <v>-1768.806758437815</v>
      </c>
      <c r="H188" s="121">
        <v>0.10088823012433679</v>
      </c>
      <c r="N188" s="121"/>
      <c r="O188" s="121"/>
      <c r="P188" s="121"/>
      <c r="R188">
        <v>64.927485048902696</v>
      </c>
      <c r="S188">
        <v>62.325425926475482</v>
      </c>
      <c r="T188">
        <v>188.17216159922492</v>
      </c>
      <c r="U188">
        <v>106.54198983617309</v>
      </c>
      <c r="X188">
        <v>0.6671687369226762</v>
      </c>
      <c r="Y188">
        <v>0.71027860247394459</v>
      </c>
      <c r="Z188">
        <v>0.60087616468199956</v>
      </c>
      <c r="AA188">
        <v>0.37007286357087249</v>
      </c>
      <c r="AB188">
        <v>0.8607245620514048</v>
      </c>
      <c r="AC188">
        <v>0.95202752733075102</v>
      </c>
      <c r="AD188">
        <v>0.7722922708353086</v>
      </c>
      <c r="AE188">
        <v>0.82148943291289589</v>
      </c>
      <c r="AH188">
        <v>6.6964226343508626E-2</v>
      </c>
      <c r="AI188">
        <v>0.21627241410382181</v>
      </c>
      <c r="AJ188">
        <v>3.8489006674638171E-2</v>
      </c>
      <c r="AK188">
        <v>4.3458787042175651E-2</v>
      </c>
      <c r="AL188">
        <v>0.21908551284772604</v>
      </c>
      <c r="AM188">
        <v>8.0280780481485348E-2</v>
      </c>
      <c r="AN188">
        <v>0.13539031153004111</v>
      </c>
      <c r="AO188">
        <v>0.15803778341951702</v>
      </c>
      <c r="AR188">
        <v>9.1584099848762701E-4</v>
      </c>
      <c r="AS188">
        <v>4.755657518137002E-3</v>
      </c>
      <c r="AT188">
        <v>4.9977739389501785E-3</v>
      </c>
      <c r="AU188">
        <v>2.2103285639317738E-3</v>
      </c>
      <c r="AV188">
        <v>2.3956756788010569E-3</v>
      </c>
      <c r="AW188">
        <v>3.5038544410107564E-3</v>
      </c>
      <c r="AX188">
        <v>4.9246675933589668E-4</v>
      </c>
      <c r="AY188">
        <v>4.790934668937874E-4</v>
      </c>
      <c r="BB188">
        <v>4.7980359530942714E-2</v>
      </c>
      <c r="BC188">
        <v>5.8260332057977759E-2</v>
      </c>
      <c r="BE188">
        <v>73623.092350748469</v>
      </c>
      <c r="BF188">
        <v>15.63601751943901</v>
      </c>
      <c r="BG188">
        <v>75391.899109186284</v>
      </c>
      <c r="BH188">
        <v>15.535129289314673</v>
      </c>
      <c r="BI188">
        <v>-1768.806758437815</v>
      </c>
      <c r="BJ188">
        <v>0.10088823012433679</v>
      </c>
    </row>
    <row r="189" spans="3:62" x14ac:dyDescent="0.2">
      <c r="C189" s="121">
        <v>71769.090576023707</v>
      </c>
      <c r="D189" s="121">
        <v>15.845716246803947</v>
      </c>
      <c r="E189" s="121">
        <v>73805.049848350536</v>
      </c>
      <c r="F189" s="121">
        <v>15.653980346953004</v>
      </c>
      <c r="G189" s="121">
        <v>-2035.9592723268288</v>
      </c>
      <c r="H189" s="121">
        <v>0.19173589985094353</v>
      </c>
      <c r="N189" s="121"/>
      <c r="O189" s="121"/>
      <c r="P189" s="121"/>
      <c r="R189">
        <v>352.29424100155933</v>
      </c>
      <c r="S189">
        <v>66.16929853585961</v>
      </c>
      <c r="T189">
        <v>270.70055154383914</v>
      </c>
      <c r="U189">
        <v>83.276069165338924</v>
      </c>
      <c r="X189">
        <v>0.67309826009148876</v>
      </c>
      <c r="Y189">
        <v>0.73981368099586919</v>
      </c>
      <c r="Z189">
        <v>0.64135141152428854</v>
      </c>
      <c r="AA189">
        <v>0.91652901641995832</v>
      </c>
      <c r="AB189">
        <v>0.72744345624659235</v>
      </c>
      <c r="AC189">
        <v>0.83195568477261561</v>
      </c>
      <c r="AD189">
        <v>0.64525596887261505</v>
      </c>
      <c r="AE189">
        <v>0.57503138364853024</v>
      </c>
      <c r="AH189">
        <v>0.17175407364125406</v>
      </c>
      <c r="AI189">
        <v>0.23589535519256</v>
      </c>
      <c r="AJ189">
        <v>0.11141137234199261</v>
      </c>
      <c r="AK189">
        <v>9.229299592825746E-2</v>
      </c>
      <c r="AL189">
        <v>5.3297875115064675E-2</v>
      </c>
      <c r="AM189">
        <v>0.22789015790586131</v>
      </c>
      <c r="AN189">
        <v>0.23411654145459115</v>
      </c>
      <c r="AO189">
        <v>0.30355781750179089</v>
      </c>
      <c r="AR189">
        <v>8.108772108531444E-4</v>
      </c>
      <c r="AS189">
        <v>4.3160540378432448E-3</v>
      </c>
      <c r="AT189">
        <v>4.9627166720197513E-3</v>
      </c>
      <c r="AU189">
        <v>1.9441578619017416E-3</v>
      </c>
      <c r="AV189">
        <v>2.1165598879465675E-3</v>
      </c>
      <c r="AW189">
        <v>3.5610351719581601E-3</v>
      </c>
      <c r="AX189">
        <v>3.8104159323602019E-4</v>
      </c>
      <c r="AY189">
        <v>4.3818951593690248E-4</v>
      </c>
      <c r="BB189">
        <v>5.0118298805991612E-2</v>
      </c>
      <c r="BC189">
        <v>0.16367804458292012</v>
      </c>
      <c r="BE189">
        <v>71769.090576023707</v>
      </c>
      <c r="BF189">
        <v>15.845716246803947</v>
      </c>
      <c r="BG189">
        <v>73805.049848350536</v>
      </c>
      <c r="BH189">
        <v>15.653980346953004</v>
      </c>
      <c r="BI189">
        <v>-2035.9592723268288</v>
      </c>
      <c r="BJ189">
        <v>0.19173589985094353</v>
      </c>
    </row>
    <row r="190" spans="3:62" x14ac:dyDescent="0.2">
      <c r="C190" s="121">
        <v>68394.718245586962</v>
      </c>
      <c r="D190" s="121">
        <v>15.791634885586518</v>
      </c>
      <c r="E190" s="121">
        <v>69369.135292593928</v>
      </c>
      <c r="F190" s="121">
        <v>15.731132886326479</v>
      </c>
      <c r="G190" s="121">
        <v>-974.41704700696573</v>
      </c>
      <c r="H190" s="121">
        <v>6.050199926003863E-2</v>
      </c>
      <c r="N190" s="121"/>
      <c r="O190" s="121"/>
      <c r="P190" s="121"/>
      <c r="R190">
        <v>193.24668561864678</v>
      </c>
      <c r="S190">
        <v>62.837274987980621</v>
      </c>
      <c r="T190">
        <v>235.86083916410729</v>
      </c>
      <c r="U190">
        <v>93.545579727427082</v>
      </c>
      <c r="X190">
        <v>0.86224740335071615</v>
      </c>
      <c r="Y190">
        <v>0.79496392286265749</v>
      </c>
      <c r="Z190">
        <v>0.88803995515098166</v>
      </c>
      <c r="AA190">
        <v>0.74010633854668029</v>
      </c>
      <c r="AB190">
        <v>0.77038479094314538</v>
      </c>
      <c r="AC190">
        <v>0.93408402350876596</v>
      </c>
      <c r="AD190">
        <v>0.77843405850873681</v>
      </c>
      <c r="AE190">
        <v>0.49958120778357779</v>
      </c>
      <c r="AH190">
        <v>7.2536439026857247E-2</v>
      </c>
      <c r="AI190">
        <v>1.4365079311999596E-2</v>
      </c>
      <c r="AJ190">
        <v>0.19974870451842508</v>
      </c>
      <c r="AK190">
        <v>0.13619363449426536</v>
      </c>
      <c r="AL190">
        <v>8.8913693444280906E-2</v>
      </c>
      <c r="AM190">
        <v>3.2856684180549989E-2</v>
      </c>
      <c r="AN190">
        <v>0.19016081418880626</v>
      </c>
      <c r="AO190">
        <v>0.13232291484439496</v>
      </c>
      <c r="AR190">
        <v>7.8188822377997286E-4</v>
      </c>
      <c r="AS190">
        <v>4.2851743960912727E-3</v>
      </c>
      <c r="AT190">
        <v>4.5972881227362315E-3</v>
      </c>
      <c r="AU190">
        <v>2.2364819413664971E-3</v>
      </c>
      <c r="AV190">
        <v>2.0731935092968001E-3</v>
      </c>
      <c r="AW190">
        <v>3.239252855050796E-3</v>
      </c>
      <c r="AX190">
        <v>5.0630825027575543E-4</v>
      </c>
      <c r="AY190">
        <v>3.5386369887294069E-4</v>
      </c>
      <c r="BB190">
        <v>5.8461400991615231E-2</v>
      </c>
      <c r="BC190">
        <v>6.6883006603635664E-2</v>
      </c>
      <c r="BE190">
        <v>68394.718245586962</v>
      </c>
      <c r="BF190">
        <v>15.791634885586518</v>
      </c>
      <c r="BG190">
        <v>69369.135292593928</v>
      </c>
      <c r="BH190">
        <v>15.731132886326479</v>
      </c>
      <c r="BI190">
        <v>-974.41704700696573</v>
      </c>
      <c r="BJ190">
        <v>6.050199926003863E-2</v>
      </c>
    </row>
    <row r="191" spans="3:62" x14ac:dyDescent="0.2">
      <c r="C191" s="121">
        <v>70960.334457522462</v>
      </c>
      <c r="D191" s="121">
        <v>15.874853364525222</v>
      </c>
      <c r="E191" s="121">
        <v>72919.735648478614</v>
      </c>
      <c r="F191" s="121">
        <v>15.731939969792997</v>
      </c>
      <c r="G191" s="121">
        <v>-1959.4011909561523</v>
      </c>
      <c r="H191" s="121">
        <v>0.14291339473222564</v>
      </c>
      <c r="N191" s="121"/>
      <c r="O191" s="121"/>
      <c r="P191" s="121"/>
      <c r="R191">
        <v>151.16596474789498</v>
      </c>
      <c r="S191">
        <v>67.239582473376061</v>
      </c>
      <c r="T191">
        <v>242.43025975711771</v>
      </c>
      <c r="U191">
        <v>91.544611460835043</v>
      </c>
      <c r="X191">
        <v>0.85773512183986489</v>
      </c>
      <c r="Y191">
        <v>0.74114727538591119</v>
      </c>
      <c r="Z191">
        <v>0.75749384152349974</v>
      </c>
      <c r="AA191">
        <v>0.53667875676357357</v>
      </c>
      <c r="AB191">
        <v>0.79645266125585779</v>
      </c>
      <c r="AC191">
        <v>0.51651008822192335</v>
      </c>
      <c r="AD191">
        <v>0.83769731604262687</v>
      </c>
      <c r="AE191">
        <v>0.65782847769694652</v>
      </c>
      <c r="AH191">
        <v>9.8780329379676179E-2</v>
      </c>
      <c r="AI191">
        <v>0.12439998209331016</v>
      </c>
      <c r="AJ191">
        <v>0.16681876865495038</v>
      </c>
      <c r="AK191">
        <v>0.17532793652127732</v>
      </c>
      <c r="AL191">
        <v>0.16123326177193442</v>
      </c>
      <c r="AM191">
        <v>0.19772132640662055</v>
      </c>
      <c r="AN191">
        <v>7.5754147573423358E-2</v>
      </c>
      <c r="AO191">
        <v>0.11273678182148283</v>
      </c>
      <c r="AR191">
        <v>1.0941134561741617E-3</v>
      </c>
      <c r="AS191">
        <v>4.3118746065150104E-3</v>
      </c>
      <c r="AT191">
        <v>5.0529677190465083E-3</v>
      </c>
      <c r="AU191">
        <v>1.9662917601992397E-3</v>
      </c>
      <c r="AV191">
        <v>1.9477535295875127E-3</v>
      </c>
      <c r="AW191">
        <v>3.5966528155699784E-3</v>
      </c>
      <c r="AX191">
        <v>3.8565640733972511E-4</v>
      </c>
      <c r="AY191">
        <v>4.3675741883506615E-4</v>
      </c>
      <c r="BB191">
        <v>5.2959796348314381E-2</v>
      </c>
      <c r="BC191">
        <v>7.1033346865053471E-2</v>
      </c>
      <c r="BE191">
        <v>70960.334457522462</v>
      </c>
      <c r="BF191">
        <v>15.874853364525222</v>
      </c>
      <c r="BG191">
        <v>72919.735648478614</v>
      </c>
      <c r="BH191">
        <v>15.731939969792997</v>
      </c>
      <c r="BI191">
        <v>-1959.4011909561523</v>
      </c>
      <c r="BJ191">
        <v>0.14291339473222564</v>
      </c>
    </row>
    <row r="192" spans="3:62" x14ac:dyDescent="0.2">
      <c r="C192" s="121">
        <v>69334.315305465396</v>
      </c>
      <c r="D192" s="121">
        <v>16.665471701245632</v>
      </c>
      <c r="E192" s="121">
        <v>70932.238909776701</v>
      </c>
      <c r="F192" s="121">
        <v>16.550900769016046</v>
      </c>
      <c r="G192" s="121">
        <v>-1597.9236043113051</v>
      </c>
      <c r="H192" s="121">
        <v>0.11457093222958648</v>
      </c>
      <c r="N192" s="121"/>
      <c r="O192" s="121"/>
      <c r="P192" s="121"/>
      <c r="R192">
        <v>118.18413051806633</v>
      </c>
      <c r="S192">
        <v>67.806228788723303</v>
      </c>
      <c r="T192">
        <v>230.27756809395737</v>
      </c>
      <c r="U192">
        <v>89.644311457863694</v>
      </c>
      <c r="X192">
        <v>0.84739391862019064</v>
      </c>
      <c r="Y192">
        <v>0.65312058831871811</v>
      </c>
      <c r="Z192">
        <v>0.79432219698845674</v>
      </c>
      <c r="AA192">
        <v>0.61432657630933463</v>
      </c>
      <c r="AB192">
        <v>0.751343520253275</v>
      </c>
      <c r="AC192">
        <v>0.83262517659308544</v>
      </c>
      <c r="AD192">
        <v>0.67553940126817036</v>
      </c>
      <c r="AE192">
        <v>0.86900834022404394</v>
      </c>
      <c r="AH192">
        <v>7.258448459577671E-2</v>
      </c>
      <c r="AI192">
        <v>0.140543134266229</v>
      </c>
      <c r="AJ192">
        <v>0.1437013371796434</v>
      </c>
      <c r="AK192">
        <v>0.17662689455375069</v>
      </c>
      <c r="AL192">
        <v>0.13238523728601914</v>
      </c>
      <c r="AM192">
        <v>0.15519755590465212</v>
      </c>
      <c r="AN192">
        <v>3.0433245008206655E-2</v>
      </c>
      <c r="AO192">
        <v>0.34955492557835488</v>
      </c>
      <c r="AR192">
        <v>8.3516143551826572E-4</v>
      </c>
      <c r="AS192">
        <v>4.6131565548624964E-3</v>
      </c>
      <c r="AT192">
        <v>4.7002614695383855E-3</v>
      </c>
      <c r="AU192">
        <v>2.0763071075081685E-3</v>
      </c>
      <c r="AV192">
        <v>1.9325727575749047E-3</v>
      </c>
      <c r="AW192">
        <v>3.4716155145220196E-3</v>
      </c>
      <c r="AX192">
        <v>3.2821541130978671E-4</v>
      </c>
      <c r="AY192">
        <v>3.382742804298342E-4</v>
      </c>
      <c r="BB192">
        <v>4.5904638431676199E-2</v>
      </c>
      <c r="BC192">
        <v>2.7326581196175231E-2</v>
      </c>
      <c r="BE192">
        <v>69334.315305465396</v>
      </c>
      <c r="BF192">
        <v>16.665471701245632</v>
      </c>
      <c r="BG192">
        <v>70932.238909776701</v>
      </c>
      <c r="BH192">
        <v>16.550900769016046</v>
      </c>
      <c r="BI192">
        <v>-1597.9236043113051</v>
      </c>
      <c r="BJ192">
        <v>0.11457093222958648</v>
      </c>
    </row>
    <row r="193" spans="3:62" x14ac:dyDescent="0.2">
      <c r="C193" s="121">
        <v>64197.598513196397</v>
      </c>
      <c r="D193" s="121">
        <v>18.090657888392482</v>
      </c>
      <c r="E193" s="121">
        <v>65213.483096644362</v>
      </c>
      <c r="F193" s="121">
        <v>18.002525073570048</v>
      </c>
      <c r="G193" s="121">
        <v>-1015.8845834479653</v>
      </c>
      <c r="H193" s="121">
        <v>8.8132814822433403E-2</v>
      </c>
      <c r="N193" s="121"/>
      <c r="O193" s="121"/>
      <c r="P193" s="121"/>
      <c r="R193">
        <v>258.32804476512013</v>
      </c>
      <c r="S193">
        <v>68.214463505239962</v>
      </c>
      <c r="T193">
        <v>267.81251315782572</v>
      </c>
      <c r="U193">
        <v>97.218312629900964</v>
      </c>
      <c r="X193">
        <v>0.77027128470601613</v>
      </c>
      <c r="Y193">
        <v>0.71379243801915682</v>
      </c>
      <c r="Z193">
        <v>0.95410794363876739</v>
      </c>
      <c r="AA193">
        <v>0.65567678263314721</v>
      </c>
      <c r="AB193">
        <v>0.54243888796561923</v>
      </c>
      <c r="AC193">
        <v>0.63414747036334085</v>
      </c>
      <c r="AD193">
        <v>0.65872911892674457</v>
      </c>
      <c r="AE193">
        <v>0.70141371145554532</v>
      </c>
      <c r="AH193">
        <v>0.10531980525308526</v>
      </c>
      <c r="AI193">
        <v>0.12498768988250741</v>
      </c>
      <c r="AJ193">
        <v>9.8195560140859284E-2</v>
      </c>
      <c r="AK193">
        <v>1.091702516119275E-2</v>
      </c>
      <c r="AL193">
        <v>3.6935299200643756E-2</v>
      </c>
      <c r="AM193">
        <v>0.26805956432760791</v>
      </c>
      <c r="AN193">
        <v>0.18510496168384505</v>
      </c>
      <c r="AO193">
        <v>9.0975829496092619E-2</v>
      </c>
      <c r="AR193">
        <v>8.8175664639870781E-4</v>
      </c>
      <c r="AS193">
        <v>4.3619956596132646E-3</v>
      </c>
      <c r="AT193">
        <v>5.1800976268245869E-3</v>
      </c>
      <c r="AU193">
        <v>1.9137004020990831E-3</v>
      </c>
      <c r="AV193">
        <v>2.0230407495159808E-3</v>
      </c>
      <c r="AW193">
        <v>3.4921018443522245E-3</v>
      </c>
      <c r="AX193">
        <v>3.3836032181679891E-4</v>
      </c>
      <c r="AY193">
        <v>3.7402250834956714E-4</v>
      </c>
      <c r="BB193">
        <v>4.6052393035093966E-2</v>
      </c>
      <c r="BC193">
        <v>1.3165438263401328E-2</v>
      </c>
      <c r="BE193">
        <v>64197.598513196397</v>
      </c>
      <c r="BF193">
        <v>18.090657888392482</v>
      </c>
      <c r="BG193">
        <v>65213.483096644362</v>
      </c>
      <c r="BH193">
        <v>18.002525073570048</v>
      </c>
      <c r="BI193">
        <v>-1015.8845834479653</v>
      </c>
      <c r="BJ193">
        <v>8.8132814822433403E-2</v>
      </c>
    </row>
    <row r="194" spans="3:62" x14ac:dyDescent="0.2">
      <c r="C194" s="121">
        <v>66928.39061572816</v>
      </c>
      <c r="D194" s="121">
        <v>16.188866141443114</v>
      </c>
      <c r="E194" s="121">
        <v>68735.742181433918</v>
      </c>
      <c r="F194" s="121">
        <v>16.019106286641801</v>
      </c>
      <c r="G194" s="121">
        <v>-1807.3515657057578</v>
      </c>
      <c r="H194" s="121">
        <v>0.16975985480131328</v>
      </c>
      <c r="N194" s="121"/>
      <c r="O194" s="121"/>
      <c r="P194" s="121"/>
      <c r="R194">
        <v>233.07200206610861</v>
      </c>
      <c r="S194">
        <v>56.017326537037896</v>
      </c>
      <c r="T194">
        <v>239.10738008611236</v>
      </c>
      <c r="U194">
        <v>89.732047134302562</v>
      </c>
      <c r="X194">
        <v>0.84967065113650708</v>
      </c>
      <c r="Y194">
        <v>0.75182577582485521</v>
      </c>
      <c r="Z194">
        <v>0.83065531300123352</v>
      </c>
      <c r="AA194">
        <v>0.78493503688412314</v>
      </c>
      <c r="AB194">
        <v>0.79835817289460964</v>
      </c>
      <c r="AC194">
        <v>0.78559001571205922</v>
      </c>
      <c r="AD194">
        <v>0.64238355574010619</v>
      </c>
      <c r="AE194">
        <v>0.3247368365167872</v>
      </c>
      <c r="AH194">
        <v>3.6348450427784229E-2</v>
      </c>
      <c r="AI194">
        <v>2.5073823727301492E-2</v>
      </c>
      <c r="AJ194">
        <v>7.0737302455236239E-2</v>
      </c>
      <c r="AK194">
        <v>6.0342140908956732E-2</v>
      </c>
      <c r="AL194">
        <v>6.9615742263409941E-2</v>
      </c>
      <c r="AM194">
        <v>3.286003974489804E-2</v>
      </c>
      <c r="AN194">
        <v>7.0755551138713346E-2</v>
      </c>
      <c r="AO194">
        <v>5.9441268842604922E-2</v>
      </c>
      <c r="AR194">
        <v>9.9873431824981651E-4</v>
      </c>
      <c r="AS194">
        <v>4.546368631590858E-3</v>
      </c>
      <c r="AT194">
        <v>4.9397234629430043E-3</v>
      </c>
      <c r="AU194">
        <v>1.9393302461849647E-3</v>
      </c>
      <c r="AV194">
        <v>1.8989867856266103E-3</v>
      </c>
      <c r="AW194">
        <v>3.507103181312865E-3</v>
      </c>
      <c r="AX194">
        <v>4.6435388922028142E-4</v>
      </c>
      <c r="AY194">
        <v>3.6557293257458579E-4</v>
      </c>
      <c r="BB194">
        <v>5.3592063407755242E-2</v>
      </c>
      <c r="BC194">
        <v>1.3685395266781699E-2</v>
      </c>
      <c r="BE194">
        <v>66928.39061572816</v>
      </c>
      <c r="BF194">
        <v>16.188866141443114</v>
      </c>
      <c r="BG194">
        <v>68735.742181433918</v>
      </c>
      <c r="BH194">
        <v>16.019106286641801</v>
      </c>
      <c r="BI194">
        <v>-1807.3515657057578</v>
      </c>
      <c r="BJ194">
        <v>0.16975985480131328</v>
      </c>
    </row>
    <row r="195" spans="3:62" x14ac:dyDescent="0.2">
      <c r="C195" s="121">
        <v>76325.579138208734</v>
      </c>
      <c r="D195" s="121">
        <v>17.289653050318062</v>
      </c>
      <c r="E195" s="121">
        <v>77602.238999482812</v>
      </c>
      <c r="F195" s="121">
        <v>17.190967199675423</v>
      </c>
      <c r="G195" s="121">
        <v>-1276.6598612740781</v>
      </c>
      <c r="H195" s="121">
        <v>9.8685850642638684E-2</v>
      </c>
      <c r="N195" s="121"/>
      <c r="O195" s="121"/>
      <c r="P195" s="121"/>
      <c r="R195">
        <v>173.91045224477568</v>
      </c>
      <c r="S195">
        <v>57.111070060701032</v>
      </c>
      <c r="T195">
        <v>216.59295855958078</v>
      </c>
      <c r="U195">
        <v>97.023414525353033</v>
      </c>
      <c r="X195">
        <v>0.72843311218326534</v>
      </c>
      <c r="Y195">
        <v>0.81228187106682503</v>
      </c>
      <c r="Z195">
        <v>0.48859168377833062</v>
      </c>
      <c r="AA195">
        <v>0.64838898035786041</v>
      </c>
      <c r="AB195">
        <v>0.71504015685997568</v>
      </c>
      <c r="AC195">
        <v>0.83692597977900152</v>
      </c>
      <c r="AD195">
        <v>0.63338175221457726</v>
      </c>
      <c r="AE195">
        <v>0.88854882025567505</v>
      </c>
      <c r="AH195">
        <v>3.2964546190929589E-2</v>
      </c>
      <c r="AI195">
        <v>0.14509240255937261</v>
      </c>
      <c r="AJ195">
        <v>2.4202449444396534E-2</v>
      </c>
      <c r="AK195">
        <v>0.10459224537137435</v>
      </c>
      <c r="AL195">
        <v>0.18433759468309607</v>
      </c>
      <c r="AM195">
        <v>0.10223433765870005</v>
      </c>
      <c r="AN195">
        <v>0.24232976880646206</v>
      </c>
      <c r="AO195">
        <v>0.10846398700759385</v>
      </c>
      <c r="AR195">
        <v>1.0144720590453682E-3</v>
      </c>
      <c r="AS195">
        <v>4.5814386040140542E-3</v>
      </c>
      <c r="AT195">
        <v>5.0771119555107491E-3</v>
      </c>
      <c r="AU195">
        <v>1.8565512220418672E-3</v>
      </c>
      <c r="AV195">
        <v>1.9877026129832762E-3</v>
      </c>
      <c r="AW195">
        <v>3.6543436871290247E-3</v>
      </c>
      <c r="AX195">
        <v>4.5776078098491713E-4</v>
      </c>
      <c r="AY195">
        <v>5.2941887431379175E-4</v>
      </c>
      <c r="BB195">
        <v>5.3810725491585276E-2</v>
      </c>
      <c r="BC195">
        <v>3.2109656456498811E-2</v>
      </c>
      <c r="BE195">
        <v>76325.579138208734</v>
      </c>
      <c r="BF195">
        <v>17.289653050318062</v>
      </c>
      <c r="BG195">
        <v>77602.238999482812</v>
      </c>
      <c r="BH195">
        <v>17.190967199675423</v>
      </c>
      <c r="BI195">
        <v>-1276.6598612740781</v>
      </c>
      <c r="BJ195">
        <v>9.8685850642638684E-2</v>
      </c>
    </row>
    <row r="196" spans="3:62" x14ac:dyDescent="0.2">
      <c r="C196" s="121">
        <v>62940.507271736184</v>
      </c>
      <c r="D196" s="121">
        <v>15.806901893948405</v>
      </c>
      <c r="E196" s="121">
        <v>63795.145654505286</v>
      </c>
      <c r="F196" s="121">
        <v>15.669568432950388</v>
      </c>
      <c r="G196" s="121">
        <v>-854.63838276910246</v>
      </c>
      <c r="H196" s="121">
        <v>0.13733346099801658</v>
      </c>
      <c r="N196" s="121"/>
      <c r="O196" s="121"/>
      <c r="P196" s="121"/>
      <c r="R196">
        <v>302.05415328289979</v>
      </c>
      <c r="S196">
        <v>71.998955445114333</v>
      </c>
      <c r="T196">
        <v>296.68066146807229</v>
      </c>
      <c r="U196">
        <v>103.67695572564921</v>
      </c>
      <c r="X196">
        <v>0.56984182296927111</v>
      </c>
      <c r="Y196">
        <v>0.78207047989971534</v>
      </c>
      <c r="Z196">
        <v>0.84912827451167328</v>
      </c>
      <c r="AA196">
        <v>0.63201584378387077</v>
      </c>
      <c r="AB196">
        <v>0.70455235577141306</v>
      </c>
      <c r="AC196">
        <v>0.78922897091460387</v>
      </c>
      <c r="AD196">
        <v>0.8085671478223182</v>
      </c>
      <c r="AE196">
        <v>0.76011374581838309</v>
      </c>
      <c r="AH196">
        <v>8.859829453597845E-2</v>
      </c>
      <c r="AI196">
        <v>0.26489268890921924</v>
      </c>
      <c r="AJ196">
        <v>0.12135864992213763</v>
      </c>
      <c r="AK196">
        <v>6.8119958140866355E-2</v>
      </c>
      <c r="AL196">
        <v>0.16179719697845607</v>
      </c>
      <c r="AM196">
        <v>5.9310145332502007E-2</v>
      </c>
      <c r="AN196">
        <v>7.1539201162708843E-2</v>
      </c>
      <c r="AO196">
        <v>9.8097137217662E-2</v>
      </c>
      <c r="AR196">
        <v>8.5885703702009172E-4</v>
      </c>
      <c r="AS196">
        <v>4.609321598356364E-3</v>
      </c>
      <c r="AT196">
        <v>4.6040194037165394E-3</v>
      </c>
      <c r="AU196">
        <v>1.9996801615969062E-3</v>
      </c>
      <c r="AV196">
        <v>1.9470709519615707E-3</v>
      </c>
      <c r="AW196">
        <v>3.6346446865951343E-3</v>
      </c>
      <c r="AX196">
        <v>3.7522509495500331E-4</v>
      </c>
      <c r="AY196">
        <v>4.6854913389271502E-4</v>
      </c>
      <c r="BB196">
        <v>5.1066848300579171E-2</v>
      </c>
      <c r="BC196">
        <v>4.2587485528806687E-2</v>
      </c>
      <c r="BE196">
        <v>62940.507271736184</v>
      </c>
      <c r="BF196">
        <v>15.806901893948405</v>
      </c>
      <c r="BG196">
        <v>63795.145654505286</v>
      </c>
      <c r="BH196">
        <v>15.669568432950388</v>
      </c>
      <c r="BI196">
        <v>-854.63838276910246</v>
      </c>
      <c r="BJ196">
        <v>0.13733346099801658</v>
      </c>
    </row>
    <row r="197" spans="3:62" x14ac:dyDescent="0.2">
      <c r="C197" s="121">
        <v>70525.574435786679</v>
      </c>
      <c r="D197" s="121">
        <v>16.373983441950816</v>
      </c>
      <c r="E197" s="121">
        <v>71864.864420896454</v>
      </c>
      <c r="F197" s="121">
        <v>16.270668915189006</v>
      </c>
      <c r="G197" s="121">
        <v>-1339.2899851097754</v>
      </c>
      <c r="H197" s="121">
        <v>0.1033145267618103</v>
      </c>
      <c r="N197" s="121"/>
      <c r="O197" s="121"/>
      <c r="P197" s="121"/>
      <c r="R197">
        <v>289.94031620713582</v>
      </c>
      <c r="S197">
        <v>56.411220921621158</v>
      </c>
      <c r="T197">
        <v>222.00773623252556</v>
      </c>
      <c r="U197">
        <v>95.712615064329142</v>
      </c>
      <c r="X197">
        <v>0.88080267430849069</v>
      </c>
      <c r="Y197">
        <v>0.82272464930441802</v>
      </c>
      <c r="Z197">
        <v>0.7158565110141285</v>
      </c>
      <c r="AA197">
        <v>0.6310151415025147</v>
      </c>
      <c r="AB197">
        <v>0.70912267996074874</v>
      </c>
      <c r="AC197">
        <v>0.62346479836887669</v>
      </c>
      <c r="AD197">
        <v>0.48030476666119087</v>
      </c>
      <c r="AE197">
        <v>0.75817827033161855</v>
      </c>
      <c r="AH197">
        <v>0.17478101458534956</v>
      </c>
      <c r="AI197">
        <v>0.15053402699543494</v>
      </c>
      <c r="AJ197">
        <v>0.24662026124781533</v>
      </c>
      <c r="AK197">
        <v>7.1244772708716431E-2</v>
      </c>
      <c r="AL197">
        <v>0.24722575920338907</v>
      </c>
      <c r="AM197">
        <v>0.13181282519066784</v>
      </c>
      <c r="AN197">
        <v>0.14586973852717366</v>
      </c>
      <c r="AO197">
        <v>0.13334506287670844</v>
      </c>
      <c r="AR197">
        <v>8.7231957837375143E-4</v>
      </c>
      <c r="AS197">
        <v>4.1981251455921326E-3</v>
      </c>
      <c r="AT197">
        <v>5.1247103328199151E-3</v>
      </c>
      <c r="AU197">
        <v>1.7752202207672477E-3</v>
      </c>
      <c r="AV197">
        <v>2.1581245800628146E-3</v>
      </c>
      <c r="AW197">
        <v>3.2247491906219295E-3</v>
      </c>
      <c r="AX197">
        <v>3.0999404852903562E-4</v>
      </c>
      <c r="AY197">
        <v>5.0339036927371517E-4</v>
      </c>
      <c r="BB197">
        <v>4.5671685639235286E-2</v>
      </c>
      <c r="BC197">
        <v>4.0383224396732441E-2</v>
      </c>
      <c r="BE197">
        <v>70525.574435786679</v>
      </c>
      <c r="BF197">
        <v>16.373983441950816</v>
      </c>
      <c r="BG197">
        <v>71864.864420896454</v>
      </c>
      <c r="BH197">
        <v>16.270668915189006</v>
      </c>
      <c r="BI197">
        <v>-1339.2899851097754</v>
      </c>
      <c r="BJ197">
        <v>0.1033145267618103</v>
      </c>
    </row>
    <row r="198" spans="3:62" x14ac:dyDescent="0.2">
      <c r="C198" s="121">
        <v>67763.517282083674</v>
      </c>
      <c r="D198" s="121">
        <v>18.241134075090077</v>
      </c>
      <c r="E198" s="121">
        <v>69593.52313234692</v>
      </c>
      <c r="F198" s="121">
        <v>18.15400032976946</v>
      </c>
      <c r="G198" s="121">
        <v>-1830.0058502632455</v>
      </c>
      <c r="H198" s="121">
        <v>8.7133745320617351E-2</v>
      </c>
      <c r="N198" s="121"/>
      <c r="O198" s="121"/>
      <c r="P198" s="121"/>
      <c r="R198">
        <v>119.71570786424721</v>
      </c>
      <c r="S198">
        <v>67.815472657671478</v>
      </c>
      <c r="T198">
        <v>267.87413648763726</v>
      </c>
      <c r="U198">
        <v>91.603485020761312</v>
      </c>
      <c r="X198">
        <v>0.78712776424866593</v>
      </c>
      <c r="Y198">
        <v>0.81709776257628741</v>
      </c>
      <c r="Z198">
        <v>0.835305048958916</v>
      </c>
      <c r="AA198">
        <v>0.43178470731893792</v>
      </c>
      <c r="AB198">
        <v>0.77233083270820724</v>
      </c>
      <c r="AC198">
        <v>0.63697483659577747</v>
      </c>
      <c r="AD198">
        <v>0.93432940148859978</v>
      </c>
      <c r="AE198">
        <v>0.62060919646291657</v>
      </c>
      <c r="AH198">
        <v>8.9988002600561501E-2</v>
      </c>
      <c r="AI198">
        <v>1.202841374079977E-2</v>
      </c>
      <c r="AJ198">
        <v>0.11557892408937687</v>
      </c>
      <c r="AK198">
        <v>7.5938785186560276E-2</v>
      </c>
      <c r="AL198">
        <v>1.7794109821385851E-2</v>
      </c>
      <c r="AM198">
        <v>3.8187037991237904E-2</v>
      </c>
      <c r="AN198">
        <v>0.22716270451385601</v>
      </c>
      <c r="AO198">
        <v>0.12940975034934432</v>
      </c>
      <c r="AR198">
        <v>7.9240075832653521E-4</v>
      </c>
      <c r="AS198">
        <v>4.5525496683473943E-3</v>
      </c>
      <c r="AT198">
        <v>5.2085957871748079E-3</v>
      </c>
      <c r="AU198">
        <v>2.2144916130145686E-3</v>
      </c>
      <c r="AV198">
        <v>2.0152877596413266E-3</v>
      </c>
      <c r="AW198">
        <v>3.3020481031247151E-3</v>
      </c>
      <c r="AX198">
        <v>3.9345877395070042E-4</v>
      </c>
      <c r="AY198">
        <v>3.8851753796201262E-4</v>
      </c>
      <c r="BB198">
        <v>4.561787588669361E-2</v>
      </c>
      <c r="BC198">
        <v>5.1167086990565935E-2</v>
      </c>
      <c r="BE198">
        <v>67763.517282083674</v>
      </c>
      <c r="BF198">
        <v>18.241134075090077</v>
      </c>
      <c r="BG198">
        <v>69593.52313234692</v>
      </c>
      <c r="BH198">
        <v>18.15400032976946</v>
      </c>
      <c r="BI198">
        <v>-1830.0058502632455</v>
      </c>
      <c r="BJ198">
        <v>8.7133745320617351E-2</v>
      </c>
    </row>
    <row r="199" spans="3:62" x14ac:dyDescent="0.2">
      <c r="C199" s="121">
        <v>70835.461032210485</v>
      </c>
      <c r="D199" s="121">
        <v>16.844692119908906</v>
      </c>
      <c r="E199" s="121">
        <v>72374.766186338486</v>
      </c>
      <c r="F199" s="121">
        <v>16.717153771905476</v>
      </c>
      <c r="G199" s="121">
        <v>-1539.3051541280001</v>
      </c>
      <c r="H199" s="121">
        <v>0.12753834800343</v>
      </c>
      <c r="N199" s="121"/>
      <c r="O199" s="121"/>
      <c r="P199" s="121"/>
      <c r="R199">
        <v>311.33785642118983</v>
      </c>
      <c r="S199">
        <v>56.28065766415753</v>
      </c>
      <c r="T199">
        <v>265.0020275634576</v>
      </c>
      <c r="U199">
        <v>102.25547306637549</v>
      </c>
      <c r="X199">
        <v>0.81956501246724389</v>
      </c>
      <c r="Y199">
        <v>0.84882115135786429</v>
      </c>
      <c r="Z199">
        <v>0.95947286725507508</v>
      </c>
      <c r="AA199">
        <v>0.73003122098959128</v>
      </c>
      <c r="AB199">
        <v>0.70762865573690459</v>
      </c>
      <c r="AC199">
        <v>0.84749302151124728</v>
      </c>
      <c r="AD199">
        <v>0.93506294011389179</v>
      </c>
      <c r="AE199">
        <v>0.75493466089148342</v>
      </c>
      <c r="AH199">
        <v>6.8165023432911087E-2</v>
      </c>
      <c r="AI199">
        <v>0.30883747753050494</v>
      </c>
      <c r="AJ199">
        <v>6.356470011670301E-2</v>
      </c>
      <c r="AK199">
        <v>1.0767594318161544E-2</v>
      </c>
      <c r="AL199">
        <v>0.16933662776519343</v>
      </c>
      <c r="AM199">
        <v>4.2648655657122836E-2</v>
      </c>
      <c r="AN199">
        <v>0.1716642150301384</v>
      </c>
      <c r="AO199">
        <v>6.1797084470231134E-2</v>
      </c>
      <c r="AR199">
        <v>1.1232970508473494E-3</v>
      </c>
      <c r="AS199">
        <v>4.9855327094557866E-3</v>
      </c>
      <c r="AT199">
        <v>5.0203487325658491E-3</v>
      </c>
      <c r="AU199">
        <v>2.2064773643123425E-3</v>
      </c>
      <c r="AV199">
        <v>2.0015858575891388E-3</v>
      </c>
      <c r="AW199">
        <v>3.5301620026340075E-3</v>
      </c>
      <c r="AX199">
        <v>4.8815267572588361E-4</v>
      </c>
      <c r="AY199">
        <v>4.2494041524418551E-4</v>
      </c>
      <c r="BB199">
        <v>5.4780930896550117E-2</v>
      </c>
      <c r="BC199">
        <v>6.784615754322576E-2</v>
      </c>
      <c r="BE199">
        <v>70835.461032210485</v>
      </c>
      <c r="BF199">
        <v>16.844692119908906</v>
      </c>
      <c r="BG199">
        <v>72374.766186338486</v>
      </c>
      <c r="BH199">
        <v>16.717153771905476</v>
      </c>
      <c r="BI199">
        <v>-1539.3051541280001</v>
      </c>
      <c r="BJ199">
        <v>0.12753834800343</v>
      </c>
    </row>
    <row r="200" spans="3:62" x14ac:dyDescent="0.2">
      <c r="C200" s="121">
        <v>72430.399711073056</v>
      </c>
      <c r="D200" s="121">
        <v>15.869748096369898</v>
      </c>
      <c r="E200" s="121">
        <v>74177.848477810912</v>
      </c>
      <c r="F200" s="121">
        <v>15.726827592281259</v>
      </c>
      <c r="G200" s="121">
        <v>-1747.4487667378562</v>
      </c>
      <c r="H200" s="121">
        <v>0.14292050408863943</v>
      </c>
      <c r="N200" s="121"/>
      <c r="O200" s="121"/>
      <c r="P200" s="121"/>
      <c r="R200">
        <v>437.72336270145996</v>
      </c>
      <c r="S200">
        <v>67.58988630623648</v>
      </c>
      <c r="T200">
        <v>250.25276272720839</v>
      </c>
      <c r="U200">
        <v>96.957961048088848</v>
      </c>
      <c r="X200">
        <v>0.8156901058036885</v>
      </c>
      <c r="Y200">
        <v>0.55963679233345809</v>
      </c>
      <c r="Z200">
        <v>0.48595186402244178</v>
      </c>
      <c r="AA200">
        <v>0.87150500444233192</v>
      </c>
      <c r="AB200">
        <v>0.93868911255695342</v>
      </c>
      <c r="AC200">
        <v>0.5891790759694151</v>
      </c>
      <c r="AD200">
        <v>0.78398228184451024</v>
      </c>
      <c r="AE200">
        <v>0.63550705707139465</v>
      </c>
      <c r="AH200">
        <v>9.7432456863822736E-2</v>
      </c>
      <c r="AI200">
        <v>0.24237840849511316</v>
      </c>
      <c r="AJ200">
        <v>0.1926238957920422</v>
      </c>
      <c r="AK200">
        <v>0.18928384190939329</v>
      </c>
      <c r="AL200">
        <v>7.5640714568243395E-2</v>
      </c>
      <c r="AM200">
        <v>0.15786148294011781</v>
      </c>
      <c r="AN200">
        <v>0.11774361955922263</v>
      </c>
      <c r="AO200">
        <v>5.6806805730657661E-2</v>
      </c>
      <c r="AR200">
        <v>8.3202577832062335E-4</v>
      </c>
      <c r="AS200">
        <v>4.25961684486978E-3</v>
      </c>
      <c r="AT200">
        <v>4.7871569749931746E-3</v>
      </c>
      <c r="AU200">
        <v>1.7575312695168298E-3</v>
      </c>
      <c r="AV200">
        <v>1.8570610833673607E-3</v>
      </c>
      <c r="AW200">
        <v>3.2429519645221106E-3</v>
      </c>
      <c r="AX200">
        <v>3.5131310068431171E-4</v>
      </c>
      <c r="AY200">
        <v>3.3761062172353199E-4</v>
      </c>
      <c r="BB200">
        <v>5.3802039818234726E-2</v>
      </c>
      <c r="BC200">
        <v>2.9810357110702367E-2</v>
      </c>
      <c r="BE200">
        <v>72430.399711073056</v>
      </c>
      <c r="BF200">
        <v>15.869748096369898</v>
      </c>
      <c r="BG200">
        <v>74177.848477810912</v>
      </c>
      <c r="BH200">
        <v>15.726827592281259</v>
      </c>
      <c r="BI200">
        <v>-1747.4487667378562</v>
      </c>
      <c r="BJ200">
        <v>0.14292050408863943</v>
      </c>
    </row>
    <row r="201" spans="3:62" x14ac:dyDescent="0.2">
      <c r="C201" s="121">
        <v>71750.214639236845</v>
      </c>
      <c r="D201" s="121">
        <v>16.435550011100858</v>
      </c>
      <c r="E201" s="121">
        <v>72207.597604135284</v>
      </c>
      <c r="F201" s="121">
        <v>16.343227429104981</v>
      </c>
      <c r="G201" s="121">
        <v>-457.38296489843924</v>
      </c>
      <c r="H201" s="121">
        <v>9.2322581995876618E-2</v>
      </c>
      <c r="N201" s="121"/>
      <c r="O201" s="121"/>
      <c r="P201" s="121"/>
      <c r="R201">
        <v>334.18943504651457</v>
      </c>
      <c r="S201">
        <v>76.398076864934367</v>
      </c>
      <c r="T201">
        <v>253.86801909238849</v>
      </c>
      <c r="U201">
        <v>87.107132471174424</v>
      </c>
      <c r="X201">
        <v>0.79165348724265794</v>
      </c>
      <c r="Y201">
        <v>0.60636402271920142</v>
      </c>
      <c r="Z201">
        <v>0.55193399518862796</v>
      </c>
      <c r="AA201">
        <v>0.67854841285310108</v>
      </c>
      <c r="AB201">
        <v>0.80850360474481975</v>
      </c>
      <c r="AC201">
        <v>0.68476886008479232</v>
      </c>
      <c r="AD201">
        <v>0.89204170996576071</v>
      </c>
      <c r="AE201">
        <v>0.81987998043321109</v>
      </c>
      <c r="AH201">
        <v>9.7483265339602276E-2</v>
      </c>
      <c r="AI201">
        <v>9.3574951981516552E-2</v>
      </c>
      <c r="AJ201">
        <v>0.11183831155573132</v>
      </c>
      <c r="AK201">
        <v>9.6876888955425011E-2</v>
      </c>
      <c r="AL201">
        <v>8.086579323948706E-2</v>
      </c>
      <c r="AM201">
        <v>6.9715115663954941E-2</v>
      </c>
      <c r="AN201">
        <v>0.18617102559249332</v>
      </c>
      <c r="AO201">
        <v>0.10062590792948489</v>
      </c>
      <c r="AR201">
        <v>1.2924034226263759E-3</v>
      </c>
      <c r="AS201">
        <v>4.3251766269076369E-3</v>
      </c>
      <c r="AT201">
        <v>4.737325949789685E-3</v>
      </c>
      <c r="AU201">
        <v>2.263912529891221E-3</v>
      </c>
      <c r="AV201">
        <v>1.9539338351122382E-3</v>
      </c>
      <c r="AW201">
        <v>3.6468201668236055E-3</v>
      </c>
      <c r="AX201">
        <v>3.2240500097455578E-4</v>
      </c>
      <c r="AY201">
        <v>4.5873797684425899E-4</v>
      </c>
      <c r="BB201">
        <v>4.7083626649783474E-2</v>
      </c>
      <c r="BC201">
        <v>5.3630508706500546E-2</v>
      </c>
      <c r="BE201">
        <v>71750.214639236845</v>
      </c>
      <c r="BF201">
        <v>16.435550011100858</v>
      </c>
      <c r="BG201">
        <v>72207.597604135284</v>
      </c>
      <c r="BH201">
        <v>16.343227429104981</v>
      </c>
      <c r="BI201">
        <v>-457.38296489843924</v>
      </c>
      <c r="BJ201">
        <v>9.2322581995876618E-2</v>
      </c>
    </row>
    <row r="202" spans="3:62" x14ac:dyDescent="0.2">
      <c r="C202" s="121">
        <v>76206.338186256573</v>
      </c>
      <c r="D202" s="121">
        <v>13.862398414585151</v>
      </c>
      <c r="E202" s="121">
        <v>77399.80310108808</v>
      </c>
      <c r="F202" s="121">
        <v>13.753413321546859</v>
      </c>
      <c r="G202" s="121">
        <v>-1193.4649148315075</v>
      </c>
      <c r="H202" s="121">
        <v>0.10898509303829229</v>
      </c>
      <c r="N202" s="121"/>
      <c r="O202" s="121"/>
      <c r="P202" s="121"/>
      <c r="R202">
        <v>380.08546147972942</v>
      </c>
      <c r="S202">
        <v>66.171381616223172</v>
      </c>
      <c r="T202">
        <v>292.4795394857756</v>
      </c>
      <c r="U202">
        <v>101.09292208816453</v>
      </c>
      <c r="X202">
        <v>0.76122334608586917</v>
      </c>
      <c r="Y202">
        <v>0.63915926889478292</v>
      </c>
      <c r="Z202">
        <v>0.70386973564431876</v>
      </c>
      <c r="AA202">
        <v>0.78992748924781597</v>
      </c>
      <c r="AB202">
        <v>0.72136058316154816</v>
      </c>
      <c r="AC202">
        <v>0.63539893689062266</v>
      </c>
      <c r="AD202">
        <v>0.835168075027657</v>
      </c>
      <c r="AE202">
        <v>0.73934107781250114</v>
      </c>
      <c r="AH202">
        <v>0.21725526872318257</v>
      </c>
      <c r="AI202">
        <v>7.0334255006592183E-2</v>
      </c>
      <c r="AJ202">
        <v>9.0860660667781312E-2</v>
      </c>
      <c r="AK202">
        <v>0.22627832467680975</v>
      </c>
      <c r="AL202">
        <v>0.10085921055824554</v>
      </c>
      <c r="AM202">
        <v>7.6540060924355391E-2</v>
      </c>
      <c r="AN202">
        <v>0.21667522930742267</v>
      </c>
      <c r="AO202">
        <v>6.3619508892344023E-2</v>
      </c>
      <c r="AR202">
        <v>9.1266406783707676E-4</v>
      </c>
      <c r="AS202">
        <v>4.4701953284518965E-3</v>
      </c>
      <c r="AT202">
        <v>4.6515415383536294E-3</v>
      </c>
      <c r="AU202">
        <v>1.9879705918795314E-3</v>
      </c>
      <c r="AV202">
        <v>1.9451319714209217E-3</v>
      </c>
      <c r="AW202">
        <v>3.2827809537692995E-3</v>
      </c>
      <c r="AX202">
        <v>2.9132102776201256E-4</v>
      </c>
      <c r="AY202">
        <v>4.3699734965896503E-4</v>
      </c>
      <c r="BB202">
        <v>4.3462974480889996E-2</v>
      </c>
      <c r="BC202">
        <v>3.0241256107362509E-2</v>
      </c>
      <c r="BE202">
        <v>76206.338186256573</v>
      </c>
      <c r="BF202">
        <v>13.862398414585151</v>
      </c>
      <c r="BG202">
        <v>77399.80310108808</v>
      </c>
      <c r="BH202">
        <v>13.753413321546859</v>
      </c>
      <c r="BI202">
        <v>-1193.4649148315075</v>
      </c>
      <c r="BJ202">
        <v>0.10898509303829229</v>
      </c>
    </row>
    <row r="203" spans="3:62" x14ac:dyDescent="0.2">
      <c r="C203" s="121">
        <v>78952.931504532098</v>
      </c>
      <c r="D203" s="121">
        <v>15.774263129823034</v>
      </c>
      <c r="E203" s="121">
        <v>80798.757588794353</v>
      </c>
      <c r="F203" s="121">
        <v>15.651186565398513</v>
      </c>
      <c r="G203" s="121">
        <v>-1845.8260842622549</v>
      </c>
      <c r="H203" s="121">
        <v>0.12307656442452064</v>
      </c>
      <c r="N203" s="121"/>
      <c r="O203" s="121"/>
      <c r="P203" s="121"/>
      <c r="R203">
        <v>371.82555516812619</v>
      </c>
      <c r="S203">
        <v>75.787754153523551</v>
      </c>
      <c r="T203">
        <v>298.44522947023324</v>
      </c>
      <c r="U203">
        <v>98.338526924207684</v>
      </c>
      <c r="X203">
        <v>0.60169612206508394</v>
      </c>
      <c r="Y203">
        <v>0.77561831197760223</v>
      </c>
      <c r="Z203">
        <v>0.85258845048666765</v>
      </c>
      <c r="AA203">
        <v>0.90562737655983627</v>
      </c>
      <c r="AB203">
        <v>0.76682325922446148</v>
      </c>
      <c r="AC203">
        <v>0.77518915803488175</v>
      </c>
      <c r="AD203">
        <v>0.70954033283142159</v>
      </c>
      <c r="AE203">
        <v>0.50969044488089055</v>
      </c>
      <c r="AH203">
        <v>0.13464859951156194</v>
      </c>
      <c r="AI203">
        <v>0.18076575443245635</v>
      </c>
      <c r="AJ203">
        <v>0.37463460625343215</v>
      </c>
      <c r="AK203">
        <v>0.10320459504167889</v>
      </c>
      <c r="AL203">
        <v>0.37097661810290028</v>
      </c>
      <c r="AM203">
        <v>0.10663359773768466</v>
      </c>
      <c r="AN203">
        <v>7.2012412576951901E-2</v>
      </c>
      <c r="AO203">
        <v>1.0816738075664301E-2</v>
      </c>
      <c r="AR203">
        <v>8.9650866450796673E-4</v>
      </c>
      <c r="AS203">
        <v>4.5649452226180776E-3</v>
      </c>
      <c r="AT203">
        <v>5.1440184688441581E-3</v>
      </c>
      <c r="AU203">
        <v>2.0159855644754643E-3</v>
      </c>
      <c r="AV203">
        <v>2.1323919515219281E-3</v>
      </c>
      <c r="AW203">
        <v>3.4877869979100806E-3</v>
      </c>
      <c r="AX203">
        <v>4.4247628657956284E-4</v>
      </c>
      <c r="AY203">
        <v>3.8515275940294226E-4</v>
      </c>
      <c r="BB203">
        <v>5.9687849016034411E-2</v>
      </c>
      <c r="BC203">
        <v>4.8882304653194431E-2</v>
      </c>
      <c r="BE203">
        <v>78952.931504532098</v>
      </c>
      <c r="BF203">
        <v>15.774263129823034</v>
      </c>
      <c r="BG203">
        <v>80798.757588794353</v>
      </c>
      <c r="BH203">
        <v>15.651186565398513</v>
      </c>
      <c r="BI203">
        <v>-1845.8260842622549</v>
      </c>
      <c r="BJ203">
        <v>0.12307656442452064</v>
      </c>
    </row>
    <row r="204" spans="3:62" x14ac:dyDescent="0.2">
      <c r="C204" s="121">
        <v>74618.448571073211</v>
      </c>
      <c r="D204" s="121">
        <v>15.143563226896656</v>
      </c>
      <c r="E204" s="121">
        <v>76377.501674321131</v>
      </c>
      <c r="F204" s="121">
        <v>15.038833539779857</v>
      </c>
      <c r="G204" s="121">
        <v>-1759.0531032479194</v>
      </c>
      <c r="H204" s="121">
        <v>0.10472968711679975</v>
      </c>
      <c r="N204" s="121"/>
      <c r="O204" s="121"/>
      <c r="P204" s="121"/>
      <c r="R204">
        <v>127.30559297346571</v>
      </c>
      <c r="S204">
        <v>58.983529604383932</v>
      </c>
      <c r="T204">
        <v>213.87193212287619</v>
      </c>
      <c r="U204">
        <v>95.328066685589945</v>
      </c>
      <c r="X204">
        <v>0.51434678494158315</v>
      </c>
      <c r="Y204">
        <v>0.89764379365773228</v>
      </c>
      <c r="Z204">
        <v>0.58646471493487418</v>
      </c>
      <c r="AA204">
        <v>0.7648003117300991</v>
      </c>
      <c r="AB204">
        <v>0.85645498828231847</v>
      </c>
      <c r="AC204">
        <v>0.60248207198739334</v>
      </c>
      <c r="AD204">
        <v>0.67094290320787731</v>
      </c>
      <c r="AE204">
        <v>0.72143263708825323</v>
      </c>
      <c r="AH204">
        <v>0.16295984002314756</v>
      </c>
      <c r="AI204">
        <v>8.6976578000017124E-2</v>
      </c>
      <c r="AJ204">
        <v>0.20730585685576974</v>
      </c>
      <c r="AK204">
        <v>0.14681944359445509</v>
      </c>
      <c r="AL204">
        <v>1.7826584458923822E-2</v>
      </c>
      <c r="AM204">
        <v>2.7611412715508044E-2</v>
      </c>
      <c r="AN204">
        <v>8.0701519855857495E-2</v>
      </c>
      <c r="AO204">
        <v>0.14238816820973199</v>
      </c>
      <c r="AR204">
        <v>8.1655961052235415E-4</v>
      </c>
      <c r="AS204">
        <v>4.6724902931799539E-3</v>
      </c>
      <c r="AT204">
        <v>5.1085516408274634E-3</v>
      </c>
      <c r="AU204">
        <v>2.1010710597789695E-3</v>
      </c>
      <c r="AV204">
        <v>2.0496521704497228E-3</v>
      </c>
      <c r="AW204">
        <v>3.515968442151185E-3</v>
      </c>
      <c r="AX204">
        <v>3.8551500281987694E-4</v>
      </c>
      <c r="AY204">
        <v>4.2617995871435926E-4</v>
      </c>
      <c r="BB204">
        <v>4.8171123854317426E-2</v>
      </c>
      <c r="BC204">
        <v>5.7106862512664058E-2</v>
      </c>
      <c r="BE204">
        <v>74618.448571073211</v>
      </c>
      <c r="BF204">
        <v>15.143563226896656</v>
      </c>
      <c r="BG204">
        <v>76377.501674321131</v>
      </c>
      <c r="BH204">
        <v>15.038833539779857</v>
      </c>
      <c r="BI204">
        <v>-1759.0531032479194</v>
      </c>
      <c r="BJ204">
        <v>0.10472968711679975</v>
      </c>
    </row>
    <row r="205" spans="3:62" x14ac:dyDescent="0.2">
      <c r="C205" s="121">
        <v>74315.95077366523</v>
      </c>
      <c r="D205" s="121">
        <v>17.074591102369755</v>
      </c>
      <c r="E205" s="121">
        <v>76072.474655106125</v>
      </c>
      <c r="F205" s="121">
        <v>16.960067583542624</v>
      </c>
      <c r="G205" s="121">
        <v>-1756.5238814408949</v>
      </c>
      <c r="H205" s="121">
        <v>0.11452351882713074</v>
      </c>
      <c r="N205" s="121"/>
      <c r="O205" s="121"/>
      <c r="P205" s="121"/>
      <c r="R205">
        <v>207.52888558027885</v>
      </c>
      <c r="S205">
        <v>61.777231624251648</v>
      </c>
      <c r="T205">
        <v>242.10804589366398</v>
      </c>
      <c r="U205">
        <v>88.319902555084141</v>
      </c>
      <c r="X205">
        <v>0.88970376531661044</v>
      </c>
      <c r="Y205">
        <v>0.42745472254375072</v>
      </c>
      <c r="Z205">
        <v>0.74891669886471768</v>
      </c>
      <c r="AA205">
        <v>0.55248851683084421</v>
      </c>
      <c r="AB205">
        <v>0.83508975989067213</v>
      </c>
      <c r="AC205">
        <v>0.51893112974896116</v>
      </c>
      <c r="AD205">
        <v>0.64841643543965755</v>
      </c>
      <c r="AE205">
        <v>0.77431719075404315</v>
      </c>
      <c r="AH205">
        <v>6.7251521684452698E-2</v>
      </c>
      <c r="AI205">
        <v>0.1334480464910881</v>
      </c>
      <c r="AJ205">
        <v>0.18496525512069273</v>
      </c>
      <c r="AK205">
        <v>0.12229937758084108</v>
      </c>
      <c r="AL205">
        <v>0.15904038471775261</v>
      </c>
      <c r="AM205">
        <v>3.5185913298107829E-2</v>
      </c>
      <c r="AN205">
        <v>0.20770956159493603</v>
      </c>
      <c r="AO205">
        <v>7.1165083572050536E-2</v>
      </c>
      <c r="AR205">
        <v>9.4944895505710836E-4</v>
      </c>
      <c r="AS205">
        <v>4.326906761916844E-3</v>
      </c>
      <c r="AT205">
        <v>4.9722777235738924E-3</v>
      </c>
      <c r="AU205">
        <v>1.859881050476994E-3</v>
      </c>
      <c r="AV205">
        <v>2.0601113256952797E-3</v>
      </c>
      <c r="AW205">
        <v>3.4274077270054493E-3</v>
      </c>
      <c r="AX205">
        <v>3.9141843305025309E-4</v>
      </c>
      <c r="AY205">
        <v>5.5621758995050286E-4</v>
      </c>
      <c r="BB205">
        <v>5.7611171895325719E-2</v>
      </c>
      <c r="BC205">
        <v>2.5151934962207006E-2</v>
      </c>
      <c r="BE205">
        <v>74315.95077366523</v>
      </c>
      <c r="BF205">
        <v>17.074591102369755</v>
      </c>
      <c r="BG205">
        <v>76072.474655106125</v>
      </c>
      <c r="BH205">
        <v>16.960067583542624</v>
      </c>
      <c r="BI205">
        <v>-1756.5238814408949</v>
      </c>
      <c r="BJ205">
        <v>0.11452351882713074</v>
      </c>
    </row>
    <row r="206" spans="3:62" x14ac:dyDescent="0.2">
      <c r="C206" s="121">
        <v>62801.013610991213</v>
      </c>
      <c r="D206" s="121">
        <v>17.298492704728179</v>
      </c>
      <c r="E206" s="121">
        <v>64170.464796186876</v>
      </c>
      <c r="F206" s="121">
        <v>17.193883211265501</v>
      </c>
      <c r="G206" s="121">
        <v>-1369.4511851956631</v>
      </c>
      <c r="H206" s="121">
        <v>0.10460949346267867</v>
      </c>
      <c r="N206" s="121"/>
      <c r="O206" s="121"/>
      <c r="P206" s="121"/>
      <c r="R206">
        <v>383.64178642998547</v>
      </c>
      <c r="S206">
        <v>53.597496115790321</v>
      </c>
      <c r="T206">
        <v>202.05416305192708</v>
      </c>
      <c r="U206">
        <v>98.916931820591117</v>
      </c>
      <c r="X206">
        <v>0.91189359698834405</v>
      </c>
      <c r="Y206">
        <v>0.75973551597601141</v>
      </c>
      <c r="Z206">
        <v>0.63074244809626256</v>
      </c>
      <c r="AA206">
        <v>0.83851780556093236</v>
      </c>
      <c r="AB206">
        <v>0.63601364987967113</v>
      </c>
      <c r="AC206">
        <v>0.73938960202481052</v>
      </c>
      <c r="AD206">
        <v>0.74444290166797278</v>
      </c>
      <c r="AE206">
        <v>0.59423879004481528</v>
      </c>
      <c r="AH206">
        <v>0.26609569592823556</v>
      </c>
      <c r="AI206">
        <v>0.15787664597404205</v>
      </c>
      <c r="AJ206">
        <v>0.1225373894589844</v>
      </c>
      <c r="AK206">
        <v>0.23736123537953058</v>
      </c>
      <c r="AL206">
        <v>0.13777999638527694</v>
      </c>
      <c r="AM206">
        <v>0.14066615011807038</v>
      </c>
      <c r="AN206">
        <v>0.11718439745394427</v>
      </c>
      <c r="AO206">
        <v>0.11849189984370412</v>
      </c>
      <c r="AR206">
        <v>8.6727445727522617E-4</v>
      </c>
      <c r="AS206">
        <v>4.4025496535901624E-3</v>
      </c>
      <c r="AT206">
        <v>4.9323790908777183E-3</v>
      </c>
      <c r="AU206">
        <v>2.184696561375099E-3</v>
      </c>
      <c r="AV206">
        <v>1.8844899191485648E-3</v>
      </c>
      <c r="AW206">
        <v>3.2791578424204233E-3</v>
      </c>
      <c r="AX206">
        <v>2.7722811693551392E-4</v>
      </c>
      <c r="AY206">
        <v>5.1710104821578451E-4</v>
      </c>
      <c r="BB206">
        <v>4.6539474563013515E-2</v>
      </c>
      <c r="BC206">
        <v>3.5016537849657761E-2</v>
      </c>
      <c r="BE206">
        <v>62801.013610991213</v>
      </c>
      <c r="BF206">
        <v>17.298492704728179</v>
      </c>
      <c r="BG206">
        <v>64170.464796186876</v>
      </c>
      <c r="BH206">
        <v>17.193883211265501</v>
      </c>
      <c r="BI206">
        <v>-1369.4511851956631</v>
      </c>
      <c r="BJ206">
        <v>0.10460949346267867</v>
      </c>
    </row>
    <row r="207" spans="3:62" x14ac:dyDescent="0.2">
      <c r="C207" s="121">
        <v>73433.079764216425</v>
      </c>
      <c r="D207" s="121">
        <v>15.997083948541457</v>
      </c>
      <c r="E207" s="121">
        <v>75813.372946050091</v>
      </c>
      <c r="F207" s="121">
        <v>15.869808981941812</v>
      </c>
      <c r="G207" s="121">
        <v>-2380.2931818336656</v>
      </c>
      <c r="H207" s="121">
        <v>0.12727496659964466</v>
      </c>
      <c r="N207" s="121"/>
      <c r="O207" s="121"/>
      <c r="P207" s="121"/>
      <c r="R207">
        <v>53.374490084249373</v>
      </c>
      <c r="S207">
        <v>70.382494602783595</v>
      </c>
      <c r="T207">
        <v>240.86145101796691</v>
      </c>
      <c r="U207">
        <v>103.79560625801278</v>
      </c>
      <c r="X207">
        <v>0.67177070584634158</v>
      </c>
      <c r="Y207">
        <v>0.82137774042585376</v>
      </c>
      <c r="Z207">
        <v>0.79414172265497829</v>
      </c>
      <c r="AA207">
        <v>0.5347173084544361</v>
      </c>
      <c r="AB207">
        <v>0.72727231492613809</v>
      </c>
      <c r="AC207">
        <v>0.84001424071122988</v>
      </c>
      <c r="AD207">
        <v>0.49889994554021522</v>
      </c>
      <c r="AE207">
        <v>0.84314641688028724</v>
      </c>
      <c r="AH207">
        <v>5.0111462214278091E-2</v>
      </c>
      <c r="AI207">
        <v>6.1027633089047462E-2</v>
      </c>
      <c r="AJ207">
        <v>7.8366696741029473E-2</v>
      </c>
      <c r="AK207">
        <v>2.245897783420614E-2</v>
      </c>
      <c r="AL207">
        <v>0.17059112294240919</v>
      </c>
      <c r="AM207">
        <v>4.062593669678316E-2</v>
      </c>
      <c r="AN207">
        <v>0.16396540013637151</v>
      </c>
      <c r="AO207">
        <v>0.22160466759560682</v>
      </c>
      <c r="AR207">
        <v>1.0139103026112206E-3</v>
      </c>
      <c r="AS207">
        <v>4.349782537301527E-3</v>
      </c>
      <c r="AT207">
        <v>4.9996566235068762E-3</v>
      </c>
      <c r="AU207">
        <v>2.1214717806876671E-3</v>
      </c>
      <c r="AV207">
        <v>2.0918968542632532E-3</v>
      </c>
      <c r="AW207">
        <v>3.4273910025460763E-3</v>
      </c>
      <c r="AX207">
        <v>3.9752267168036148E-4</v>
      </c>
      <c r="AY207">
        <v>4.9124824393831368E-4</v>
      </c>
      <c r="BB207">
        <v>5.3787260332889608E-2</v>
      </c>
      <c r="BC207">
        <v>2.116888053273748E-2</v>
      </c>
      <c r="BE207">
        <v>73433.079764216425</v>
      </c>
      <c r="BF207">
        <v>15.997083948541457</v>
      </c>
      <c r="BG207">
        <v>75813.372946050091</v>
      </c>
      <c r="BH207">
        <v>15.869808981941812</v>
      </c>
      <c r="BI207">
        <v>-2380.2931818336656</v>
      </c>
      <c r="BJ207">
        <v>0.12727496659964466</v>
      </c>
    </row>
    <row r="208" spans="3:62" x14ac:dyDescent="0.2">
      <c r="C208" s="121">
        <v>64399.360995719646</v>
      </c>
      <c r="D208" s="121">
        <v>17.450442970553656</v>
      </c>
      <c r="E208" s="121">
        <v>66364.145612496373</v>
      </c>
      <c r="F208" s="121">
        <v>17.331816423499923</v>
      </c>
      <c r="G208" s="121">
        <v>-1964.7846167767275</v>
      </c>
      <c r="H208" s="121">
        <v>0.11862654705373288</v>
      </c>
      <c r="N208" s="121"/>
      <c r="O208" s="121"/>
      <c r="P208" s="121"/>
      <c r="R208">
        <v>179.08813806759639</v>
      </c>
      <c r="S208">
        <v>60.092401093330608</v>
      </c>
      <c r="T208">
        <v>252.05424064361526</v>
      </c>
      <c r="U208">
        <v>86.592161804944752</v>
      </c>
      <c r="X208">
        <v>0.85010539503863169</v>
      </c>
      <c r="Y208">
        <v>0.76557452797969816</v>
      </c>
      <c r="Z208">
        <v>0.92699134509951475</v>
      </c>
      <c r="AA208">
        <v>0.88300539857678828</v>
      </c>
      <c r="AB208">
        <v>0.76449820981628636</v>
      </c>
      <c r="AC208">
        <v>0.76257942243738541</v>
      </c>
      <c r="AD208">
        <v>0.77488598809519871</v>
      </c>
      <c r="AE208">
        <v>0.79107997915499539</v>
      </c>
      <c r="AH208">
        <v>0.1260638399929771</v>
      </c>
      <c r="AI208">
        <v>8.7320145359639501E-3</v>
      </c>
      <c r="AJ208">
        <v>0.16428056330316687</v>
      </c>
      <c r="AK208">
        <v>8.2097466399560171E-2</v>
      </c>
      <c r="AL208">
        <v>0.11922019964287833</v>
      </c>
      <c r="AM208">
        <v>8.6173296328020399E-2</v>
      </c>
      <c r="AN208">
        <v>0.17397343779508145</v>
      </c>
      <c r="AO208">
        <v>0.15368047469356727</v>
      </c>
      <c r="AR208">
        <v>8.9491070123559613E-4</v>
      </c>
      <c r="AS208">
        <v>4.4024463639004835E-3</v>
      </c>
      <c r="AT208">
        <v>4.8615254103615375E-3</v>
      </c>
      <c r="AU208">
        <v>1.8788921755914342E-3</v>
      </c>
      <c r="AV208">
        <v>1.9686252401841108E-3</v>
      </c>
      <c r="AW208">
        <v>3.6923740953653805E-3</v>
      </c>
      <c r="AX208">
        <v>4.8307318899343255E-4</v>
      </c>
      <c r="AY208">
        <v>4.5852486010167226E-4</v>
      </c>
      <c r="BB208">
        <v>4.4712377829471552E-2</v>
      </c>
      <c r="BC208">
        <v>6.6187853870709579E-2</v>
      </c>
      <c r="BE208">
        <v>64399.360995719646</v>
      </c>
      <c r="BF208">
        <v>17.450442970553656</v>
      </c>
      <c r="BG208">
        <v>66364.145612496373</v>
      </c>
      <c r="BH208">
        <v>17.331816423499923</v>
      </c>
      <c r="BI208">
        <v>-1964.7846167767275</v>
      </c>
      <c r="BJ208">
        <v>0.11862654705373288</v>
      </c>
    </row>
    <row r="209" spans="3:62" x14ac:dyDescent="0.2">
      <c r="C209" s="121">
        <v>79807.889229840424</v>
      </c>
      <c r="D209" s="121">
        <v>15.416725640207542</v>
      </c>
      <c r="E209" s="121">
        <v>81508.730601000323</v>
      </c>
      <c r="F209" s="121">
        <v>15.268638359137265</v>
      </c>
      <c r="G209" s="121">
        <v>-1700.8413711598987</v>
      </c>
      <c r="H209" s="121">
        <v>0.14808728107027669</v>
      </c>
      <c r="N209" s="121"/>
      <c r="O209" s="121"/>
      <c r="P209" s="121"/>
      <c r="R209">
        <v>381.09571776655037</v>
      </c>
      <c r="S209">
        <v>59.342375562577864</v>
      </c>
      <c r="T209">
        <v>268.7405486398618</v>
      </c>
      <c r="U209">
        <v>104.23944633555605</v>
      </c>
      <c r="X209">
        <v>0.52970860197920533</v>
      </c>
      <c r="Y209">
        <v>0.82026330266536007</v>
      </c>
      <c r="Z209">
        <v>0.85899993316651713</v>
      </c>
      <c r="AA209">
        <v>0.66496195789362766</v>
      </c>
      <c r="AB209">
        <v>0.79359738512918598</v>
      </c>
      <c r="AC209">
        <v>0.80499324830872687</v>
      </c>
      <c r="AD209">
        <v>0.62893464967477331</v>
      </c>
      <c r="AE209">
        <v>0.54672072210786782</v>
      </c>
      <c r="AH209">
        <v>8.2665582445452523E-2</v>
      </c>
      <c r="AI209">
        <v>0.16156207284348401</v>
      </c>
      <c r="AJ209">
        <v>6.6623257893250298E-2</v>
      </c>
      <c r="AK209">
        <v>0.16676956887372396</v>
      </c>
      <c r="AL209">
        <v>0.1185556393193522</v>
      </c>
      <c r="AM209">
        <v>9.498151685417966E-2</v>
      </c>
      <c r="AN209">
        <v>0.13076280823002639</v>
      </c>
      <c r="AO209">
        <v>6.4230606984247096E-2</v>
      </c>
      <c r="AR209">
        <v>8.5893065585036213E-4</v>
      </c>
      <c r="AS209">
        <v>4.5761016920191633E-3</v>
      </c>
      <c r="AT209">
        <v>5.2272271009063953E-3</v>
      </c>
      <c r="AU209">
        <v>2.0993844997161393E-3</v>
      </c>
      <c r="AV209">
        <v>2.2147444951793327E-3</v>
      </c>
      <c r="AW209">
        <v>3.7236778252843772E-3</v>
      </c>
      <c r="AX209">
        <v>3.3447738516983598E-4</v>
      </c>
      <c r="AY209">
        <v>3.7538613106020811E-4</v>
      </c>
      <c r="BB209">
        <v>5.4346770818187728E-2</v>
      </c>
      <c r="BC209">
        <v>4.6011718195251912E-2</v>
      </c>
      <c r="BE209">
        <v>79807.889229840424</v>
      </c>
      <c r="BF209">
        <v>15.416725640207542</v>
      </c>
      <c r="BG209">
        <v>81508.730601000323</v>
      </c>
      <c r="BH209">
        <v>15.268638359137265</v>
      </c>
      <c r="BI209">
        <v>-1700.8413711598987</v>
      </c>
      <c r="BJ209">
        <v>0.14808728107027669</v>
      </c>
    </row>
    <row r="210" spans="3:62" x14ac:dyDescent="0.2">
      <c r="C210" s="121">
        <v>75720.879113289164</v>
      </c>
      <c r="D210" s="121">
        <v>16.969096225241298</v>
      </c>
      <c r="E210" s="121">
        <v>76531.955597213266</v>
      </c>
      <c r="F210" s="121">
        <v>16.886282160261608</v>
      </c>
      <c r="G210" s="121">
        <v>-811.07648392410192</v>
      </c>
      <c r="H210" s="121">
        <v>8.2814064979690016E-2</v>
      </c>
      <c r="N210" s="121"/>
      <c r="O210" s="121"/>
      <c r="P210" s="121"/>
      <c r="R210">
        <v>218.09541888239414</v>
      </c>
      <c r="S210">
        <v>79.896198663848551</v>
      </c>
      <c r="T210">
        <v>275.03689936950491</v>
      </c>
      <c r="U210">
        <v>109.33334921289764</v>
      </c>
      <c r="X210">
        <v>0.83093156696620019</v>
      </c>
      <c r="Y210">
        <v>0.76190389480455134</v>
      </c>
      <c r="Z210">
        <v>0.753479533969031</v>
      </c>
      <c r="AA210">
        <v>0.88004031203289723</v>
      </c>
      <c r="AB210">
        <v>0.77352682423801356</v>
      </c>
      <c r="AC210">
        <v>0.88382289470869413</v>
      </c>
      <c r="AD210">
        <v>0.92947621880860498</v>
      </c>
      <c r="AE210">
        <v>0.80325459777337738</v>
      </c>
      <c r="AH210">
        <v>0.19952408705017055</v>
      </c>
      <c r="AI210">
        <v>0.16807484569245079</v>
      </c>
      <c r="AJ210">
        <v>7.0336492823261931E-3</v>
      </c>
      <c r="AK210">
        <v>0.26749124099278432</v>
      </c>
      <c r="AL210">
        <v>0.12984383076753603</v>
      </c>
      <c r="AM210">
        <v>0.12910997754566755</v>
      </c>
      <c r="AN210">
        <v>1.7261025148263998E-2</v>
      </c>
      <c r="AO210">
        <v>0.33807809759942431</v>
      </c>
      <c r="AR210">
        <v>9.1283443669376574E-4</v>
      </c>
      <c r="AS210">
        <v>4.365589692045627E-3</v>
      </c>
      <c r="AT210">
        <v>4.7171366474687507E-3</v>
      </c>
      <c r="AU210">
        <v>2.0379522388036531E-3</v>
      </c>
      <c r="AV210">
        <v>1.7303729966031895E-3</v>
      </c>
      <c r="AW210">
        <v>3.3558664033608754E-3</v>
      </c>
      <c r="AX210">
        <v>3.9359732574106355E-4</v>
      </c>
      <c r="AY210">
        <v>4.3681998008166434E-4</v>
      </c>
      <c r="BB210">
        <v>4.4803299273382849E-2</v>
      </c>
      <c r="BC210">
        <v>1.7615744591568016E-2</v>
      </c>
      <c r="BE210">
        <v>75720.879113289164</v>
      </c>
      <c r="BF210">
        <v>16.969096225241298</v>
      </c>
      <c r="BG210">
        <v>76531.955597213266</v>
      </c>
      <c r="BH210">
        <v>16.886282160261608</v>
      </c>
      <c r="BI210">
        <v>-811.07648392410192</v>
      </c>
      <c r="BJ210">
        <v>8.2814064979690016E-2</v>
      </c>
    </row>
    <row r="211" spans="3:62" x14ac:dyDescent="0.2">
      <c r="C211" s="121">
        <v>64414.871356935713</v>
      </c>
      <c r="D211" s="121">
        <v>18.106309940348535</v>
      </c>
      <c r="E211" s="121">
        <v>66268.710087531697</v>
      </c>
      <c r="F211" s="121">
        <v>18.004946591237594</v>
      </c>
      <c r="G211" s="121">
        <v>-1853.8387305959841</v>
      </c>
      <c r="H211" s="121">
        <v>0.10136334911094025</v>
      </c>
      <c r="N211" s="121"/>
      <c r="O211" s="121"/>
      <c r="P211" s="121"/>
      <c r="R211">
        <v>292.41332902838946</v>
      </c>
      <c r="S211">
        <v>70.252596495143422</v>
      </c>
      <c r="T211">
        <v>257.93793168519585</v>
      </c>
      <c r="U211">
        <v>97.717148131853577</v>
      </c>
      <c r="X211">
        <v>0.64192234331690667</v>
      </c>
      <c r="Y211">
        <v>0.64999805694023716</v>
      </c>
      <c r="Z211">
        <v>0.93855687306194513</v>
      </c>
      <c r="AA211">
        <v>0.87101361860908366</v>
      </c>
      <c r="AB211">
        <v>0.88844419554292764</v>
      </c>
      <c r="AC211">
        <v>0.803864529929459</v>
      </c>
      <c r="AD211">
        <v>0.76722790188232559</v>
      </c>
      <c r="AE211">
        <v>0.65519013667855652</v>
      </c>
      <c r="AH211">
        <v>0.11868631483822167</v>
      </c>
      <c r="AI211">
        <v>3.2434194463095589E-2</v>
      </c>
      <c r="AJ211">
        <v>2.4769187976931617E-2</v>
      </c>
      <c r="AK211">
        <v>0.22573447030862082</v>
      </c>
      <c r="AL211">
        <v>0.17571403039460309</v>
      </c>
      <c r="AM211">
        <v>6.3215856100097723E-2</v>
      </c>
      <c r="AN211">
        <v>0.2766698528966659</v>
      </c>
      <c r="AO211">
        <v>0.14116398804254315</v>
      </c>
      <c r="AR211">
        <v>8.7200407663977114E-4</v>
      </c>
      <c r="AS211">
        <v>4.7181417681130267E-3</v>
      </c>
      <c r="AT211">
        <v>4.9322571786356009E-3</v>
      </c>
      <c r="AU211">
        <v>1.9968338685476539E-3</v>
      </c>
      <c r="AV211">
        <v>1.9704426109896072E-3</v>
      </c>
      <c r="AW211">
        <v>3.2516246791634154E-3</v>
      </c>
      <c r="AX211">
        <v>4.4040306288273268E-4</v>
      </c>
      <c r="AY211">
        <v>4.474741682207739E-4</v>
      </c>
      <c r="BB211">
        <v>6.0325543760284095E-2</v>
      </c>
      <c r="BC211">
        <v>3.6056504656388197E-2</v>
      </c>
      <c r="BE211">
        <v>64414.871356935713</v>
      </c>
      <c r="BF211">
        <v>18.106309940348535</v>
      </c>
      <c r="BG211">
        <v>66268.710087531697</v>
      </c>
      <c r="BH211">
        <v>18.004946591237594</v>
      </c>
      <c r="BI211">
        <v>-1853.8387305959841</v>
      </c>
      <c r="BJ211">
        <v>0.10136334911094025</v>
      </c>
    </row>
    <row r="212" spans="3:62" x14ac:dyDescent="0.2">
      <c r="C212" s="121">
        <v>74066.032340900492</v>
      </c>
      <c r="D212" s="121">
        <v>16.235699317196364</v>
      </c>
      <c r="E212" s="121">
        <v>76052.234861208213</v>
      </c>
      <c r="F212" s="121">
        <v>16.078844015458213</v>
      </c>
      <c r="G212" s="121">
        <v>-1986.202520307721</v>
      </c>
      <c r="H212" s="121">
        <v>0.1568553017381511</v>
      </c>
      <c r="N212" s="121"/>
      <c r="O212" s="121"/>
      <c r="P212" s="121"/>
      <c r="R212">
        <v>211.56343557172505</v>
      </c>
      <c r="S212">
        <v>59.408181444261977</v>
      </c>
      <c r="T212">
        <v>251.13737809481586</v>
      </c>
      <c r="U212">
        <v>94.767532761826885</v>
      </c>
      <c r="X212">
        <v>0.80154615116079786</v>
      </c>
      <c r="Y212">
        <v>0.78068629633066078</v>
      </c>
      <c r="Z212">
        <v>0.80010415264325663</v>
      </c>
      <c r="AA212">
        <v>0.52652919679892241</v>
      </c>
      <c r="AB212">
        <v>0.88615853921789234</v>
      </c>
      <c r="AC212">
        <v>0.6575294160015912</v>
      </c>
      <c r="AD212">
        <v>0.93991597539013028</v>
      </c>
      <c r="AE212">
        <v>0.70675179515366648</v>
      </c>
      <c r="AH212">
        <v>3.1506781932868155E-2</v>
      </c>
      <c r="AI212">
        <v>1.0377688965087506E-3</v>
      </c>
      <c r="AJ212">
        <v>3.2408141891995257E-2</v>
      </c>
      <c r="AK212">
        <v>6.1437063765043876E-2</v>
      </c>
      <c r="AL212">
        <v>7.9022554382925159E-2</v>
      </c>
      <c r="AM212">
        <v>3.457215066719721E-2</v>
      </c>
      <c r="AN212">
        <v>6.9676499014466597E-2</v>
      </c>
      <c r="AO212">
        <v>0.20106338104876209</v>
      </c>
      <c r="AR212">
        <v>9.2697020218779347E-4</v>
      </c>
      <c r="AS212">
        <v>4.6986652579478205E-3</v>
      </c>
      <c r="AT212">
        <v>4.6128134229515734E-3</v>
      </c>
      <c r="AU212">
        <v>2.1062463110589347E-3</v>
      </c>
      <c r="AV212">
        <v>1.9666833054670803E-3</v>
      </c>
      <c r="AW212">
        <v>3.7708806674521256E-3</v>
      </c>
      <c r="AX212">
        <v>3.6835956158914537E-4</v>
      </c>
      <c r="AY212">
        <v>4.5902277033260663E-4</v>
      </c>
      <c r="BB212">
        <v>5.3261937010960492E-2</v>
      </c>
      <c r="BC212">
        <v>2.118809123003253E-2</v>
      </c>
      <c r="BE212">
        <v>74066.032340900492</v>
      </c>
      <c r="BF212">
        <v>16.235699317196364</v>
      </c>
      <c r="BG212">
        <v>76052.234861208213</v>
      </c>
      <c r="BH212">
        <v>16.078844015458213</v>
      </c>
      <c r="BI212">
        <v>-1986.202520307721</v>
      </c>
      <c r="BJ212">
        <v>0.1568553017381511</v>
      </c>
    </row>
    <row r="213" spans="3:62" x14ac:dyDescent="0.2">
      <c r="C213" s="121">
        <v>73863.07256557417</v>
      </c>
      <c r="D213" s="121">
        <v>17.156367636727438</v>
      </c>
      <c r="E213" s="121">
        <v>75662.322456577356</v>
      </c>
      <c r="F213" s="121">
        <v>17.041269441757247</v>
      </c>
      <c r="G213" s="121">
        <v>-1799.2498910031863</v>
      </c>
      <c r="H213" s="121">
        <v>0.1150981949701908</v>
      </c>
      <c r="N213" s="121"/>
      <c r="O213" s="121"/>
      <c r="P213" s="121"/>
      <c r="R213">
        <v>226.96273226786403</v>
      </c>
      <c r="S213">
        <v>68.892827664844887</v>
      </c>
      <c r="T213">
        <v>280.81213910506381</v>
      </c>
      <c r="U213">
        <v>108.75190442820376</v>
      </c>
      <c r="X213">
        <v>0.60272375312587179</v>
      </c>
      <c r="Y213">
        <v>0.64171538148619356</v>
      </c>
      <c r="Z213">
        <v>0.81654675044468428</v>
      </c>
      <c r="AA213">
        <v>0.76216328635777497</v>
      </c>
      <c r="AB213">
        <v>0.66990217998087631</v>
      </c>
      <c r="AC213">
        <v>0.66486749476813134</v>
      </c>
      <c r="AD213">
        <v>0.43431485740669751</v>
      </c>
      <c r="AE213">
        <v>0.8926373174287523</v>
      </c>
      <c r="AH213">
        <v>7.7524391360257128E-2</v>
      </c>
      <c r="AI213">
        <v>0.19824551208165775</v>
      </c>
      <c r="AJ213">
        <v>0.34629132730398116</v>
      </c>
      <c r="AK213">
        <v>0.21957882612154878</v>
      </c>
      <c r="AL213">
        <v>0.34726880316454434</v>
      </c>
      <c r="AM213">
        <v>0.35402261287554981</v>
      </c>
      <c r="AN213">
        <v>7.8563964019219057E-2</v>
      </c>
      <c r="AO213">
        <v>0.18042100122847304</v>
      </c>
      <c r="AR213">
        <v>1.0239353285078634E-3</v>
      </c>
      <c r="AS213">
        <v>4.6360884050471451E-3</v>
      </c>
      <c r="AT213">
        <v>4.6056387820584107E-3</v>
      </c>
      <c r="AU213">
        <v>2.083533370510926E-3</v>
      </c>
      <c r="AV213">
        <v>1.9775420040451415E-3</v>
      </c>
      <c r="AW213">
        <v>3.3968251992121941E-3</v>
      </c>
      <c r="AX213">
        <v>4.2763973686155143E-4</v>
      </c>
      <c r="AY213">
        <v>4.5890135018678002E-4</v>
      </c>
      <c r="BB213">
        <v>5.3903929251220117E-2</v>
      </c>
      <c r="BC213">
        <v>9.2444932321923856E-2</v>
      </c>
      <c r="BE213">
        <v>73863.07256557417</v>
      </c>
      <c r="BF213">
        <v>17.156367636727438</v>
      </c>
      <c r="BG213">
        <v>75662.322456577356</v>
      </c>
      <c r="BH213">
        <v>17.041269441757247</v>
      </c>
      <c r="BI213">
        <v>-1799.2498910031863</v>
      </c>
      <c r="BJ213">
        <v>0.1150981949701908</v>
      </c>
    </row>
    <row r="214" spans="3:62" x14ac:dyDescent="0.2">
      <c r="C214" s="121">
        <v>69237.574813396161</v>
      </c>
      <c r="D214" s="121">
        <v>17.126022966357016</v>
      </c>
      <c r="E214" s="121">
        <v>71197.266726866204</v>
      </c>
      <c r="F214" s="121">
        <v>17.048736787034297</v>
      </c>
      <c r="G214" s="121">
        <v>-1959.6919134700438</v>
      </c>
      <c r="H214" s="121">
        <v>7.7286179322719306E-2</v>
      </c>
      <c r="N214" s="121"/>
      <c r="O214" s="121"/>
      <c r="P214" s="121"/>
      <c r="R214">
        <v>243.79529828836507</v>
      </c>
      <c r="S214">
        <v>49.553665915257596</v>
      </c>
      <c r="T214">
        <v>228.23463439189206</v>
      </c>
      <c r="U214">
        <v>65.711663551514363</v>
      </c>
      <c r="X214">
        <v>0.88256739334024292</v>
      </c>
      <c r="Y214">
        <v>0.87821905353105545</v>
      </c>
      <c r="Z214">
        <v>0.73926673961752865</v>
      </c>
      <c r="AA214">
        <v>0.66035214827443312</v>
      </c>
      <c r="AB214">
        <v>0.7390154754083661</v>
      </c>
      <c r="AC214">
        <v>0.82503846728637598</v>
      </c>
      <c r="AD214">
        <v>0.80085297286769752</v>
      </c>
      <c r="AE214">
        <v>0.76729434279885456</v>
      </c>
      <c r="AH214">
        <v>4.2042103572105027E-2</v>
      </c>
      <c r="AI214">
        <v>0.20872638761981299</v>
      </c>
      <c r="AJ214">
        <v>0.12176435592267087</v>
      </c>
      <c r="AK214">
        <v>0.20096264686065557</v>
      </c>
      <c r="AL214">
        <v>0.12073141104871599</v>
      </c>
      <c r="AM214">
        <v>7.3785179469340823E-2</v>
      </c>
      <c r="AN214">
        <v>0.32305986410947729</v>
      </c>
      <c r="AO214">
        <v>7.2092649529386099E-2</v>
      </c>
      <c r="AR214">
        <v>7.219515088073801E-4</v>
      </c>
      <c r="AS214">
        <v>4.3406729014461064E-3</v>
      </c>
      <c r="AT214">
        <v>4.9103112828839278E-3</v>
      </c>
      <c r="AU214">
        <v>1.8995740061733117E-3</v>
      </c>
      <c r="AV214">
        <v>1.6491316888283059E-3</v>
      </c>
      <c r="AW214">
        <v>3.438231012344084E-3</v>
      </c>
      <c r="AX214">
        <v>5.0488636647894047E-4</v>
      </c>
      <c r="AY214">
        <v>4.1009019601870794E-4</v>
      </c>
      <c r="BB214">
        <v>5.8067798020151717E-2</v>
      </c>
      <c r="BC214">
        <v>3.6659747048164944E-2</v>
      </c>
      <c r="BE214">
        <v>69237.574813396161</v>
      </c>
      <c r="BF214">
        <v>17.126022966357016</v>
      </c>
      <c r="BG214">
        <v>71197.266726866204</v>
      </c>
      <c r="BH214">
        <v>17.048736787034297</v>
      </c>
      <c r="BI214">
        <v>-1959.6919134700438</v>
      </c>
      <c r="BJ214">
        <v>7.7286179322719306E-2</v>
      </c>
    </row>
    <row r="215" spans="3:62" x14ac:dyDescent="0.2">
      <c r="C215" s="121">
        <v>69635.788770164625</v>
      </c>
      <c r="D215" s="121">
        <v>16.673205848261937</v>
      </c>
      <c r="E215" s="121">
        <v>71184.212235828309</v>
      </c>
      <c r="F215" s="121">
        <v>16.559387567445391</v>
      </c>
      <c r="G215" s="121">
        <v>-1548.4234656636836</v>
      </c>
      <c r="H215" s="121">
        <v>0.11381828081654533</v>
      </c>
      <c r="N215" s="121"/>
      <c r="O215" s="121"/>
      <c r="P215" s="121"/>
      <c r="R215">
        <v>273.84855819681809</v>
      </c>
      <c r="S215">
        <v>64.800379651948461</v>
      </c>
      <c r="T215">
        <v>276.14765307381469</v>
      </c>
      <c r="U215">
        <v>104.69936811966474</v>
      </c>
      <c r="X215">
        <v>0.64767126191004021</v>
      </c>
      <c r="Y215">
        <v>0.82037069362266302</v>
      </c>
      <c r="Z215">
        <v>0.85365409735646258</v>
      </c>
      <c r="AA215">
        <v>0.66050568432716461</v>
      </c>
      <c r="AB215">
        <v>0.72634457250015871</v>
      </c>
      <c r="AC215">
        <v>0.78430360457480364</v>
      </c>
      <c r="AD215">
        <v>0.82341290593291572</v>
      </c>
      <c r="AE215">
        <v>0.82211529648762538</v>
      </c>
      <c r="AH215">
        <v>4.6246760699665268E-2</v>
      </c>
      <c r="AI215">
        <v>0.27984794499110099</v>
      </c>
      <c r="AJ215">
        <v>5.8364826542124826E-2</v>
      </c>
      <c r="AK215">
        <v>3.4947690042101742E-2</v>
      </c>
      <c r="AL215">
        <v>7.6292070980556792E-2</v>
      </c>
      <c r="AM215">
        <v>0.17275882329801673</v>
      </c>
      <c r="AN215">
        <v>0.13549829208342801</v>
      </c>
      <c r="AO215">
        <v>8.5306311474209973E-2</v>
      </c>
      <c r="AR215">
        <v>9.5938304794007667E-4</v>
      </c>
      <c r="AS215">
        <v>4.5620275336824001E-3</v>
      </c>
      <c r="AT215">
        <v>5.3063809340487822E-3</v>
      </c>
      <c r="AU215">
        <v>2.1149745852444557E-3</v>
      </c>
      <c r="AV215">
        <v>1.6662774095657737E-3</v>
      </c>
      <c r="AW215">
        <v>3.4720179896661207E-3</v>
      </c>
      <c r="AX215">
        <v>3.7501802670037983E-4</v>
      </c>
      <c r="AY215">
        <v>4.055017731886063E-4</v>
      </c>
      <c r="BB215">
        <v>4.3525870622735253E-2</v>
      </c>
      <c r="BC215">
        <v>7.439641980907119E-2</v>
      </c>
      <c r="BE215">
        <v>69635.788770164625</v>
      </c>
      <c r="BF215">
        <v>16.673205848261937</v>
      </c>
      <c r="BG215">
        <v>71184.212235828309</v>
      </c>
      <c r="BH215">
        <v>16.559387567445391</v>
      </c>
      <c r="BI215">
        <v>-1548.4234656636836</v>
      </c>
      <c r="BJ215">
        <v>0.11381828081654533</v>
      </c>
    </row>
    <row r="216" spans="3:62" x14ac:dyDescent="0.2">
      <c r="C216" s="121">
        <v>69191.573159754349</v>
      </c>
      <c r="D216" s="121">
        <v>17.738026073328275</v>
      </c>
      <c r="E216" s="121">
        <v>71791.598890359863</v>
      </c>
      <c r="F216" s="121">
        <v>17.569179285970101</v>
      </c>
      <c r="G216" s="121">
        <v>-2600.0257306055137</v>
      </c>
      <c r="H216" s="121">
        <v>0.1688467873581736</v>
      </c>
      <c r="N216" s="121"/>
      <c r="O216" s="121"/>
      <c r="P216" s="121"/>
      <c r="R216">
        <v>182.99984218066658</v>
      </c>
      <c r="S216">
        <v>60.776423477503329</v>
      </c>
      <c r="T216">
        <v>254.53696814957405</v>
      </c>
      <c r="U216">
        <v>114.34382338721872</v>
      </c>
      <c r="X216">
        <v>0.82166515003221263</v>
      </c>
      <c r="Y216">
        <v>0.77215469116700453</v>
      </c>
      <c r="Z216">
        <v>0.96892511161397066</v>
      </c>
      <c r="AA216">
        <v>0.78612960738682991</v>
      </c>
      <c r="AB216">
        <v>0.65966621426531058</v>
      </c>
      <c r="AC216">
        <v>0.6674394389540923</v>
      </c>
      <c r="AD216">
        <v>0.89705952135825651</v>
      </c>
      <c r="AE216">
        <v>0.8072369954736478</v>
      </c>
      <c r="AH216">
        <v>6.3138350272418653E-2</v>
      </c>
      <c r="AI216">
        <v>0.16923734637816379</v>
      </c>
      <c r="AJ216">
        <v>0.12670696082556376</v>
      </c>
      <c r="AK216">
        <v>6.8812856349261375E-2</v>
      </c>
      <c r="AL216">
        <v>7.7585581536945947E-2</v>
      </c>
      <c r="AM216">
        <v>9.1810733225429209E-2</v>
      </c>
      <c r="AN216">
        <v>0.1076341436124445</v>
      </c>
      <c r="AO216">
        <v>6.3500365426256256E-2</v>
      </c>
      <c r="AR216">
        <v>9.6831545499465044E-4</v>
      </c>
      <c r="AS216">
        <v>4.7906860476327751E-3</v>
      </c>
      <c r="AT216">
        <v>5.0583237310567464E-3</v>
      </c>
      <c r="AU216">
        <v>1.8372444795513982E-3</v>
      </c>
      <c r="AV216">
        <v>1.8976565225164383E-3</v>
      </c>
      <c r="AW216">
        <v>3.2371012279811149E-3</v>
      </c>
      <c r="AX216">
        <v>3.7878215646949159E-4</v>
      </c>
      <c r="AY216">
        <v>4.4449862270180466E-4</v>
      </c>
      <c r="BB216">
        <v>5.3267825081836695E-2</v>
      </c>
      <c r="BC216">
        <v>2.9054708188338919E-2</v>
      </c>
      <c r="BE216">
        <v>69191.573159754349</v>
      </c>
      <c r="BF216">
        <v>17.738026073328275</v>
      </c>
      <c r="BG216">
        <v>71791.598890359863</v>
      </c>
      <c r="BH216">
        <v>17.569179285970101</v>
      </c>
      <c r="BI216">
        <v>-2600.0257306055137</v>
      </c>
      <c r="BJ216">
        <v>0.1688467873581736</v>
      </c>
    </row>
    <row r="217" spans="3:62" x14ac:dyDescent="0.2">
      <c r="C217" s="121">
        <v>68973.443723762161</v>
      </c>
      <c r="D217" s="121">
        <v>16.39239860935589</v>
      </c>
      <c r="E217" s="121">
        <v>70690.12719529614</v>
      </c>
      <c r="F217" s="121">
        <v>16.279660466639307</v>
      </c>
      <c r="G217" s="121">
        <v>-1716.6834715339792</v>
      </c>
      <c r="H217" s="121">
        <v>0.11273814271658367</v>
      </c>
      <c r="N217" s="121"/>
      <c r="O217" s="121"/>
      <c r="P217" s="121"/>
      <c r="R217">
        <v>227.317005081367</v>
      </c>
      <c r="S217">
        <v>64.203753742583984</v>
      </c>
      <c r="T217">
        <v>265.7878393004512</v>
      </c>
      <c r="U217">
        <v>91.173718463584578</v>
      </c>
      <c r="X217">
        <v>0.36275485500503007</v>
      </c>
      <c r="Y217">
        <v>0.80123639031711391</v>
      </c>
      <c r="Z217">
        <v>0.72463464267987188</v>
      </c>
      <c r="AA217">
        <v>0.72985418163213123</v>
      </c>
      <c r="AB217">
        <v>0.9209381098470284</v>
      </c>
      <c r="AC217">
        <v>0.67284454852534592</v>
      </c>
      <c r="AD217">
        <v>0.63052459124409599</v>
      </c>
      <c r="AE217">
        <v>0.63666691378172358</v>
      </c>
      <c r="AH217">
        <v>8.7175101763493634E-2</v>
      </c>
      <c r="AI217">
        <v>0.13197954299547299</v>
      </c>
      <c r="AJ217">
        <v>0.10048319024236019</v>
      </c>
      <c r="AK217">
        <v>0.11680107840192422</v>
      </c>
      <c r="AL217">
        <v>0.19309744827502606</v>
      </c>
      <c r="AM217">
        <v>0.25000138690404039</v>
      </c>
      <c r="AN217">
        <v>3.1805676878219669E-2</v>
      </c>
      <c r="AO217">
        <v>0.13045468653488412</v>
      </c>
      <c r="AR217">
        <v>7.4432634665268465E-4</v>
      </c>
      <c r="AS217">
        <v>4.3149996656906544E-3</v>
      </c>
      <c r="AT217">
        <v>4.5428324585343807E-3</v>
      </c>
      <c r="AU217">
        <v>2.1164135978022358E-3</v>
      </c>
      <c r="AV217">
        <v>2.1755367829360273E-3</v>
      </c>
      <c r="AW217">
        <v>3.4518494968718283E-3</v>
      </c>
      <c r="AX217">
        <v>2.9953914547778328E-4</v>
      </c>
      <c r="AY217">
        <v>3.2756558549962229E-4</v>
      </c>
      <c r="BB217">
        <v>5.0520433646987328E-2</v>
      </c>
      <c r="BC217">
        <v>2.8014695194684733E-2</v>
      </c>
      <c r="BE217">
        <v>68973.443723762161</v>
      </c>
      <c r="BF217">
        <v>16.39239860935589</v>
      </c>
      <c r="BG217">
        <v>70690.12719529614</v>
      </c>
      <c r="BH217">
        <v>16.279660466639307</v>
      </c>
      <c r="BI217">
        <v>-1716.6834715339792</v>
      </c>
      <c r="BJ217">
        <v>0.11273814271658367</v>
      </c>
    </row>
    <row r="218" spans="3:62" x14ac:dyDescent="0.2">
      <c r="C218" s="123">
        <v>68756.659285645394</v>
      </c>
      <c r="D218" s="121">
        <v>14.96546812211659</v>
      </c>
      <c r="E218" s="123">
        <v>69967.667147397951</v>
      </c>
      <c r="F218" s="123">
        <v>14.86428618790455</v>
      </c>
      <c r="G218" s="123">
        <v>-1211.0078617525578</v>
      </c>
      <c r="H218" s="123">
        <v>0.10118193421203969</v>
      </c>
      <c r="N218" s="121"/>
      <c r="O218" s="121"/>
      <c r="P218" s="121"/>
      <c r="R218">
        <v>242.85582769312435</v>
      </c>
      <c r="S218">
        <v>57.909216143325395</v>
      </c>
      <c r="T218">
        <v>256.76662415399767</v>
      </c>
      <c r="U218">
        <v>95.017716647794373</v>
      </c>
      <c r="X218">
        <v>0.89574679595384921</v>
      </c>
      <c r="Y218">
        <v>0.66457090310474876</v>
      </c>
      <c r="Z218">
        <v>0.93501286585428989</v>
      </c>
      <c r="AA218">
        <v>0.73864097877058343</v>
      </c>
      <c r="AB218">
        <v>0.90292451656077577</v>
      </c>
      <c r="AC218">
        <v>0.56054943514998989</v>
      </c>
      <c r="AD218">
        <v>0.66226485848688588</v>
      </c>
      <c r="AE218">
        <v>0.8515873942344887</v>
      </c>
      <c r="AH218">
        <v>0.27194689925785331</v>
      </c>
      <c r="AI218">
        <v>8.1557198469339509E-2</v>
      </c>
      <c r="AJ218">
        <v>0.10833679211466785</v>
      </c>
      <c r="AK218">
        <v>0.19272903692456833</v>
      </c>
      <c r="AL218">
        <v>0.17706952313026203</v>
      </c>
      <c r="AM218">
        <v>7.8112404347872699E-2</v>
      </c>
      <c r="AN218">
        <v>0.34660539471568186</v>
      </c>
      <c r="AO218">
        <v>3.4664072371905608E-2</v>
      </c>
      <c r="AR218">
        <v>9.5193148483341261E-4</v>
      </c>
      <c r="AS218">
        <v>4.2275587685379852E-3</v>
      </c>
      <c r="AT218">
        <v>4.5505512099333918E-3</v>
      </c>
      <c r="AU218">
        <v>2.1990862516838572E-3</v>
      </c>
      <c r="AV218">
        <v>2.1310215620385931E-3</v>
      </c>
      <c r="AW218">
        <v>3.6590991293519171E-3</v>
      </c>
      <c r="AX218">
        <v>4.2419492808531967E-4</v>
      </c>
      <c r="AY218">
        <v>4.1901375824153492E-4</v>
      </c>
      <c r="BB218">
        <v>5.1868101720109805E-2</v>
      </c>
      <c r="BC218">
        <v>9.4407796083233908E-2</v>
      </c>
      <c r="BE218">
        <v>68756.659285645394</v>
      </c>
      <c r="BF218">
        <v>14.96546812211659</v>
      </c>
      <c r="BG218">
        <v>69967.667147397951</v>
      </c>
      <c r="BH218">
        <v>14.86428618790455</v>
      </c>
      <c r="BI218">
        <v>-1211.0078617525578</v>
      </c>
      <c r="BJ218">
        <v>0.10118193421203969</v>
      </c>
    </row>
    <row r="219" spans="3:62" x14ac:dyDescent="0.2">
      <c r="C219" s="121">
        <v>76715.101145913024</v>
      </c>
      <c r="D219" s="121">
        <v>16.50043990006742</v>
      </c>
      <c r="E219" s="121">
        <v>78788.808662924945</v>
      </c>
      <c r="F219" s="121">
        <v>16.364998646395247</v>
      </c>
      <c r="G219" s="121">
        <v>-2073.7075170119206</v>
      </c>
      <c r="H219" s="121">
        <v>0.13544125367217319</v>
      </c>
      <c r="N219" s="121"/>
      <c r="O219" s="121"/>
      <c r="P219" s="121"/>
      <c r="R219">
        <v>241.8258515146029</v>
      </c>
      <c r="S219">
        <v>71.328148857323214</v>
      </c>
      <c r="T219">
        <v>260.29108590370106</v>
      </c>
      <c r="U219">
        <v>69.486614332322176</v>
      </c>
      <c r="X219">
        <v>0.74022664096785273</v>
      </c>
      <c r="Y219">
        <v>0.96946165287167785</v>
      </c>
      <c r="Z219">
        <v>0.80800999295390363</v>
      </c>
      <c r="AA219">
        <v>0.9029787478344371</v>
      </c>
      <c r="AB219">
        <v>0.62912992215966934</v>
      </c>
      <c r="AC219">
        <v>0.70410045953986311</v>
      </c>
      <c r="AD219">
        <v>0.91518363939793357</v>
      </c>
      <c r="AE219">
        <v>0.72477476153902531</v>
      </c>
      <c r="AH219">
        <v>0.10045187097399377</v>
      </c>
      <c r="AI219">
        <v>8.8318987148875316E-2</v>
      </c>
      <c r="AJ219">
        <v>4.2424713185542973E-2</v>
      </c>
      <c r="AK219">
        <v>0.11355891377515348</v>
      </c>
      <c r="AL219">
        <v>0.1284341654297313</v>
      </c>
      <c r="AM219">
        <v>1.0976495247857487E-2</v>
      </c>
      <c r="AN219">
        <v>0.26618475219187121</v>
      </c>
      <c r="AO219">
        <v>2.7248849136234821E-2</v>
      </c>
      <c r="AR219">
        <v>9.495682911886405E-4</v>
      </c>
      <c r="AS219">
        <v>4.4562084740504418E-3</v>
      </c>
      <c r="AT219">
        <v>4.985856705417957E-3</v>
      </c>
      <c r="AU219">
        <v>1.9703961681800221E-3</v>
      </c>
      <c r="AV219">
        <v>2.0266313299404093E-3</v>
      </c>
      <c r="AW219">
        <v>3.4690772445399309E-3</v>
      </c>
      <c r="AX219">
        <v>4.9236655050477474E-4</v>
      </c>
      <c r="AY219">
        <v>3.8395721383645612E-4</v>
      </c>
      <c r="BB219">
        <v>5.6442382626338938E-2</v>
      </c>
      <c r="BC219">
        <v>2.4454231666033735E-2</v>
      </c>
      <c r="BE219">
        <v>76715.101145913024</v>
      </c>
      <c r="BF219">
        <v>16.50043990006742</v>
      </c>
      <c r="BG219">
        <v>78788.808662924945</v>
      </c>
      <c r="BH219">
        <v>16.364998646395247</v>
      </c>
      <c r="BI219">
        <v>-2073.7075170119206</v>
      </c>
      <c r="BJ219">
        <v>0.13544125367217319</v>
      </c>
    </row>
    <row r="220" spans="3:62" x14ac:dyDescent="0.2">
      <c r="C220" s="121">
        <v>62781.084849417508</v>
      </c>
      <c r="D220" s="121">
        <v>15.03007867748674</v>
      </c>
      <c r="E220" s="121">
        <v>64784.607795522737</v>
      </c>
      <c r="F220" s="121">
        <v>14.935178372782937</v>
      </c>
      <c r="G220" s="121">
        <v>-2003.5229461052295</v>
      </c>
      <c r="H220" s="121">
        <v>9.4900304703802618E-2</v>
      </c>
      <c r="N220" s="121"/>
      <c r="O220" s="121"/>
      <c r="P220" s="121"/>
      <c r="R220">
        <v>179.86977596365676</v>
      </c>
      <c r="S220">
        <v>66.048693120401808</v>
      </c>
      <c r="T220">
        <v>244.38165212594706</v>
      </c>
      <c r="U220">
        <v>102.74452186276662</v>
      </c>
      <c r="X220">
        <v>0.91732359392643747</v>
      </c>
      <c r="Y220">
        <v>0.60371003251989119</v>
      </c>
      <c r="Z220">
        <v>0.34098049103983852</v>
      </c>
      <c r="AA220">
        <v>0.77376929076760337</v>
      </c>
      <c r="AB220">
        <v>0.80439166401325424</v>
      </c>
      <c r="AC220">
        <v>0.90116483635054245</v>
      </c>
      <c r="AD220">
        <v>0.7935887239517907</v>
      </c>
      <c r="AE220">
        <v>0.77046342072875396</v>
      </c>
      <c r="AH220">
        <v>0.210723366038712</v>
      </c>
      <c r="AI220">
        <v>0.16584616200754365</v>
      </c>
      <c r="AJ220">
        <v>0.16599930558211462</v>
      </c>
      <c r="AK220">
        <v>3.1412323439996559E-3</v>
      </c>
      <c r="AL220">
        <v>0.1190859017697633</v>
      </c>
      <c r="AM220">
        <v>0.24461409497019149</v>
      </c>
      <c r="AN220">
        <v>6.6297905776698474E-2</v>
      </c>
      <c r="AO220">
        <v>0.1255969602475403</v>
      </c>
      <c r="AR220">
        <v>9.3567946034023297E-4</v>
      </c>
      <c r="AS220">
        <v>4.5053534141289431E-3</v>
      </c>
      <c r="AT220">
        <v>5.1577987145942084E-3</v>
      </c>
      <c r="AU220">
        <v>1.9181853897901838E-3</v>
      </c>
      <c r="AV220">
        <v>1.9593526103978457E-3</v>
      </c>
      <c r="AW220">
        <v>3.2626023844431083E-3</v>
      </c>
      <c r="AX220">
        <v>3.5302064175115092E-4</v>
      </c>
      <c r="AY220">
        <v>4.5309144378324895E-4</v>
      </c>
      <c r="BB220">
        <v>5.2202248800536144E-2</v>
      </c>
      <c r="BC220">
        <v>5.781890337114981E-2</v>
      </c>
      <c r="BE220">
        <v>62781.084849417508</v>
      </c>
      <c r="BF220">
        <v>15.03007867748674</v>
      </c>
      <c r="BG220">
        <v>64784.607795522737</v>
      </c>
      <c r="BH220">
        <v>14.935178372782937</v>
      </c>
      <c r="BI220">
        <v>-2003.5229461052295</v>
      </c>
      <c r="BJ220">
        <v>9.4900304703802618E-2</v>
      </c>
    </row>
    <row r="221" spans="3:62" x14ac:dyDescent="0.2">
      <c r="C221" s="121">
        <v>68509.699628571281</v>
      </c>
      <c r="D221" s="121">
        <v>17.45972778432736</v>
      </c>
      <c r="E221" s="121">
        <v>70494.699484909768</v>
      </c>
      <c r="F221" s="121">
        <v>17.307664796995081</v>
      </c>
      <c r="G221" s="121">
        <v>-1984.999856338487</v>
      </c>
      <c r="H221" s="121">
        <v>0.15206298733227896</v>
      </c>
      <c r="N221" s="121"/>
      <c r="O221" s="121"/>
      <c r="P221" s="121"/>
      <c r="R221">
        <v>267.12230773943099</v>
      </c>
      <c r="S221">
        <v>63.541638955059639</v>
      </c>
      <c r="T221">
        <v>280.68146154294431</v>
      </c>
      <c r="U221">
        <v>103.35186742069402</v>
      </c>
      <c r="X221">
        <v>0.65083581099719012</v>
      </c>
      <c r="Y221">
        <v>0.82772681950318328</v>
      </c>
      <c r="Z221">
        <v>0.72703456860152738</v>
      </c>
      <c r="AA221">
        <v>0.85761059850295163</v>
      </c>
      <c r="AB221">
        <v>0.87942494507386515</v>
      </c>
      <c r="AC221">
        <v>0.41896799102603788</v>
      </c>
      <c r="AD221">
        <v>0.80297333832483064</v>
      </c>
      <c r="AE221">
        <v>0.70050385653406544</v>
      </c>
      <c r="AH221">
        <v>0.34840652618360035</v>
      </c>
      <c r="AI221">
        <v>0.17764539333409457</v>
      </c>
      <c r="AJ221">
        <v>0.1273891220861042</v>
      </c>
      <c r="AK221">
        <v>2.8263655129810106E-2</v>
      </c>
      <c r="AL221">
        <v>0.22478504886544259</v>
      </c>
      <c r="AM221">
        <v>4.2553529012318014E-2</v>
      </c>
      <c r="AN221">
        <v>0.12038699309976197</v>
      </c>
      <c r="AO221">
        <v>0.11647854770422161</v>
      </c>
      <c r="AR221">
        <v>8.8524928527407797E-4</v>
      </c>
      <c r="AS221">
        <v>4.2721905211419962E-3</v>
      </c>
      <c r="AT221">
        <v>5.0659946798631283E-3</v>
      </c>
      <c r="AU221">
        <v>2.0553942004103432E-3</v>
      </c>
      <c r="AV221">
        <v>2.0415395829350702E-3</v>
      </c>
      <c r="AW221">
        <v>3.7054287692004362E-3</v>
      </c>
      <c r="AX221">
        <v>3.7685504598119687E-4</v>
      </c>
      <c r="AY221">
        <v>4.3970077904559389E-4</v>
      </c>
      <c r="BB221">
        <v>5.031726593078778E-2</v>
      </c>
      <c r="BC221">
        <v>2.9107099525931754E-2</v>
      </c>
      <c r="BE221">
        <v>68509.699628571281</v>
      </c>
      <c r="BF221">
        <v>17.45972778432736</v>
      </c>
      <c r="BG221">
        <v>70494.699484909768</v>
      </c>
      <c r="BH221">
        <v>17.307664796995081</v>
      </c>
      <c r="BI221">
        <v>-1984.999856338487</v>
      </c>
      <c r="BJ221">
        <v>0.15206298733227896</v>
      </c>
    </row>
    <row r="222" spans="3:62" x14ac:dyDescent="0.2">
      <c r="C222" s="121">
        <v>67920.912877753959</v>
      </c>
      <c r="D222" s="121">
        <v>15.972901256533207</v>
      </c>
      <c r="E222" s="121">
        <v>69919.19735749274</v>
      </c>
      <c r="F222" s="121">
        <v>15.80659152116103</v>
      </c>
      <c r="G222" s="121">
        <v>-1998.2844797387806</v>
      </c>
      <c r="H222" s="121">
        <v>0.16630973537217741</v>
      </c>
      <c r="N222" s="121"/>
      <c r="O222" s="121"/>
      <c r="P222" s="121"/>
      <c r="R222">
        <v>329.03093626020086</v>
      </c>
      <c r="S222">
        <v>56.395719762588612</v>
      </c>
      <c r="T222">
        <v>282.04191718929872</v>
      </c>
      <c r="U222">
        <v>90.833530649791925</v>
      </c>
      <c r="X222">
        <v>0.90110300450355885</v>
      </c>
      <c r="Y222">
        <v>0.85719620259636831</v>
      </c>
      <c r="Z222">
        <v>0.67810685445761454</v>
      </c>
      <c r="AA222">
        <v>0.62559466479392456</v>
      </c>
      <c r="AB222">
        <v>0.80411269662484508</v>
      </c>
      <c r="AC222">
        <v>0.85801012292130485</v>
      </c>
      <c r="AD222">
        <v>0.7685911619375202</v>
      </c>
      <c r="AE222">
        <v>0.68942451485338996</v>
      </c>
      <c r="AH222">
        <v>9.88731012585502E-2</v>
      </c>
      <c r="AI222">
        <v>9.6114270388440892E-2</v>
      </c>
      <c r="AJ222">
        <v>8.2579641590025954E-2</v>
      </c>
      <c r="AK222">
        <v>5.6566024295772621E-2</v>
      </c>
      <c r="AL222">
        <v>5.2380209540005884E-2</v>
      </c>
      <c r="AM222">
        <v>0.1093637588355526</v>
      </c>
      <c r="AN222">
        <v>0.1073892956074145</v>
      </c>
      <c r="AO222">
        <v>3.2690803607296592E-2</v>
      </c>
      <c r="AR222">
        <v>8.3904022001380708E-4</v>
      </c>
      <c r="AS222">
        <v>4.4458885900705829E-3</v>
      </c>
      <c r="AT222">
        <v>4.97772001906438E-3</v>
      </c>
      <c r="AU222">
        <v>2.0690566793547527E-3</v>
      </c>
      <c r="AV222">
        <v>2.1797252216104734E-3</v>
      </c>
      <c r="AW222">
        <v>3.7227566995621242E-3</v>
      </c>
      <c r="AX222">
        <v>4.1769773611599614E-4</v>
      </c>
      <c r="AY222">
        <v>5.2577749659021844E-4</v>
      </c>
      <c r="BB222">
        <v>4.110598343684891E-2</v>
      </c>
      <c r="BC222">
        <v>1.9889745192307188E-2</v>
      </c>
      <c r="BE222">
        <v>67920.912877753959</v>
      </c>
      <c r="BF222">
        <v>15.972901256533207</v>
      </c>
      <c r="BG222">
        <v>69919.19735749274</v>
      </c>
      <c r="BH222">
        <v>15.80659152116103</v>
      </c>
      <c r="BI222">
        <v>-1998.2844797387806</v>
      </c>
      <c r="BJ222">
        <v>0.16630973537217741</v>
      </c>
    </row>
    <row r="223" spans="3:62" x14ac:dyDescent="0.2">
      <c r="C223" s="121">
        <v>72302.020374714441</v>
      </c>
      <c r="D223" s="121">
        <v>17.294150068476682</v>
      </c>
      <c r="E223" s="121">
        <v>73911.824867917545</v>
      </c>
      <c r="F223" s="121">
        <v>17.183487839202034</v>
      </c>
      <c r="G223" s="121">
        <v>-1609.8044932031044</v>
      </c>
      <c r="H223" s="121">
        <v>0.11066222927464864</v>
      </c>
      <c r="N223" s="121"/>
      <c r="O223" s="121"/>
      <c r="P223" s="121"/>
      <c r="R223">
        <v>352.01728659891978</v>
      </c>
      <c r="S223">
        <v>62.129847609338007</v>
      </c>
      <c r="T223">
        <v>252.21193045248395</v>
      </c>
      <c r="U223">
        <v>95.995029137981362</v>
      </c>
      <c r="X223">
        <v>0.80697250382647878</v>
      </c>
      <c r="Y223">
        <v>0.75689271202997621</v>
      </c>
      <c r="Z223">
        <v>0.80410791684692906</v>
      </c>
      <c r="AA223">
        <v>0.33835062678327515</v>
      </c>
      <c r="AB223">
        <v>0.79644719768113403</v>
      </c>
      <c r="AC223">
        <v>0.85725964944174871</v>
      </c>
      <c r="AD223">
        <v>0.6917024708748496</v>
      </c>
      <c r="AE223">
        <v>0.85800824112280971</v>
      </c>
      <c r="AH223">
        <v>8.3655644175988586E-2</v>
      </c>
      <c r="AI223">
        <v>0.21130476235223716</v>
      </c>
      <c r="AJ223">
        <v>0.1199819814003602</v>
      </c>
      <c r="AK223">
        <v>0.15654339350076241</v>
      </c>
      <c r="AL223">
        <v>0.1707595725406984</v>
      </c>
      <c r="AM223">
        <v>0.29427204798313278</v>
      </c>
      <c r="AN223">
        <v>7.1646158353963263E-2</v>
      </c>
      <c r="AO223">
        <v>8.5290703414480751E-2</v>
      </c>
      <c r="AR223">
        <v>8.0016339538479132E-4</v>
      </c>
      <c r="AS223">
        <v>4.8089483199953431E-3</v>
      </c>
      <c r="AT223">
        <v>4.8243815339385062E-3</v>
      </c>
      <c r="AU223">
        <v>1.9913867841779274E-3</v>
      </c>
      <c r="AV223">
        <v>2.1806205356937891E-3</v>
      </c>
      <c r="AW223">
        <v>3.3347764173575377E-3</v>
      </c>
      <c r="AX223">
        <v>3.6033500712027815E-4</v>
      </c>
      <c r="AY223">
        <v>4.7853422982857552E-4</v>
      </c>
      <c r="BB223">
        <v>5.1793225705321411E-2</v>
      </c>
      <c r="BC223">
        <v>0.11962665755911361</v>
      </c>
      <c r="BE223">
        <v>72302.020374714441</v>
      </c>
      <c r="BF223">
        <v>17.294150068476682</v>
      </c>
      <c r="BG223">
        <v>73911.824867917545</v>
      </c>
      <c r="BH223">
        <v>17.183487839202034</v>
      </c>
      <c r="BI223">
        <v>-1609.8044932031044</v>
      </c>
      <c r="BJ223">
        <v>0.11066222927464864</v>
      </c>
    </row>
    <row r="224" spans="3:62" x14ac:dyDescent="0.2">
      <c r="C224" s="121">
        <v>66983.803379718462</v>
      </c>
      <c r="D224" s="121">
        <v>17.292331033858538</v>
      </c>
      <c r="E224" s="121">
        <v>68090.064326349864</v>
      </c>
      <c r="F224" s="121">
        <v>17.243914461516265</v>
      </c>
      <c r="G224" s="121">
        <v>-1106.2609466314025</v>
      </c>
      <c r="H224" s="121">
        <v>4.8416572342272701E-2</v>
      </c>
      <c r="N224" s="121"/>
      <c r="O224" s="121"/>
      <c r="P224" s="121"/>
      <c r="R224">
        <v>293.56425807271899</v>
      </c>
      <c r="S224">
        <v>67.592103375795148</v>
      </c>
      <c r="T224">
        <v>266.46099922115906</v>
      </c>
      <c r="U224">
        <v>95.706678188911454</v>
      </c>
      <c r="X224">
        <v>0.65617252529048631</v>
      </c>
      <c r="Y224">
        <v>0.67339333892557329</v>
      </c>
      <c r="Z224">
        <v>0.80535012654173121</v>
      </c>
      <c r="AA224">
        <v>0.88638210841987475</v>
      </c>
      <c r="AB224">
        <v>0.59292992510784714</v>
      </c>
      <c r="AC224">
        <v>0.93927278232804134</v>
      </c>
      <c r="AD224">
        <v>0.59412272310376546</v>
      </c>
      <c r="AE224">
        <v>0.83762028473824324</v>
      </c>
      <c r="AH224">
        <v>5.9741966959425685E-2</v>
      </c>
      <c r="AI224">
        <v>0.14193654653700927</v>
      </c>
      <c r="AJ224">
        <v>3.4766830540399196E-2</v>
      </c>
      <c r="AK224">
        <v>0.12212448903638995</v>
      </c>
      <c r="AL224">
        <v>0.18188805360217442</v>
      </c>
      <c r="AM224">
        <v>9.4926667352814076E-2</v>
      </c>
      <c r="AN224">
        <v>9.7981393843823206E-2</v>
      </c>
      <c r="AO224">
        <v>0.24340682191694341</v>
      </c>
      <c r="AR224">
        <v>1.0168393853858815E-3</v>
      </c>
      <c r="AS224">
        <v>4.5981382849947794E-3</v>
      </c>
      <c r="AT224">
        <v>4.5467754963230255E-3</v>
      </c>
      <c r="AU224">
        <v>2.2261779851677765E-3</v>
      </c>
      <c r="AV224">
        <v>2.0569876879932281E-3</v>
      </c>
      <c r="AW224">
        <v>3.2304560151774336E-3</v>
      </c>
      <c r="AX224">
        <v>4.728514430726305E-4</v>
      </c>
      <c r="AY224">
        <v>3.771903204016417E-4</v>
      </c>
      <c r="BB224">
        <v>5.1833225048921294E-2</v>
      </c>
      <c r="BC224">
        <v>2.7648194559752533E-2</v>
      </c>
      <c r="BE224">
        <v>66983.803379718462</v>
      </c>
      <c r="BF224">
        <v>17.292331033858538</v>
      </c>
      <c r="BG224">
        <v>68090.064326349864</v>
      </c>
      <c r="BH224">
        <v>17.243914461516265</v>
      </c>
      <c r="BI224">
        <v>-1106.2609466314025</v>
      </c>
      <c r="BJ224">
        <v>4.8416572342272701E-2</v>
      </c>
    </row>
    <row r="225" spans="3:62" x14ac:dyDescent="0.2">
      <c r="C225" s="121">
        <v>65359.391965877468</v>
      </c>
      <c r="D225" s="121">
        <v>15.805085293577067</v>
      </c>
      <c r="E225" s="121">
        <v>66848.950113373256</v>
      </c>
      <c r="F225" s="121">
        <v>15.648693095743994</v>
      </c>
      <c r="G225" s="121">
        <v>-1489.5581474957871</v>
      </c>
      <c r="H225" s="121">
        <v>0.1563921978330729</v>
      </c>
      <c r="N225" s="121"/>
      <c r="O225" s="121"/>
      <c r="P225" s="121"/>
      <c r="R225">
        <v>391.15395615481623</v>
      </c>
      <c r="S225">
        <v>66.652827523789497</v>
      </c>
      <c r="T225">
        <v>271.24486521411183</v>
      </c>
      <c r="U225">
        <v>83.527689327593379</v>
      </c>
      <c r="X225">
        <v>0.63860229025036519</v>
      </c>
      <c r="Y225">
        <v>0.71428804345239538</v>
      </c>
      <c r="Z225">
        <v>0.60140831655146443</v>
      </c>
      <c r="AA225">
        <v>0.83551549386992752</v>
      </c>
      <c r="AB225">
        <v>0.6761744545289009</v>
      </c>
      <c r="AC225">
        <v>0.8896539084492584</v>
      </c>
      <c r="AD225">
        <v>0.49617129481479816</v>
      </c>
      <c r="AE225">
        <v>0.58038144201403596</v>
      </c>
      <c r="AH225">
        <v>6.4288995499412027E-2</v>
      </c>
      <c r="AI225">
        <v>0.14665348870719741</v>
      </c>
      <c r="AJ225">
        <v>6.6232709613450069E-2</v>
      </c>
      <c r="AK225">
        <v>0.31180557851615187</v>
      </c>
      <c r="AL225">
        <v>5.5834129688597467E-2</v>
      </c>
      <c r="AM225">
        <v>7.5037391153962574E-2</v>
      </c>
      <c r="AN225">
        <v>0.24651464919848509</v>
      </c>
      <c r="AO225">
        <v>0.32590206819847767</v>
      </c>
      <c r="AR225">
        <v>7.701009546198489E-4</v>
      </c>
      <c r="AS225">
        <v>4.5603301199138579E-3</v>
      </c>
      <c r="AT225">
        <v>4.8319513095549877E-3</v>
      </c>
      <c r="AU225">
        <v>2.0692999112451593E-3</v>
      </c>
      <c r="AV225">
        <v>2.2139347132865694E-3</v>
      </c>
      <c r="AW225">
        <v>3.1218677502004993E-3</v>
      </c>
      <c r="AX225">
        <v>4.0356894677917587E-4</v>
      </c>
      <c r="AY225">
        <v>3.6284053173859631E-4</v>
      </c>
      <c r="BB225">
        <v>4.6137017257786503E-2</v>
      </c>
      <c r="BC225">
        <v>6.1080247249691744E-2</v>
      </c>
      <c r="BE225">
        <v>65359.391965877468</v>
      </c>
      <c r="BF225">
        <v>15.805085293577067</v>
      </c>
      <c r="BG225">
        <v>66848.950113373256</v>
      </c>
      <c r="BH225">
        <v>15.648693095743994</v>
      </c>
      <c r="BI225">
        <v>-1489.5581474957871</v>
      </c>
      <c r="BJ225">
        <v>0.1563921978330729</v>
      </c>
    </row>
    <row r="226" spans="3:62" x14ac:dyDescent="0.2">
      <c r="C226" s="121">
        <v>66862.294392033073</v>
      </c>
      <c r="D226" s="121">
        <v>14.714707746083242</v>
      </c>
      <c r="E226" s="121">
        <v>68597.890399221156</v>
      </c>
      <c r="F226" s="121">
        <v>14.573883047466502</v>
      </c>
      <c r="G226" s="121">
        <v>-1735.5960071880836</v>
      </c>
      <c r="H226" s="121">
        <v>0.14082469861673985</v>
      </c>
      <c r="N226" s="121"/>
      <c r="O226" s="121"/>
      <c r="P226" s="121"/>
      <c r="R226">
        <v>354.24016840101427</v>
      </c>
      <c r="S226">
        <v>72.105326541484359</v>
      </c>
      <c r="T226">
        <v>270.00421725509653</v>
      </c>
      <c r="U226">
        <v>78.18776821920207</v>
      </c>
      <c r="X226">
        <v>0.73199793281765335</v>
      </c>
      <c r="Y226">
        <v>0.59328490240691001</v>
      </c>
      <c r="Z226">
        <v>0.85019457547231192</v>
      </c>
      <c r="AA226">
        <v>0.87013597445853685</v>
      </c>
      <c r="AB226">
        <v>0.81126195658825662</v>
      </c>
      <c r="AC226">
        <v>0.7786429128900384</v>
      </c>
      <c r="AD226">
        <v>0.67748555150821677</v>
      </c>
      <c r="AE226">
        <v>0.83862140031614074</v>
      </c>
      <c r="AH226">
        <v>1.9377417970435795E-2</v>
      </c>
      <c r="AI226">
        <v>0.19021547478951006</v>
      </c>
      <c r="AJ226">
        <v>0.1785469453643922</v>
      </c>
      <c r="AK226">
        <v>4.7022727749140958E-2</v>
      </c>
      <c r="AL226">
        <v>0.13084356606359249</v>
      </c>
      <c r="AM226">
        <v>0.27883344601591209</v>
      </c>
      <c r="AN226">
        <v>5.100684625179519E-2</v>
      </c>
      <c r="AO226">
        <v>4.0029210413091598E-2</v>
      </c>
      <c r="AR226">
        <v>9.2006412003442506E-4</v>
      </c>
      <c r="AS226">
        <v>4.3247918059405891E-3</v>
      </c>
      <c r="AT226">
        <v>4.9718345162970135E-3</v>
      </c>
      <c r="AU226">
        <v>2.0584424068654794E-3</v>
      </c>
      <c r="AV226">
        <v>2.1120833092247437E-3</v>
      </c>
      <c r="AW226">
        <v>3.4147806829059046E-3</v>
      </c>
      <c r="AX226">
        <v>3.8715778744762523E-4</v>
      </c>
      <c r="AY226">
        <v>4.2584788697981233E-4</v>
      </c>
      <c r="BB226">
        <v>4.82288534947947E-2</v>
      </c>
      <c r="BC226">
        <v>4.2615493403111535E-2</v>
      </c>
      <c r="BE226">
        <v>66862.294392033073</v>
      </c>
      <c r="BF226">
        <v>14.714707746083242</v>
      </c>
      <c r="BG226">
        <v>68597.890399221156</v>
      </c>
      <c r="BH226">
        <v>14.573883047466502</v>
      </c>
      <c r="BI226">
        <v>-1735.5960071880836</v>
      </c>
      <c r="BJ226">
        <v>0.14082469861673985</v>
      </c>
    </row>
    <row r="227" spans="3:62" x14ac:dyDescent="0.2">
      <c r="C227" s="121">
        <v>65239.410522390011</v>
      </c>
      <c r="D227" s="121">
        <v>18.37460220627452</v>
      </c>
      <c r="E227" s="121">
        <v>66471.780508655589</v>
      </c>
      <c r="F227" s="121">
        <v>18.299234608062086</v>
      </c>
      <c r="G227" s="121">
        <v>-1232.3699862655776</v>
      </c>
      <c r="H227" s="121">
        <v>7.5367598212434217E-2</v>
      </c>
      <c r="N227" s="121"/>
      <c r="O227" s="121"/>
      <c r="P227" s="121"/>
      <c r="R227">
        <v>349.49673340127589</v>
      </c>
      <c r="S227">
        <v>73.680311634417109</v>
      </c>
      <c r="T227">
        <v>262.04057648090242</v>
      </c>
      <c r="U227">
        <v>91.858080815343385</v>
      </c>
      <c r="X227">
        <v>0.67274646652318815</v>
      </c>
      <c r="Y227">
        <v>0.92792653622698995</v>
      </c>
      <c r="Z227">
        <v>0.87675004898740283</v>
      </c>
      <c r="AA227">
        <v>0.74400391947715783</v>
      </c>
      <c r="AB227">
        <v>0.57535454128518537</v>
      </c>
      <c r="AC227">
        <v>0.7015180373479688</v>
      </c>
      <c r="AD227">
        <v>0.81810708708159363</v>
      </c>
      <c r="AE227">
        <v>0.71543462629466692</v>
      </c>
      <c r="AH227">
        <v>2.0008707559460825E-2</v>
      </c>
      <c r="AI227">
        <v>7.7627288049962218E-2</v>
      </c>
      <c r="AJ227">
        <v>6.7056893574365173E-2</v>
      </c>
      <c r="AK227">
        <v>0.21375218358671066</v>
      </c>
      <c r="AL227">
        <v>0.12834277962964424</v>
      </c>
      <c r="AM227">
        <v>4.5712937133722598E-2</v>
      </c>
      <c r="AN227">
        <v>0.10871034218624276</v>
      </c>
      <c r="AO227">
        <v>0.26266568058201323</v>
      </c>
      <c r="AR227">
        <v>8.2092332614897381E-4</v>
      </c>
      <c r="AS227">
        <v>4.5155548061757145E-3</v>
      </c>
      <c r="AT227">
        <v>5.0418880486988726E-3</v>
      </c>
      <c r="AU227">
        <v>1.9394225657328936E-3</v>
      </c>
      <c r="AV227">
        <v>2.0675647946425402E-3</v>
      </c>
      <c r="AW227">
        <v>3.3870822146373656E-3</v>
      </c>
      <c r="AX227">
        <v>3.4807792019568161E-4</v>
      </c>
      <c r="AY227">
        <v>4.1808696021157049E-4</v>
      </c>
      <c r="BB227">
        <v>4.1429845949064896E-2</v>
      </c>
      <c r="BC227">
        <v>2.1750730199458144E-2</v>
      </c>
      <c r="BE227">
        <v>65239.410522390011</v>
      </c>
      <c r="BF227">
        <v>18.37460220627452</v>
      </c>
      <c r="BG227">
        <v>66471.780508655589</v>
      </c>
      <c r="BH227">
        <v>18.299234608062086</v>
      </c>
      <c r="BI227">
        <v>-1232.3699862655776</v>
      </c>
      <c r="BJ227">
        <v>7.5367598212434217E-2</v>
      </c>
    </row>
    <row r="228" spans="3:62" x14ac:dyDescent="0.2">
      <c r="C228" s="121">
        <v>66273.491002779774</v>
      </c>
      <c r="D228" s="121">
        <v>14.431138795744538</v>
      </c>
      <c r="E228" s="121">
        <v>68582.248729946397</v>
      </c>
      <c r="F228" s="121">
        <v>14.240604079887536</v>
      </c>
      <c r="G228" s="121">
        <v>-2308.7577271666232</v>
      </c>
      <c r="H228" s="121">
        <v>0.19053471585700166</v>
      </c>
      <c r="N228" s="121"/>
      <c r="O228" s="121"/>
      <c r="P228" s="121"/>
      <c r="R228">
        <v>74.177412734906937</v>
      </c>
      <c r="S228">
        <v>67.415201762681221</v>
      </c>
      <c r="T228">
        <v>212.92167604668319</v>
      </c>
      <c r="U228">
        <v>108.22822766948799</v>
      </c>
      <c r="X228">
        <v>0.83458260591394717</v>
      </c>
      <c r="Y228">
        <v>0.75689832189673745</v>
      </c>
      <c r="Z228">
        <v>0.78934672231691105</v>
      </c>
      <c r="AA228">
        <v>0.78977918968569039</v>
      </c>
      <c r="AB228">
        <v>0.7985970826201394</v>
      </c>
      <c r="AC228">
        <v>0.80789744531938523</v>
      </c>
      <c r="AD228">
        <v>0.70956709711845578</v>
      </c>
      <c r="AE228">
        <v>0.86328952954017713</v>
      </c>
      <c r="AH228">
        <v>4.8820851206608618E-2</v>
      </c>
      <c r="AI228">
        <v>0.23179750040418134</v>
      </c>
      <c r="AJ228">
        <v>0.18776447147097941</v>
      </c>
      <c r="AK228">
        <v>0.10492926571348993</v>
      </c>
      <c r="AL228">
        <v>0.29656922455848</v>
      </c>
      <c r="AM228">
        <v>0.12049982092685951</v>
      </c>
      <c r="AN228">
        <v>0.18171090748761265</v>
      </c>
      <c r="AO228">
        <v>0.1433611715442501</v>
      </c>
      <c r="AR228">
        <v>8.2622481502747571E-4</v>
      </c>
      <c r="AS228">
        <v>4.5496841252514741E-3</v>
      </c>
      <c r="AT228">
        <v>5.166365971959519E-3</v>
      </c>
      <c r="AU228">
        <v>1.8833911460613756E-3</v>
      </c>
      <c r="AV228">
        <v>2.0232565673155012E-3</v>
      </c>
      <c r="AW228">
        <v>3.2872763203051327E-3</v>
      </c>
      <c r="AX228">
        <v>3.6187964289742801E-4</v>
      </c>
      <c r="AY228">
        <v>5.6928934729472136E-4</v>
      </c>
      <c r="BB228">
        <v>4.7263913481622212E-2</v>
      </c>
      <c r="BC228">
        <v>3.3416495831213977E-2</v>
      </c>
      <c r="BE228">
        <v>66273.491002779774</v>
      </c>
      <c r="BF228">
        <v>14.431138795744538</v>
      </c>
      <c r="BG228">
        <v>68582.248729946397</v>
      </c>
      <c r="BH228">
        <v>14.240604079887536</v>
      </c>
      <c r="BI228">
        <v>-2308.7577271666232</v>
      </c>
      <c r="BJ228">
        <v>0.19053471585700166</v>
      </c>
    </row>
    <row r="229" spans="3:62" x14ac:dyDescent="0.2">
      <c r="C229" s="121">
        <v>71350.810949024846</v>
      </c>
      <c r="D229" s="121">
        <v>16.853851706911367</v>
      </c>
      <c r="E229" s="121">
        <v>72761.874056525165</v>
      </c>
      <c r="F229" s="121">
        <v>16.742169405102985</v>
      </c>
      <c r="G229" s="121">
        <v>-1411.0631075003184</v>
      </c>
      <c r="H229" s="121">
        <v>0.11168230180838279</v>
      </c>
      <c r="N229" s="121"/>
      <c r="O229" s="121"/>
      <c r="P229" s="121"/>
      <c r="R229">
        <v>329.29171589949243</v>
      </c>
      <c r="S229">
        <v>72.912689317647249</v>
      </c>
      <c r="T229">
        <v>291.9176959175831</v>
      </c>
      <c r="U229">
        <v>97.559645114988285</v>
      </c>
      <c r="X229">
        <v>0.698015932050563</v>
      </c>
      <c r="Y229">
        <v>0.88257641105467233</v>
      </c>
      <c r="Z229">
        <v>0.54353741010521672</v>
      </c>
      <c r="AA229">
        <v>0.57776723924587881</v>
      </c>
      <c r="AB229">
        <v>0.57891550703466788</v>
      </c>
      <c r="AC229">
        <v>0.83795848369146908</v>
      </c>
      <c r="AD229">
        <v>0.83694042960941673</v>
      </c>
      <c r="AE229">
        <v>0.61259188500029704</v>
      </c>
      <c r="AH229">
        <v>0.29134180097996698</v>
      </c>
      <c r="AI229">
        <v>0.11781729990528222</v>
      </c>
      <c r="AJ229">
        <v>0.13221019669853595</v>
      </c>
      <c r="AK229">
        <v>6.9439759986326122E-2</v>
      </c>
      <c r="AL229">
        <v>7.0600650044765678E-2</v>
      </c>
      <c r="AM229">
        <v>0.16052506750957918</v>
      </c>
      <c r="AN229">
        <v>0.12965558875029337</v>
      </c>
      <c r="AO229">
        <v>0.10645313255283106</v>
      </c>
      <c r="AR229">
        <v>9.2687785735212636E-4</v>
      </c>
      <c r="AS229">
        <v>4.4998121832179327E-3</v>
      </c>
      <c r="AT229">
        <v>5.0668737393396723E-3</v>
      </c>
      <c r="AU229">
        <v>1.9713877257314092E-3</v>
      </c>
      <c r="AV229">
        <v>1.6695234678667057E-3</v>
      </c>
      <c r="AW229">
        <v>3.4521244457447198E-3</v>
      </c>
      <c r="AX229">
        <v>3.7229374950819406E-4</v>
      </c>
      <c r="AY229">
        <v>4.8540429616217295E-4</v>
      </c>
      <c r="BB229">
        <v>4.7491480878641489E-2</v>
      </c>
      <c r="BC229">
        <v>3.0611587002488155E-2</v>
      </c>
      <c r="BE229">
        <v>71350.810949024846</v>
      </c>
      <c r="BF229">
        <v>16.853851706911367</v>
      </c>
      <c r="BG229">
        <v>72761.874056525165</v>
      </c>
      <c r="BH229">
        <v>16.742169405102985</v>
      </c>
      <c r="BI229">
        <v>-1411.0631075003184</v>
      </c>
      <c r="BJ229">
        <v>0.11168230180838279</v>
      </c>
    </row>
    <row r="230" spans="3:62" x14ac:dyDescent="0.2">
      <c r="C230" s="121">
        <v>76675.368968693409</v>
      </c>
      <c r="D230" s="121">
        <v>16.254421434627528</v>
      </c>
      <c r="E230" s="121">
        <v>78011.932341648848</v>
      </c>
      <c r="F230" s="121">
        <v>16.14595662231195</v>
      </c>
      <c r="G230" s="121">
        <v>-1336.5633729554393</v>
      </c>
      <c r="H230" s="121">
        <v>0.10846481231557803</v>
      </c>
      <c r="N230" s="121"/>
      <c r="O230" s="121"/>
      <c r="P230" s="121"/>
      <c r="R230">
        <v>195.17799509262557</v>
      </c>
      <c r="S230">
        <v>59.146937147295496</v>
      </c>
      <c r="T230">
        <v>218.65294477525396</v>
      </c>
      <c r="U230">
        <v>100.22240489726339</v>
      </c>
      <c r="X230">
        <v>0.705766858817513</v>
      </c>
      <c r="Y230">
        <v>0.79132352367390635</v>
      </c>
      <c r="Z230">
        <v>0.8689613705409045</v>
      </c>
      <c r="AA230">
        <v>0.86133541696634008</v>
      </c>
      <c r="AB230">
        <v>0.62226567511817521</v>
      </c>
      <c r="AC230">
        <v>0.77600856665105633</v>
      </c>
      <c r="AD230">
        <v>0.61851732204217069</v>
      </c>
      <c r="AE230">
        <v>0.55097293988193774</v>
      </c>
      <c r="AH230">
        <v>8.7933483590911021E-2</v>
      </c>
      <c r="AI230">
        <v>0.12027408828127861</v>
      </c>
      <c r="AJ230">
        <v>9.4105043799226795E-2</v>
      </c>
      <c r="AK230">
        <v>0.10319840522451085</v>
      </c>
      <c r="AL230">
        <v>0.25511473747354574</v>
      </c>
      <c r="AM230">
        <v>0.22198664763059361</v>
      </c>
      <c r="AN230">
        <v>0.30236915334271897</v>
      </c>
      <c r="AO230">
        <v>3.9241262328700288E-2</v>
      </c>
      <c r="AR230">
        <v>8.2780666960467568E-4</v>
      </c>
      <c r="AS230">
        <v>4.1339105121313844E-3</v>
      </c>
      <c r="AT230">
        <v>4.9708741370440013E-3</v>
      </c>
      <c r="AU230">
        <v>2.2461576511769721E-3</v>
      </c>
      <c r="AV230">
        <v>2.2034547099081259E-3</v>
      </c>
      <c r="AW230">
        <v>3.2258210603538151E-3</v>
      </c>
      <c r="AX230">
        <v>4.4502241569577272E-4</v>
      </c>
      <c r="AY230">
        <v>3.2965235852137686E-4</v>
      </c>
      <c r="BB230">
        <v>4.929490169636732E-2</v>
      </c>
      <c r="BC230">
        <v>4.8444517166323364E-2</v>
      </c>
      <c r="BE230">
        <v>76675.368968693409</v>
      </c>
      <c r="BF230">
        <v>16.254421434627528</v>
      </c>
      <c r="BG230">
        <v>78011.932341648848</v>
      </c>
      <c r="BH230">
        <v>16.14595662231195</v>
      </c>
      <c r="BI230">
        <v>-1336.5633729554393</v>
      </c>
      <c r="BJ230">
        <v>0.10846481231557803</v>
      </c>
    </row>
    <row r="231" spans="3:62" x14ac:dyDescent="0.2">
      <c r="C231" s="121">
        <v>68462.834370239667</v>
      </c>
      <c r="D231" s="121">
        <v>17.01660261510068</v>
      </c>
      <c r="E231" s="121">
        <v>70432.933941101393</v>
      </c>
      <c r="F231" s="121">
        <v>16.867121251834231</v>
      </c>
      <c r="G231" s="121">
        <v>-1970.0995708617265</v>
      </c>
      <c r="H231" s="121">
        <v>0.14948136326644956</v>
      </c>
      <c r="N231" s="121"/>
      <c r="O231" s="121"/>
      <c r="P231" s="121"/>
      <c r="R231">
        <v>48.110869592290214</v>
      </c>
      <c r="S231">
        <v>64.806330640035256</v>
      </c>
      <c r="T231">
        <v>241.12645423197949</v>
      </c>
      <c r="U231">
        <v>92.564637869577197</v>
      </c>
      <c r="X231">
        <v>0.68098876668926656</v>
      </c>
      <c r="Y231">
        <v>0.91638744801595839</v>
      </c>
      <c r="Z231">
        <v>0.87257792136367529</v>
      </c>
      <c r="AA231">
        <v>0.58857156886496542</v>
      </c>
      <c r="AB231">
        <v>0.70795097995157596</v>
      </c>
      <c r="AC231">
        <v>0.67189804904315631</v>
      </c>
      <c r="AD231">
        <v>0.8233626581533513</v>
      </c>
      <c r="AE231">
        <v>0.86939838362480848</v>
      </c>
      <c r="AH231">
        <v>8.147385974311927E-2</v>
      </c>
      <c r="AI231">
        <v>7.8908743933045367E-2</v>
      </c>
      <c r="AJ231">
        <v>0.13153323102219527</v>
      </c>
      <c r="AK231">
        <v>0.1685840121057367</v>
      </c>
      <c r="AL231">
        <v>0.13674461844509911</v>
      </c>
      <c r="AM231">
        <v>9.8938662215794393E-2</v>
      </c>
      <c r="AN231">
        <v>5.2128224363800157E-2</v>
      </c>
      <c r="AO231">
        <v>0.19812504631782024</v>
      </c>
      <c r="AR231">
        <v>8.8564308114454516E-4</v>
      </c>
      <c r="AS231">
        <v>4.3657600377087153E-3</v>
      </c>
      <c r="AT231">
        <v>4.7651592045200196E-3</v>
      </c>
      <c r="AU231">
        <v>1.9154383098052906E-3</v>
      </c>
      <c r="AV231">
        <v>2.0136507209357335E-3</v>
      </c>
      <c r="AW231">
        <v>2.9800149791455008E-3</v>
      </c>
      <c r="AX231">
        <v>2.9712191347173685E-4</v>
      </c>
      <c r="AY231">
        <v>4.1125404680117622E-4</v>
      </c>
      <c r="BB231">
        <v>4.7197602655163019E-2</v>
      </c>
      <c r="BC231">
        <v>7.4282505682504052E-2</v>
      </c>
      <c r="BE231">
        <v>68462.834370239667</v>
      </c>
      <c r="BF231">
        <v>17.01660261510068</v>
      </c>
      <c r="BG231">
        <v>70432.933941101393</v>
      </c>
      <c r="BH231">
        <v>16.867121251834231</v>
      </c>
      <c r="BI231">
        <v>-1970.0995708617265</v>
      </c>
      <c r="BJ231">
        <v>0.14948136326644956</v>
      </c>
    </row>
    <row r="232" spans="3:62" x14ac:dyDescent="0.2">
      <c r="C232" s="121">
        <v>63867.795561150837</v>
      </c>
      <c r="D232" s="121">
        <v>16.509190580177876</v>
      </c>
      <c r="E232" s="121">
        <v>65564.768464972396</v>
      </c>
      <c r="F232" s="121">
        <v>16.422204490627244</v>
      </c>
      <c r="G232" s="121">
        <v>-1696.9729038215592</v>
      </c>
      <c r="H232" s="121">
        <v>8.6986089550631362E-2</v>
      </c>
      <c r="N232" s="121"/>
      <c r="O232" s="121"/>
      <c r="P232" s="121"/>
      <c r="R232">
        <v>184.00928989001019</v>
      </c>
      <c r="S232">
        <v>51.712583576682079</v>
      </c>
      <c r="T232">
        <v>221.85316482434601</v>
      </c>
      <c r="U232">
        <v>101.15367847497065</v>
      </c>
      <c r="X232">
        <v>0.81072142202017949</v>
      </c>
      <c r="Y232">
        <v>0.71912126789173747</v>
      </c>
      <c r="Z232">
        <v>0.76722764833005697</v>
      </c>
      <c r="AA232">
        <v>0.623433724564326</v>
      </c>
      <c r="AB232">
        <v>0.80413975105319124</v>
      </c>
      <c r="AC232">
        <v>0.75097957955420425</v>
      </c>
      <c r="AD232">
        <v>0.73201867920754171</v>
      </c>
      <c r="AE232">
        <v>0.37527951335181825</v>
      </c>
      <c r="AH232">
        <v>0.10341634981626457</v>
      </c>
      <c r="AI232">
        <v>3.7523491268165787E-2</v>
      </c>
      <c r="AJ232">
        <v>0.12532845936716519</v>
      </c>
      <c r="AK232">
        <v>0.17737850916877185</v>
      </c>
      <c r="AL232">
        <v>0.19457954225525143</v>
      </c>
      <c r="AM232">
        <v>0.10761909597295738</v>
      </c>
      <c r="AN232">
        <v>0.28909293675438796</v>
      </c>
      <c r="AO232">
        <v>0.21240877605308539</v>
      </c>
      <c r="AR232">
        <v>9.3164680480739559E-4</v>
      </c>
      <c r="AS232">
        <v>4.6041365459781325E-3</v>
      </c>
      <c r="AT232">
        <v>4.6247993696611148E-3</v>
      </c>
      <c r="AU232">
        <v>2.2198874331258445E-3</v>
      </c>
      <c r="AV232">
        <v>2.0050847376452685E-3</v>
      </c>
      <c r="AW232">
        <v>3.4922411346508531E-3</v>
      </c>
      <c r="AX232">
        <v>5.6318345460160124E-4</v>
      </c>
      <c r="AY232">
        <v>4.9169960755246489E-4</v>
      </c>
      <c r="BB232">
        <v>5.6829758310807832E-2</v>
      </c>
      <c r="BC232">
        <v>4.9270421043013268E-2</v>
      </c>
      <c r="BE232">
        <v>63867.795561150837</v>
      </c>
      <c r="BF232">
        <v>16.509190580177876</v>
      </c>
      <c r="BG232">
        <v>65564.768464972396</v>
      </c>
      <c r="BH232">
        <v>16.422204490627244</v>
      </c>
      <c r="BI232">
        <v>-1696.9729038215592</v>
      </c>
      <c r="BJ232">
        <v>8.6986089550631362E-2</v>
      </c>
    </row>
    <row r="233" spans="3:62" x14ac:dyDescent="0.2">
      <c r="C233" s="121">
        <v>71883.024732003658</v>
      </c>
      <c r="D233" s="121">
        <v>15.941006715702231</v>
      </c>
      <c r="E233" s="121">
        <v>74114.581485624629</v>
      </c>
      <c r="F233" s="121">
        <v>15.759084332912186</v>
      </c>
      <c r="G233" s="121">
        <v>-2231.556753620971</v>
      </c>
      <c r="H233" s="121">
        <v>0.18192238279004513</v>
      </c>
      <c r="N233" s="121"/>
      <c r="O233" s="121"/>
      <c r="P233" s="121"/>
      <c r="R233">
        <v>102.03748998020646</v>
      </c>
      <c r="S233">
        <v>65.605146704786264</v>
      </c>
      <c r="T233">
        <v>223.82695736687296</v>
      </c>
      <c r="U233">
        <v>106.18603231945356</v>
      </c>
      <c r="X233">
        <v>0.76458230920435921</v>
      </c>
      <c r="Y233">
        <v>0.82812950891258175</v>
      </c>
      <c r="Z233">
        <v>0.78651375932308865</v>
      </c>
      <c r="AA233">
        <v>0.78292145378840139</v>
      </c>
      <c r="AB233">
        <v>0.91546929635086738</v>
      </c>
      <c r="AC233">
        <v>0.94179021049797007</v>
      </c>
      <c r="AD233">
        <v>0.87814589581391445</v>
      </c>
      <c r="AE233">
        <v>0.76668668213510782</v>
      </c>
      <c r="AH233">
        <v>0.24295179845591097</v>
      </c>
      <c r="AI233">
        <v>2.6701428511575198E-3</v>
      </c>
      <c r="AJ233">
        <v>9.0165203201428845E-2</v>
      </c>
      <c r="AK233">
        <v>8.0359362200043138E-2</v>
      </c>
      <c r="AL233">
        <v>1.7529424762315116E-2</v>
      </c>
      <c r="AM233">
        <v>0.12479169587913319</v>
      </c>
      <c r="AN233">
        <v>0.12190769638657373</v>
      </c>
      <c r="AO233">
        <v>0.14533654899830628</v>
      </c>
      <c r="AR233">
        <v>8.2915555147314388E-4</v>
      </c>
      <c r="AS233">
        <v>4.3278496500112496E-3</v>
      </c>
      <c r="AT233">
        <v>4.5881202862555533E-3</v>
      </c>
      <c r="AU233">
        <v>2.1599619430867634E-3</v>
      </c>
      <c r="AV233">
        <v>2.0034942771997022E-3</v>
      </c>
      <c r="AW233">
        <v>3.6463808411720811E-3</v>
      </c>
      <c r="AX233">
        <v>3.3646448929878749E-4</v>
      </c>
      <c r="AY233">
        <v>4.580111359887562E-4</v>
      </c>
      <c r="BB233">
        <v>5.0061824184894355E-2</v>
      </c>
      <c r="BC233">
        <v>6.8972060876973273E-2</v>
      </c>
      <c r="BE233">
        <v>71883.024732003658</v>
      </c>
      <c r="BF233">
        <v>15.941006715702231</v>
      </c>
      <c r="BG233">
        <v>74114.581485624629</v>
      </c>
      <c r="BH233">
        <v>15.759084332912186</v>
      </c>
      <c r="BI233">
        <v>-2231.556753620971</v>
      </c>
      <c r="BJ233">
        <v>0.18192238279004513</v>
      </c>
    </row>
    <row r="234" spans="3:62" x14ac:dyDescent="0.2">
      <c r="C234" s="121">
        <v>67636.447672016235</v>
      </c>
      <c r="D234" s="121">
        <v>16.800842027970351</v>
      </c>
      <c r="E234" s="121">
        <v>68918.006968834015</v>
      </c>
      <c r="F234" s="121">
        <v>16.696112858724337</v>
      </c>
      <c r="G234" s="121">
        <v>-1281.5592968177807</v>
      </c>
      <c r="H234" s="121">
        <v>0.1047291692460135</v>
      </c>
      <c r="N234" s="121"/>
      <c r="O234" s="121"/>
      <c r="P234" s="121"/>
      <c r="R234">
        <v>318.04078946058775</v>
      </c>
      <c r="S234">
        <v>62.396301428953777</v>
      </c>
      <c r="T234">
        <v>297.79716018158132</v>
      </c>
      <c r="U234">
        <v>99.448559102515873</v>
      </c>
      <c r="X234">
        <v>0.6021017022072398</v>
      </c>
      <c r="Y234">
        <v>0.52293115277962676</v>
      </c>
      <c r="Z234">
        <v>0.6731411821992781</v>
      </c>
      <c r="AA234">
        <v>0.96259586828386268</v>
      </c>
      <c r="AB234">
        <v>0.85206587315577498</v>
      </c>
      <c r="AC234">
        <v>0.50269945873162059</v>
      </c>
      <c r="AD234">
        <v>0.67182011535287345</v>
      </c>
      <c r="AE234">
        <v>0.95489756655170788</v>
      </c>
      <c r="AH234">
        <v>5.5389878146505644E-2</v>
      </c>
      <c r="AI234">
        <v>0.35771977282021483</v>
      </c>
      <c r="AJ234">
        <v>2.3899037467898898E-2</v>
      </c>
      <c r="AK234">
        <v>7.0291503850966275E-2</v>
      </c>
      <c r="AL234">
        <v>0.19662405708388575</v>
      </c>
      <c r="AM234">
        <v>5.813375897720896E-2</v>
      </c>
      <c r="AN234">
        <v>2.6773800872771369E-2</v>
      </c>
      <c r="AO234">
        <v>0.13116297103852081</v>
      </c>
      <c r="AR234">
        <v>9.8792561703486825E-4</v>
      </c>
      <c r="AS234">
        <v>4.6457436113439554E-3</v>
      </c>
      <c r="AT234">
        <v>4.9380952128825883E-3</v>
      </c>
      <c r="AU234">
        <v>1.8846169380491204E-3</v>
      </c>
      <c r="AV234">
        <v>1.9745470011738315E-3</v>
      </c>
      <c r="AW234">
        <v>3.4768159774388741E-3</v>
      </c>
      <c r="AX234">
        <v>4.9918609719590279E-4</v>
      </c>
      <c r="AY234">
        <v>5.2790103800537391E-4</v>
      </c>
      <c r="BB234">
        <v>5.8946873299439484E-2</v>
      </c>
      <c r="BC234">
        <v>6.3197584691081388E-2</v>
      </c>
      <c r="BE234">
        <v>67636.447672016235</v>
      </c>
      <c r="BF234">
        <v>16.800842027970351</v>
      </c>
      <c r="BG234">
        <v>68918.006968834015</v>
      </c>
      <c r="BH234">
        <v>16.696112858724337</v>
      </c>
      <c r="BI234">
        <v>-1281.5592968177807</v>
      </c>
      <c r="BJ234">
        <v>0.1047291692460135</v>
      </c>
    </row>
    <row r="235" spans="3:62" x14ac:dyDescent="0.2">
      <c r="C235" s="121">
        <v>74868.496987340041</v>
      </c>
      <c r="D235" s="121">
        <v>14.844919915170228</v>
      </c>
      <c r="E235" s="121">
        <v>76049.967171102355</v>
      </c>
      <c r="F235" s="121">
        <v>14.745572785533096</v>
      </c>
      <c r="G235" s="121">
        <v>-1181.4701837623143</v>
      </c>
      <c r="H235" s="121">
        <v>9.934712963713288E-2</v>
      </c>
      <c r="N235" s="121"/>
      <c r="O235" s="121"/>
      <c r="P235" s="121"/>
      <c r="R235">
        <v>215.74203039882386</v>
      </c>
      <c r="S235">
        <v>52.442757523544273</v>
      </c>
      <c r="T235">
        <v>240.26483453779917</v>
      </c>
      <c r="U235">
        <v>98.999190788303778</v>
      </c>
      <c r="X235">
        <v>0.57431846288138</v>
      </c>
      <c r="Y235">
        <v>0.70997027508371058</v>
      </c>
      <c r="Z235">
        <v>0.94132312125874285</v>
      </c>
      <c r="AA235">
        <v>0.76481473406275968</v>
      </c>
      <c r="AB235">
        <v>0.80055169818859606</v>
      </c>
      <c r="AC235">
        <v>0.67139976176823679</v>
      </c>
      <c r="AD235">
        <v>0.86967434750780459</v>
      </c>
      <c r="AE235">
        <v>0.7150560455810977</v>
      </c>
      <c r="AH235">
        <v>0.16600061395511723</v>
      </c>
      <c r="AI235">
        <v>0.18277626516332357</v>
      </c>
      <c r="AJ235">
        <v>6.5890306419184697E-2</v>
      </c>
      <c r="AK235">
        <v>1.6562032953996164E-2</v>
      </c>
      <c r="AL235">
        <v>0.20040995135297779</v>
      </c>
      <c r="AM235">
        <v>0.27167713675251426</v>
      </c>
      <c r="AN235">
        <v>7.0018560093394355E-2</v>
      </c>
      <c r="AO235">
        <v>6.5774714782777188E-2</v>
      </c>
      <c r="AR235">
        <v>8.1296361767702139E-4</v>
      </c>
      <c r="AS235">
        <v>4.843049182373993E-3</v>
      </c>
      <c r="AT235">
        <v>4.5516464285640457E-3</v>
      </c>
      <c r="AU235">
        <v>1.6824086504131095E-3</v>
      </c>
      <c r="AV235">
        <v>2.0615833367011449E-3</v>
      </c>
      <c r="AW235">
        <v>3.7160718628772571E-3</v>
      </c>
      <c r="AX235">
        <v>4.1601111544775637E-4</v>
      </c>
      <c r="AY235">
        <v>4.9921572738176323E-4</v>
      </c>
      <c r="BB235">
        <v>3.5251788725123641E-2</v>
      </c>
      <c r="BC235">
        <v>6.5022640460620451E-2</v>
      </c>
      <c r="BE235">
        <v>74868.496987340041</v>
      </c>
      <c r="BF235">
        <v>14.844919915170228</v>
      </c>
      <c r="BG235">
        <v>76049.967171102355</v>
      </c>
      <c r="BH235">
        <v>14.745572785533096</v>
      </c>
      <c r="BI235">
        <v>-1181.4701837623143</v>
      </c>
      <c r="BJ235">
        <v>9.934712963713288E-2</v>
      </c>
    </row>
    <row r="236" spans="3:62" x14ac:dyDescent="0.2">
      <c r="C236" s="121">
        <v>71340.660050816849</v>
      </c>
      <c r="D236" s="121">
        <v>16.542099273913095</v>
      </c>
      <c r="E236" s="121">
        <v>73395.349906439675</v>
      </c>
      <c r="F236" s="121">
        <v>16.409108699734766</v>
      </c>
      <c r="G236" s="121">
        <v>-2054.6898556228261</v>
      </c>
      <c r="H236" s="121">
        <v>0.13299057417832927</v>
      </c>
      <c r="N236" s="121"/>
      <c r="O236" s="121"/>
      <c r="P236" s="121"/>
      <c r="R236">
        <v>205.59746773486458</v>
      </c>
      <c r="S236">
        <v>66.615586811236327</v>
      </c>
      <c r="T236">
        <v>252.79952873313349</v>
      </c>
      <c r="U236">
        <v>90.39537032475009</v>
      </c>
      <c r="X236">
        <v>0.97530691198981523</v>
      </c>
      <c r="Y236">
        <v>0.93520188481994104</v>
      </c>
      <c r="Z236">
        <v>0.68820086643843048</v>
      </c>
      <c r="AA236">
        <v>0.89045014487792573</v>
      </c>
      <c r="AB236">
        <v>0.57821767969281002</v>
      </c>
      <c r="AC236">
        <v>0.74307888572851521</v>
      </c>
      <c r="AD236">
        <v>0.74433980314239756</v>
      </c>
      <c r="AE236">
        <v>0.79191607776743855</v>
      </c>
      <c r="AH236">
        <v>0.10957854220874719</v>
      </c>
      <c r="AI236">
        <v>6.8869916089140393E-2</v>
      </c>
      <c r="AJ236">
        <v>0.13504098012989418</v>
      </c>
      <c r="AK236">
        <v>0.14542997263858659</v>
      </c>
      <c r="AL236">
        <v>9.9791595271057743E-2</v>
      </c>
      <c r="AM236">
        <v>0.137609284062708</v>
      </c>
      <c r="AN236">
        <v>0.16766822189513253</v>
      </c>
      <c r="AO236">
        <v>2.2018445151828714E-2</v>
      </c>
      <c r="AR236">
        <v>8.4591449713178996E-4</v>
      </c>
      <c r="AS236">
        <v>4.5459716493100322E-3</v>
      </c>
      <c r="AT236">
        <v>4.7749055829919042E-3</v>
      </c>
      <c r="AU236">
        <v>2.0571669897373468E-3</v>
      </c>
      <c r="AV236">
        <v>2.1440143972534242E-3</v>
      </c>
      <c r="AW236">
        <v>3.241901561027093E-3</v>
      </c>
      <c r="AX236">
        <v>4.2325351307259673E-4</v>
      </c>
      <c r="AY236">
        <v>5.3812954575749306E-4</v>
      </c>
      <c r="BB236">
        <v>6.1005242416053984E-2</v>
      </c>
      <c r="BC236">
        <v>2.1820349417833569E-2</v>
      </c>
      <c r="BE236">
        <v>71340.660050816849</v>
      </c>
      <c r="BF236">
        <v>16.542099273913095</v>
      </c>
      <c r="BG236">
        <v>73395.349906439675</v>
      </c>
      <c r="BH236">
        <v>16.409108699734766</v>
      </c>
      <c r="BI236">
        <v>-2054.6898556228261</v>
      </c>
      <c r="BJ236">
        <v>0.13299057417832927</v>
      </c>
    </row>
    <row r="237" spans="3:62" x14ac:dyDescent="0.2">
      <c r="C237" s="121">
        <v>72131.682681230042</v>
      </c>
      <c r="D237" s="121">
        <v>14.307082402717159</v>
      </c>
      <c r="E237" s="121">
        <v>74037.849077052684</v>
      </c>
      <c r="F237" s="121">
        <v>14.235232191600488</v>
      </c>
      <c r="G237" s="121">
        <v>-1906.1663958226418</v>
      </c>
      <c r="H237" s="121">
        <v>7.1850211116670337E-2</v>
      </c>
      <c r="N237" s="121"/>
      <c r="O237" s="121"/>
      <c r="P237" s="121"/>
      <c r="R237">
        <v>317.23397034099912</v>
      </c>
      <c r="S237">
        <v>61.884926154242734</v>
      </c>
      <c r="T237">
        <v>231.80694380154958</v>
      </c>
      <c r="U237">
        <v>91.150085436562719</v>
      </c>
      <c r="X237">
        <v>0.52426840291026666</v>
      </c>
      <c r="Y237">
        <v>0.70367081281783106</v>
      </c>
      <c r="Z237">
        <v>0.69016933769020017</v>
      </c>
      <c r="AA237">
        <v>0.6512942253140348</v>
      </c>
      <c r="AB237">
        <v>0.94931133679378576</v>
      </c>
      <c r="AC237">
        <v>0.73990615019863248</v>
      </c>
      <c r="AD237">
        <v>0.51373210013684889</v>
      </c>
      <c r="AE237">
        <v>0.93940756941690662</v>
      </c>
      <c r="AH237">
        <v>0.28367135450300229</v>
      </c>
      <c r="AI237">
        <v>9.234161885809633E-2</v>
      </c>
      <c r="AJ237">
        <v>1.9324734843609082E-2</v>
      </c>
      <c r="AK237">
        <v>0.11555626316765644</v>
      </c>
      <c r="AL237">
        <v>0.15511538238283673</v>
      </c>
      <c r="AM237">
        <v>0.13600245478922612</v>
      </c>
      <c r="AN237">
        <v>0.28904394712606518</v>
      </c>
      <c r="AO237">
        <v>0.14251741931903661</v>
      </c>
      <c r="AR237">
        <v>9.1604160115910105E-4</v>
      </c>
      <c r="AS237">
        <v>4.4619986414655855E-3</v>
      </c>
      <c r="AT237">
        <v>5.297421498331345E-3</v>
      </c>
      <c r="AU237">
        <v>2.1821556799931363E-3</v>
      </c>
      <c r="AV237">
        <v>1.9108644431291794E-3</v>
      </c>
      <c r="AW237">
        <v>3.1822091669590396E-3</v>
      </c>
      <c r="AX237">
        <v>4.0429432802757681E-4</v>
      </c>
      <c r="AY237">
        <v>4.4844817483680188E-4</v>
      </c>
      <c r="BB237">
        <v>4.3467972389826512E-2</v>
      </c>
      <c r="BC237">
        <v>6.576544486851521E-2</v>
      </c>
      <c r="BE237">
        <v>72131.682681230042</v>
      </c>
      <c r="BF237">
        <v>14.307082402717159</v>
      </c>
      <c r="BG237">
        <v>74037.849077052684</v>
      </c>
      <c r="BH237">
        <v>14.235232191600488</v>
      </c>
      <c r="BI237">
        <v>-1906.1663958226418</v>
      </c>
      <c r="BJ237">
        <v>7.1850211116670337E-2</v>
      </c>
    </row>
    <row r="238" spans="3:62" x14ac:dyDescent="0.2">
      <c r="C238" s="121">
        <v>70196.477915070107</v>
      </c>
      <c r="D238" s="121">
        <v>16.482963363285876</v>
      </c>
      <c r="E238" s="121">
        <v>71947.500722974524</v>
      </c>
      <c r="F238" s="121">
        <v>16.324265574340945</v>
      </c>
      <c r="G238" s="121">
        <v>-1751.0228079044173</v>
      </c>
      <c r="H238" s="121">
        <v>0.15869778894493081</v>
      </c>
      <c r="N238" s="121"/>
      <c r="O238" s="121"/>
      <c r="P238" s="121"/>
      <c r="R238">
        <v>347.33670116352948</v>
      </c>
      <c r="S238">
        <v>63.939911932881323</v>
      </c>
      <c r="T238">
        <v>234.69257969808575</v>
      </c>
      <c r="U238">
        <v>106.82353892037747</v>
      </c>
      <c r="X238">
        <v>0.79267536255886628</v>
      </c>
      <c r="Y238">
        <v>0.40868444530027404</v>
      </c>
      <c r="Z238">
        <v>0.86732933575843962</v>
      </c>
      <c r="AA238">
        <v>0.72702519018677803</v>
      </c>
      <c r="AB238">
        <v>0.96363776906537457</v>
      </c>
      <c r="AC238">
        <v>0.71581630732508494</v>
      </c>
      <c r="AD238">
        <v>0.85600180679655846</v>
      </c>
      <c r="AE238">
        <v>0.69824192047336231</v>
      </c>
      <c r="AH238">
        <v>0.23980650810000281</v>
      </c>
      <c r="AI238">
        <v>0.24479269079051047</v>
      </c>
      <c r="AJ238">
        <v>0.20853869795530955</v>
      </c>
      <c r="AK238">
        <v>0.11309126571220529</v>
      </c>
      <c r="AL238">
        <v>0.14522869745579592</v>
      </c>
      <c r="AM238">
        <v>4.5963589009601402E-2</v>
      </c>
      <c r="AN238">
        <v>0.14497290784549077</v>
      </c>
      <c r="AO238">
        <v>0.10418564423202059</v>
      </c>
      <c r="AR238">
        <v>8.3716424671043067E-4</v>
      </c>
      <c r="AS238">
        <v>4.3802461522117007E-3</v>
      </c>
      <c r="AT238">
        <v>4.9649527213894151E-3</v>
      </c>
      <c r="AU238">
        <v>2.1025172281883275E-3</v>
      </c>
      <c r="AV238">
        <v>1.8861290133746643E-3</v>
      </c>
      <c r="AW238">
        <v>3.2764825065094145E-3</v>
      </c>
      <c r="AX238">
        <v>3.9830002193863567E-4</v>
      </c>
      <c r="AY238">
        <v>5.006138881306077E-4</v>
      </c>
      <c r="BB238">
        <v>4.4986525841995993E-2</v>
      </c>
      <c r="BC238">
        <v>3.7455159088229877E-2</v>
      </c>
      <c r="BE238">
        <v>70196.477915070107</v>
      </c>
      <c r="BF238">
        <v>16.482963363285876</v>
      </c>
      <c r="BG238">
        <v>71947.500722974524</v>
      </c>
      <c r="BH238">
        <v>16.324265574340945</v>
      </c>
      <c r="BI238">
        <v>-1751.0228079044173</v>
      </c>
      <c r="BJ238">
        <v>0.15869778894493081</v>
      </c>
    </row>
    <row r="239" spans="3:62" x14ac:dyDescent="0.2">
      <c r="C239" s="121">
        <v>67129.055377894314</v>
      </c>
      <c r="D239" s="121">
        <v>15.46715407314138</v>
      </c>
      <c r="E239" s="121">
        <v>69101.699748822168</v>
      </c>
      <c r="F239" s="121">
        <v>15.288868359391083</v>
      </c>
      <c r="G239" s="121">
        <v>-1972.6443709278537</v>
      </c>
      <c r="H239" s="121">
        <v>0.17828571375029689</v>
      </c>
      <c r="N239" s="121"/>
      <c r="O239" s="121"/>
      <c r="P239" s="121"/>
      <c r="R239">
        <v>341.03128328851767</v>
      </c>
      <c r="S239">
        <v>62.102646169381984</v>
      </c>
      <c r="T239">
        <v>297.30536084850053</v>
      </c>
      <c r="U239">
        <v>103.45443971558808</v>
      </c>
      <c r="X239">
        <v>0.72917491316183458</v>
      </c>
      <c r="Y239">
        <v>0.8464971421496944</v>
      </c>
      <c r="Z239">
        <v>0.76857195963184954</v>
      </c>
      <c r="AA239">
        <v>0.78105905486054439</v>
      </c>
      <c r="AB239">
        <v>0.95232248709692735</v>
      </c>
      <c r="AC239">
        <v>0.62455505088523566</v>
      </c>
      <c r="AD239">
        <v>0.40177052357629711</v>
      </c>
      <c r="AE239">
        <v>0.87158650221607314</v>
      </c>
      <c r="AH239">
        <v>7.0350166176853079E-2</v>
      </c>
      <c r="AI239">
        <v>7.2808755077568788E-2</v>
      </c>
      <c r="AJ239">
        <v>0.15330356281453794</v>
      </c>
      <c r="AK239">
        <v>0.17912210596329314</v>
      </c>
      <c r="AL239">
        <v>9.317828985603871E-2</v>
      </c>
      <c r="AM239">
        <v>0.12573316912992794</v>
      </c>
      <c r="AN239">
        <v>4.7665689877375517E-2</v>
      </c>
      <c r="AO239">
        <v>0.1927979633900635</v>
      </c>
      <c r="AR239">
        <v>9.4492876152185712E-4</v>
      </c>
      <c r="AS239">
        <v>4.6768011329353376E-3</v>
      </c>
      <c r="AT239">
        <v>4.9017054938749827E-3</v>
      </c>
      <c r="AU239">
        <v>2.0245127662337215E-3</v>
      </c>
      <c r="AV239">
        <v>1.7529225123235849E-3</v>
      </c>
      <c r="AW239">
        <v>3.1826836078489634E-3</v>
      </c>
      <c r="AX239">
        <v>4.748267993153199E-4</v>
      </c>
      <c r="AY239">
        <v>5.2683897581695671E-4</v>
      </c>
      <c r="BB239">
        <v>4.9488615781065053E-2</v>
      </c>
      <c r="BC239">
        <v>6.3283657460447951E-2</v>
      </c>
      <c r="BE239">
        <v>67129.055377894314</v>
      </c>
      <c r="BF239">
        <v>15.46715407314138</v>
      </c>
      <c r="BG239">
        <v>69101.699748822168</v>
      </c>
      <c r="BH239">
        <v>15.288868359391083</v>
      </c>
      <c r="BI239">
        <v>-1972.6443709278537</v>
      </c>
      <c r="BJ239">
        <v>0.17828571375029689</v>
      </c>
    </row>
    <row r="240" spans="3:62" x14ac:dyDescent="0.2">
      <c r="C240" s="121">
        <v>66607.358573787205</v>
      </c>
      <c r="D240" s="121">
        <v>15.757606510539588</v>
      </c>
      <c r="E240" s="121">
        <v>68502.362946174399</v>
      </c>
      <c r="F240" s="121">
        <v>15.597631658788238</v>
      </c>
      <c r="G240" s="121">
        <v>-1895.0043723871931</v>
      </c>
      <c r="H240" s="121">
        <v>0.1599748517513504</v>
      </c>
      <c r="N240" s="121"/>
      <c r="O240" s="121"/>
      <c r="P240" s="121"/>
      <c r="R240">
        <v>337.53982526797751</v>
      </c>
      <c r="S240">
        <v>75.577374195337526</v>
      </c>
      <c r="T240">
        <v>266.06900793602694</v>
      </c>
      <c r="U240">
        <v>84.043875222586081</v>
      </c>
      <c r="X240">
        <v>0.72173048486296343</v>
      </c>
      <c r="Y240">
        <v>0.77924547346329964</v>
      </c>
      <c r="Z240">
        <v>0.74178582392487824</v>
      </c>
      <c r="AA240">
        <v>0.92602957475691439</v>
      </c>
      <c r="AB240">
        <v>0.47652019493782033</v>
      </c>
      <c r="AC240">
        <v>0.60735590049237287</v>
      </c>
      <c r="AD240">
        <v>0.46001959562676414</v>
      </c>
      <c r="AE240">
        <v>0.81938623107199149</v>
      </c>
      <c r="AH240">
        <v>0.24766298969752787</v>
      </c>
      <c r="AI240">
        <v>0.17475027162878887</v>
      </c>
      <c r="AJ240">
        <v>0.14699972693081609</v>
      </c>
      <c r="AK240">
        <v>6.0514411031720061E-2</v>
      </c>
      <c r="AL240">
        <v>3.6867190437374631E-2</v>
      </c>
      <c r="AM240">
        <v>2.3677202495997252E-2</v>
      </c>
      <c r="AN240">
        <v>9.1986023982252529E-2</v>
      </c>
      <c r="AO240">
        <v>8.8694526830083387E-2</v>
      </c>
      <c r="AR240">
        <v>7.9945274891447197E-4</v>
      </c>
      <c r="AS240">
        <v>4.634173370722583E-3</v>
      </c>
      <c r="AT240">
        <v>4.8584708662964375E-3</v>
      </c>
      <c r="AU240">
        <v>2.0501967899865248E-3</v>
      </c>
      <c r="AV240">
        <v>2.0020083332283889E-3</v>
      </c>
      <c r="AW240">
        <v>3.7635250685449373E-3</v>
      </c>
      <c r="AX240">
        <v>3.4084315531584619E-4</v>
      </c>
      <c r="AY240">
        <v>4.6603547428503145E-4</v>
      </c>
      <c r="BB240">
        <v>4.8417683142935299E-2</v>
      </c>
      <c r="BC240">
        <v>4.7987799388507613E-2</v>
      </c>
      <c r="BE240">
        <v>66607.358573787205</v>
      </c>
      <c r="BF240">
        <v>15.757606510539588</v>
      </c>
      <c r="BG240">
        <v>68502.362946174399</v>
      </c>
      <c r="BH240">
        <v>15.597631658788238</v>
      </c>
      <c r="BI240">
        <v>-1895.0043723871931</v>
      </c>
      <c r="BJ240">
        <v>0.1599748517513504</v>
      </c>
    </row>
    <row r="241" spans="3:62" x14ac:dyDescent="0.2">
      <c r="C241" s="121">
        <v>67374.981044789878</v>
      </c>
      <c r="D241" s="121">
        <v>15.60408216010137</v>
      </c>
      <c r="E241" s="121">
        <v>68372.613849184258</v>
      </c>
      <c r="F241" s="121">
        <v>15.46281028997641</v>
      </c>
      <c r="G241" s="121">
        <v>-997.63280439437949</v>
      </c>
      <c r="H241" s="121">
        <v>0.14127187012496023</v>
      </c>
      <c r="N241" s="121"/>
      <c r="O241" s="121"/>
      <c r="P241" s="121"/>
      <c r="R241">
        <v>267.21232522837914</v>
      </c>
      <c r="S241">
        <v>64.920212784504287</v>
      </c>
      <c r="T241">
        <v>252.79130330026743</v>
      </c>
      <c r="U241">
        <v>109.97360736265136</v>
      </c>
      <c r="X241">
        <v>0.89364052408439332</v>
      </c>
      <c r="Y241">
        <v>0.85122634485994653</v>
      </c>
      <c r="Z241">
        <v>0.81302474449013562</v>
      </c>
      <c r="AA241">
        <v>0.6549418755067683</v>
      </c>
      <c r="AB241">
        <v>0.67917027459293899</v>
      </c>
      <c r="AC241">
        <v>0.84526099581766823</v>
      </c>
      <c r="AD241">
        <v>0.92599988910855546</v>
      </c>
      <c r="AE241">
        <v>0.79540259290971238</v>
      </c>
      <c r="AH241">
        <v>0.21262054749575254</v>
      </c>
      <c r="AI241">
        <v>6.6555997489762486E-2</v>
      </c>
      <c r="AJ241">
        <v>9.6696085084855943E-2</v>
      </c>
      <c r="AK241">
        <v>0.22703261795096552</v>
      </c>
      <c r="AL241">
        <v>0.21389430812612209</v>
      </c>
      <c r="AM241">
        <v>0.17641838768458684</v>
      </c>
      <c r="AN241">
        <v>8.2181981257986703E-2</v>
      </c>
      <c r="AO241">
        <v>3.1489296671169731E-2</v>
      </c>
      <c r="AR241">
        <v>9.8466111079420493E-4</v>
      </c>
      <c r="AS241">
        <v>4.399350598136881E-3</v>
      </c>
      <c r="AT241">
        <v>4.8675345421044262E-3</v>
      </c>
      <c r="AU241">
        <v>1.9314928014773751E-3</v>
      </c>
      <c r="AV241">
        <v>1.9854604230160884E-3</v>
      </c>
      <c r="AW241">
        <v>3.3710958414147046E-3</v>
      </c>
      <c r="AX241">
        <v>5.400993434083734E-4</v>
      </c>
      <c r="AY241">
        <v>4.5691814985227008E-4</v>
      </c>
      <c r="BB241">
        <v>4.8538831425187313E-2</v>
      </c>
      <c r="BC241">
        <v>0.11746149400369443</v>
      </c>
      <c r="BE241">
        <v>67374.981044789878</v>
      </c>
      <c r="BF241">
        <v>15.60408216010137</v>
      </c>
      <c r="BG241">
        <v>68372.613849184258</v>
      </c>
      <c r="BH241">
        <v>15.46281028997641</v>
      </c>
      <c r="BI241">
        <v>-997.63280439437949</v>
      </c>
      <c r="BJ241">
        <v>0.14127187012496023</v>
      </c>
    </row>
    <row r="242" spans="3:62" x14ac:dyDescent="0.2">
      <c r="C242" s="121">
        <v>73971.4936451143</v>
      </c>
      <c r="D242" s="121">
        <v>16.354650453257133</v>
      </c>
      <c r="E242" s="121">
        <v>75711.455439420344</v>
      </c>
      <c r="F242" s="121">
        <v>16.2414158321406</v>
      </c>
      <c r="G242" s="121">
        <v>-1739.9617943060439</v>
      </c>
      <c r="H242" s="121">
        <v>0.11323462111653271</v>
      </c>
      <c r="N242" s="121"/>
      <c r="O242" s="121"/>
      <c r="P242" s="121"/>
      <c r="R242">
        <v>329.18530526602274</v>
      </c>
      <c r="S242">
        <v>52.502092599893764</v>
      </c>
      <c r="T242">
        <v>263.38987779892261</v>
      </c>
      <c r="U242">
        <v>80.3528591386427</v>
      </c>
      <c r="X242">
        <v>0.67253440220532346</v>
      </c>
      <c r="Y242">
        <v>0.74065564558283759</v>
      </c>
      <c r="Z242">
        <v>0.83988578309555839</v>
      </c>
      <c r="AA242">
        <v>0.85635705424937925</v>
      </c>
      <c r="AB242">
        <v>0.90140043186860419</v>
      </c>
      <c r="AC242">
        <v>0.9175787074853865</v>
      </c>
      <c r="AD242">
        <v>0.5473982723155344</v>
      </c>
      <c r="AE242">
        <v>0.71432182755956297</v>
      </c>
      <c r="AH242">
        <v>6.0467740573154183E-2</v>
      </c>
      <c r="AI242">
        <v>0.23702239490989563</v>
      </c>
      <c r="AJ242">
        <v>0.11902985189041626</v>
      </c>
      <c r="AK242">
        <v>4.6991496712831538E-3</v>
      </c>
      <c r="AL242">
        <v>5.7514628476863061E-2</v>
      </c>
      <c r="AM242">
        <v>8.3806389308649143E-2</v>
      </c>
      <c r="AN242">
        <v>0.24536330187429689</v>
      </c>
      <c r="AO242">
        <v>6.1693385971941406E-2</v>
      </c>
      <c r="AR242">
        <v>9.958126118165822E-4</v>
      </c>
      <c r="AS242">
        <v>4.7427347885796722E-3</v>
      </c>
      <c r="AT242">
        <v>4.7721575763187956E-3</v>
      </c>
      <c r="AU242">
        <v>2.1155724178226754E-3</v>
      </c>
      <c r="AV242">
        <v>2.0628864232965505E-3</v>
      </c>
      <c r="AW242">
        <v>3.4373808935775907E-3</v>
      </c>
      <c r="AX242">
        <v>3.5263492014025435E-4</v>
      </c>
      <c r="AY242">
        <v>5.1845586611742878E-4</v>
      </c>
      <c r="BB242">
        <v>5.0415076385104451E-2</v>
      </c>
      <c r="BC242">
        <v>4.5513769396931039E-2</v>
      </c>
      <c r="BE242">
        <v>73971.4936451143</v>
      </c>
      <c r="BF242">
        <v>16.354650453257133</v>
      </c>
      <c r="BG242">
        <v>75711.455439420344</v>
      </c>
      <c r="BH242">
        <v>16.2414158321406</v>
      </c>
      <c r="BI242">
        <v>-1739.9617943060439</v>
      </c>
      <c r="BJ242">
        <v>0.11323462111653271</v>
      </c>
    </row>
    <row r="243" spans="3:62" x14ac:dyDescent="0.2">
      <c r="C243" s="121">
        <v>73919.000418060445</v>
      </c>
      <c r="D243" s="121">
        <v>16.099331100875574</v>
      </c>
      <c r="E243" s="121">
        <v>76186.543332604473</v>
      </c>
      <c r="F243" s="121">
        <v>15.916602545313282</v>
      </c>
      <c r="G243" s="121">
        <v>-2267.5429145440285</v>
      </c>
      <c r="H243" s="121">
        <v>0.18272855556229217</v>
      </c>
      <c r="N243" s="121"/>
      <c r="O243" s="121"/>
      <c r="P243" s="121"/>
      <c r="R243">
        <v>317.30153323616372</v>
      </c>
      <c r="S243">
        <v>59.735716961529242</v>
      </c>
      <c r="T243">
        <v>258.60850293208546</v>
      </c>
      <c r="U243">
        <v>102.34888406289204</v>
      </c>
      <c r="X243">
        <v>0.83311564841912655</v>
      </c>
      <c r="Y243">
        <v>0.7645582872624539</v>
      </c>
      <c r="Z243">
        <v>0.86410271237652669</v>
      </c>
      <c r="AA243">
        <v>0.86467890960307958</v>
      </c>
      <c r="AB243">
        <v>0.84494999256267034</v>
      </c>
      <c r="AC243">
        <v>0.82115322567649729</v>
      </c>
      <c r="AD243">
        <v>0.67289518101324097</v>
      </c>
      <c r="AE243">
        <v>0.52079660080412515</v>
      </c>
      <c r="AH243">
        <v>7.786318006960502E-2</v>
      </c>
      <c r="AI243">
        <v>3.1442438398474049E-2</v>
      </c>
      <c r="AJ243">
        <v>0.26826719749398098</v>
      </c>
      <c r="AK243">
        <v>6.1278719655089464E-2</v>
      </c>
      <c r="AL243">
        <v>0.29437847233220338</v>
      </c>
      <c r="AM243">
        <v>0.10383451761751417</v>
      </c>
      <c r="AN243">
        <v>0.2875891718033301</v>
      </c>
      <c r="AO243">
        <v>0.14538615999963833</v>
      </c>
      <c r="AR243">
        <v>8.6350994225876205E-4</v>
      </c>
      <c r="AS243">
        <v>4.3679142989145941E-3</v>
      </c>
      <c r="AT243">
        <v>5.0280217914181469E-3</v>
      </c>
      <c r="AU243">
        <v>1.8968083588060392E-3</v>
      </c>
      <c r="AV243">
        <v>1.9890860398158058E-3</v>
      </c>
      <c r="AW243">
        <v>3.4458625670678034E-3</v>
      </c>
      <c r="AX243">
        <v>4.5768710161064874E-4</v>
      </c>
      <c r="AY243">
        <v>4.1319701469051841E-4</v>
      </c>
      <c r="BB243">
        <v>4.8694761575531278E-2</v>
      </c>
      <c r="BC243">
        <v>4.8580909875550193E-2</v>
      </c>
      <c r="BE243">
        <v>73919.000418060445</v>
      </c>
      <c r="BF243">
        <v>16.099331100875574</v>
      </c>
      <c r="BG243">
        <v>76186.543332604473</v>
      </c>
      <c r="BH243">
        <v>15.916602545313282</v>
      </c>
      <c r="BI243">
        <v>-2267.5429145440285</v>
      </c>
      <c r="BJ243">
        <v>0.18272855556229217</v>
      </c>
    </row>
    <row r="244" spans="3:62" x14ac:dyDescent="0.2">
      <c r="C244" s="121">
        <v>69298.606454584427</v>
      </c>
      <c r="D244" s="121">
        <v>17.608173783252152</v>
      </c>
      <c r="E244" s="121">
        <v>71067.13296342126</v>
      </c>
      <c r="F244" s="121">
        <v>17.48068898380922</v>
      </c>
      <c r="G244" s="121">
        <v>-1768.5265088368324</v>
      </c>
      <c r="H244" s="121">
        <v>0.12748479944293223</v>
      </c>
      <c r="N244" s="121"/>
      <c r="O244" s="121"/>
      <c r="P244" s="121"/>
      <c r="R244">
        <v>375.49477766808275</v>
      </c>
      <c r="S244">
        <v>54.259828091765272</v>
      </c>
      <c r="T244">
        <v>272.02260181898833</v>
      </c>
      <c r="U244">
        <v>86.735285814392867</v>
      </c>
      <c r="X244">
        <v>0.8357591500529078</v>
      </c>
      <c r="Y244">
        <v>0.71316217077010868</v>
      </c>
      <c r="Z244">
        <v>0.90430265682586186</v>
      </c>
      <c r="AA244">
        <v>0.78099858268192879</v>
      </c>
      <c r="AB244">
        <v>0.70780553877776264</v>
      </c>
      <c r="AC244">
        <v>0.70247546282782136</v>
      </c>
      <c r="AD244">
        <v>0.7968315190447598</v>
      </c>
      <c r="AE244">
        <v>0.73958575732190024</v>
      </c>
      <c r="AH244">
        <v>3.2463997850212478E-2</v>
      </c>
      <c r="AI244">
        <v>6.8596862073828202E-2</v>
      </c>
      <c r="AJ244">
        <v>2.3676742198070588E-2</v>
      </c>
      <c r="AK244">
        <v>6.4712404994310191E-2</v>
      </c>
      <c r="AL244">
        <v>6.6023991208985278E-2</v>
      </c>
      <c r="AM244">
        <v>0.11067954213364606</v>
      </c>
      <c r="AN244">
        <v>0.22866320944146945</v>
      </c>
      <c r="AO244">
        <v>0.15171699692708762</v>
      </c>
      <c r="AR244">
        <v>9.1397381933544519E-4</v>
      </c>
      <c r="AS244">
        <v>4.5540395926738642E-3</v>
      </c>
      <c r="AT244">
        <v>5.051524671108365E-3</v>
      </c>
      <c r="AU244">
        <v>1.977824923611554E-3</v>
      </c>
      <c r="AV244">
        <v>1.8877007758422058E-3</v>
      </c>
      <c r="AW244">
        <v>3.4015597259604252E-3</v>
      </c>
      <c r="AX244">
        <v>4.8322177456816551E-4</v>
      </c>
      <c r="AY244">
        <v>5.1997971206119153E-4</v>
      </c>
      <c r="BB244">
        <v>5.0488656763800766E-2</v>
      </c>
      <c r="BC244">
        <v>3.3397623731008061E-2</v>
      </c>
      <c r="BE244">
        <v>69298.606454584427</v>
      </c>
      <c r="BF244">
        <v>17.608173783252152</v>
      </c>
      <c r="BG244">
        <v>71067.13296342126</v>
      </c>
      <c r="BH244">
        <v>17.48068898380922</v>
      </c>
      <c r="BI244">
        <v>-1768.5265088368324</v>
      </c>
      <c r="BJ244">
        <v>0.12748479944293223</v>
      </c>
    </row>
    <row r="245" spans="3:62" x14ac:dyDescent="0.2">
      <c r="C245" s="121">
        <v>78298.435987002071</v>
      </c>
      <c r="D245" s="121">
        <v>15.127636092372972</v>
      </c>
      <c r="E245" s="121">
        <v>80048.904438775819</v>
      </c>
      <c r="F245" s="121">
        <v>14.972954156551285</v>
      </c>
      <c r="G245" s="121">
        <v>-1750.4684517737478</v>
      </c>
      <c r="H245" s="121">
        <v>0.15468193582168688</v>
      </c>
      <c r="N245" s="121"/>
      <c r="O245" s="121"/>
      <c r="P245" s="121"/>
      <c r="R245">
        <v>193.57199633440243</v>
      </c>
      <c r="S245">
        <v>66.651157506054602</v>
      </c>
      <c r="T245">
        <v>261.17388181042543</v>
      </c>
      <c r="U245">
        <v>84.259154004592332</v>
      </c>
      <c r="X245">
        <v>0.82365330278073312</v>
      </c>
      <c r="Y245">
        <v>0.95344979460200407</v>
      </c>
      <c r="Z245">
        <v>0.83798433958623808</v>
      </c>
      <c r="AA245">
        <v>0.79817903414528202</v>
      </c>
      <c r="AB245">
        <v>0.58927990727965929</v>
      </c>
      <c r="AC245">
        <v>0.7157580409612464</v>
      </c>
      <c r="AD245">
        <v>0.92956949504871023</v>
      </c>
      <c r="AE245">
        <v>0.69615176538284707</v>
      </c>
      <c r="AH245">
        <v>0.20740016098888014</v>
      </c>
      <c r="AI245">
        <v>5.2448749981023335E-2</v>
      </c>
      <c r="AJ245">
        <v>0.17427532526465361</v>
      </c>
      <c r="AK245">
        <v>5.0741112798950216E-2</v>
      </c>
      <c r="AL245">
        <v>9.2922361711102575E-2</v>
      </c>
      <c r="AM245">
        <v>0.11031281259893644</v>
      </c>
      <c r="AN245">
        <v>0.10858860682708182</v>
      </c>
      <c r="AO245">
        <v>0.14332477037650571</v>
      </c>
      <c r="AR245">
        <v>8.1963252188066579E-4</v>
      </c>
      <c r="AS245">
        <v>4.6652671804089385E-3</v>
      </c>
      <c r="AT245">
        <v>5.009059004261851E-3</v>
      </c>
      <c r="AU245">
        <v>2.0141619168136948E-3</v>
      </c>
      <c r="AV245">
        <v>1.8078728649607665E-3</v>
      </c>
      <c r="AW245">
        <v>3.3806399253330922E-3</v>
      </c>
      <c r="AX245">
        <v>3.6552652821676641E-4</v>
      </c>
      <c r="AY245">
        <v>5.0846331959808477E-4</v>
      </c>
      <c r="BB245">
        <v>4.9021373986311942E-2</v>
      </c>
      <c r="BC245">
        <v>3.7472065579881898E-2</v>
      </c>
      <c r="BE245">
        <v>78298.435987002071</v>
      </c>
      <c r="BF245">
        <v>15.127636092372972</v>
      </c>
      <c r="BG245">
        <v>80048.904438775819</v>
      </c>
      <c r="BH245">
        <v>14.972954156551285</v>
      </c>
      <c r="BI245">
        <v>-1750.4684517737478</v>
      </c>
      <c r="BJ245">
        <v>0.15468193582168688</v>
      </c>
    </row>
    <row r="246" spans="3:62" x14ac:dyDescent="0.2">
      <c r="C246" s="121">
        <v>66419.069564012389</v>
      </c>
      <c r="D246" s="121">
        <v>16.409912331057651</v>
      </c>
      <c r="E246" s="121">
        <v>67971.771781881136</v>
      </c>
      <c r="F246" s="121">
        <v>16.26789801400049</v>
      </c>
      <c r="G246" s="121">
        <v>-1552.7022178687475</v>
      </c>
      <c r="H246" s="121">
        <v>0.14201431705716061</v>
      </c>
      <c r="N246" s="121"/>
      <c r="O246" s="121"/>
      <c r="P246" s="121"/>
      <c r="R246">
        <v>235.65878871292213</v>
      </c>
      <c r="S246">
        <v>49.378152989852182</v>
      </c>
      <c r="T246">
        <v>252.50007312548252</v>
      </c>
      <c r="U246">
        <v>81.088961729112086</v>
      </c>
      <c r="X246">
        <v>0.66427654634227573</v>
      </c>
      <c r="Y246">
        <v>0.87270937054421871</v>
      </c>
      <c r="Z246">
        <v>0.73220335689635152</v>
      </c>
      <c r="AA246">
        <v>0.82996077937950996</v>
      </c>
      <c r="AB246">
        <v>0.85873126244704823</v>
      </c>
      <c r="AC246">
        <v>0.85151769342343264</v>
      </c>
      <c r="AD246">
        <v>0.88886881625561065</v>
      </c>
      <c r="AE246">
        <v>0.58489077316596438</v>
      </c>
      <c r="AH246">
        <v>6.5908507578389397E-2</v>
      </c>
      <c r="AI246">
        <v>0.11765648898307468</v>
      </c>
      <c r="AJ246">
        <v>0.10321993441002397</v>
      </c>
      <c r="AK246">
        <v>9.0498702651104823E-2</v>
      </c>
      <c r="AL246">
        <v>3.1977286222861556E-2</v>
      </c>
      <c r="AM246">
        <v>0.22943121537789346</v>
      </c>
      <c r="AN246">
        <v>6.3516934763378163E-2</v>
      </c>
      <c r="AO246">
        <v>5.007295524144928E-2</v>
      </c>
      <c r="AR246">
        <v>7.3714195599202293E-4</v>
      </c>
      <c r="AS246">
        <v>4.1573910248235771E-3</v>
      </c>
      <c r="AT246">
        <v>4.8638916103951107E-3</v>
      </c>
      <c r="AU246">
        <v>1.9579262112988907E-3</v>
      </c>
      <c r="AV246">
        <v>2.1196216822408909E-3</v>
      </c>
      <c r="AW246">
        <v>3.4610830547703308E-3</v>
      </c>
      <c r="AX246">
        <v>3.9834202231670002E-4</v>
      </c>
      <c r="AY246">
        <v>4.1237684024772274E-4</v>
      </c>
      <c r="BB246">
        <v>5.2656815322654427E-2</v>
      </c>
      <c r="BC246">
        <v>3.5968560687165814E-2</v>
      </c>
      <c r="BE246">
        <v>66419.069564012389</v>
      </c>
      <c r="BF246">
        <v>16.409912331057651</v>
      </c>
      <c r="BG246">
        <v>67971.771781881136</v>
      </c>
      <c r="BH246">
        <v>16.26789801400049</v>
      </c>
      <c r="BI246">
        <v>-1552.7022178687475</v>
      </c>
      <c r="BJ246">
        <v>0.14201431705716061</v>
      </c>
    </row>
    <row r="247" spans="3:62" x14ac:dyDescent="0.2">
      <c r="C247" s="121">
        <v>63008.6744110121</v>
      </c>
      <c r="D247" s="121">
        <v>16.503453730740215</v>
      </c>
      <c r="E247" s="121">
        <v>64442.692715233628</v>
      </c>
      <c r="F247" s="121">
        <v>16.380063846347973</v>
      </c>
      <c r="G247" s="121">
        <v>-1434.0183042215285</v>
      </c>
      <c r="H247" s="121">
        <v>0.12338988439224252</v>
      </c>
      <c r="N247" s="121"/>
      <c r="O247" s="121"/>
      <c r="P247" s="121"/>
      <c r="R247">
        <v>245.87989637381031</v>
      </c>
      <c r="S247">
        <v>68.331584917642687</v>
      </c>
      <c r="T247">
        <v>288.24224836914254</v>
      </c>
      <c r="U247">
        <v>93.041733891339007</v>
      </c>
      <c r="X247">
        <v>0.76285302866264493</v>
      </c>
      <c r="Y247">
        <v>0.83570272446566141</v>
      </c>
      <c r="Z247">
        <v>0.86275125926838014</v>
      </c>
      <c r="AA247">
        <v>0.60696883957202108</v>
      </c>
      <c r="AB247">
        <v>0.8481531924142911</v>
      </c>
      <c r="AC247">
        <v>0.79693168257369051</v>
      </c>
      <c r="AD247">
        <v>0.7692394582793356</v>
      </c>
      <c r="AE247">
        <v>0.71117588089024808</v>
      </c>
      <c r="AH247">
        <v>6.0446836098425494E-2</v>
      </c>
      <c r="AI247">
        <v>0.21464919620507494</v>
      </c>
      <c r="AJ247">
        <v>2.0331814101468337E-2</v>
      </c>
      <c r="AK247">
        <v>0.1126766646318148</v>
      </c>
      <c r="AL247">
        <v>0.12706333940572401</v>
      </c>
      <c r="AM247">
        <v>0.13287450362287645</v>
      </c>
      <c r="AN247">
        <v>0.10883018017107604</v>
      </c>
      <c r="AO247">
        <v>0.20583544076272242</v>
      </c>
      <c r="AR247">
        <v>9.1559845304012288E-4</v>
      </c>
      <c r="AS247">
        <v>4.7008094076363971E-3</v>
      </c>
      <c r="AT247">
        <v>4.8335051775844646E-3</v>
      </c>
      <c r="AU247">
        <v>1.9589715972676176E-3</v>
      </c>
      <c r="AV247">
        <v>1.9206294431261129E-3</v>
      </c>
      <c r="AW247">
        <v>3.3589703061881523E-3</v>
      </c>
      <c r="AX247">
        <v>4.7260100146129247E-4</v>
      </c>
      <c r="AY247">
        <v>5.6072843515142523E-4</v>
      </c>
      <c r="BB247">
        <v>4.9400491847001099E-2</v>
      </c>
      <c r="BC247">
        <v>5.1306044515516014E-2</v>
      </c>
      <c r="BE247">
        <v>63008.6744110121</v>
      </c>
      <c r="BF247">
        <v>16.503453730740215</v>
      </c>
      <c r="BG247">
        <v>64442.692715233628</v>
      </c>
      <c r="BH247">
        <v>16.380063846347973</v>
      </c>
      <c r="BI247">
        <v>-1434.0183042215285</v>
      </c>
      <c r="BJ247">
        <v>0.12338988439224252</v>
      </c>
    </row>
    <row r="248" spans="3:62" x14ac:dyDescent="0.2">
      <c r="C248" s="121">
        <v>69430.218380603561</v>
      </c>
      <c r="D248" s="121">
        <v>16.141949662946299</v>
      </c>
      <c r="E248" s="121">
        <v>70993.224860433373</v>
      </c>
      <c r="F248" s="121">
        <v>16.030488285009895</v>
      </c>
      <c r="G248" s="121">
        <v>-1563.0064798298117</v>
      </c>
      <c r="H248" s="121">
        <v>0.1114613779364042</v>
      </c>
      <c r="N248" s="121"/>
      <c r="O248" s="121"/>
      <c r="P248" s="121"/>
      <c r="R248">
        <v>65.754470359340559</v>
      </c>
      <c r="S248">
        <v>58.620325657225969</v>
      </c>
      <c r="T248">
        <v>252.84467115592952</v>
      </c>
      <c r="U248">
        <v>93.602647887313694</v>
      </c>
      <c r="X248">
        <v>0.53856911976306088</v>
      </c>
      <c r="Y248">
        <v>0.82345441265590125</v>
      </c>
      <c r="Z248">
        <v>0.78847078692610995</v>
      </c>
      <c r="AA248">
        <v>0.65656590312441965</v>
      </c>
      <c r="AB248">
        <v>0.56502246875714268</v>
      </c>
      <c r="AC248">
        <v>0.88908881341689905</v>
      </c>
      <c r="AD248">
        <v>0.95093766294783899</v>
      </c>
      <c r="AE248">
        <v>0.83089613327223533</v>
      </c>
      <c r="AH248">
        <v>3.6125391426220954E-2</v>
      </c>
      <c r="AI248">
        <v>8.9195113870729648E-2</v>
      </c>
      <c r="AJ248">
        <v>9.4744798651242412E-2</v>
      </c>
      <c r="AK248">
        <v>0.10593787854504855</v>
      </c>
      <c r="AL248">
        <v>6.8209068177243037E-2</v>
      </c>
      <c r="AM248">
        <v>2.3090707171774305E-2</v>
      </c>
      <c r="AN248">
        <v>6.1860213741801173E-2</v>
      </c>
      <c r="AO248">
        <v>0.16256357262325816</v>
      </c>
      <c r="AR248">
        <v>9.8094569119600017E-4</v>
      </c>
      <c r="AS248">
        <v>5.1752147138751647E-3</v>
      </c>
      <c r="AT248">
        <v>4.706162729568193E-3</v>
      </c>
      <c r="AU248">
        <v>2.0794830314990742E-3</v>
      </c>
      <c r="AV248">
        <v>2.1265270484081E-3</v>
      </c>
      <c r="AW248">
        <v>3.7659649162712361E-3</v>
      </c>
      <c r="AX248">
        <v>3.9347745109247445E-4</v>
      </c>
      <c r="AY248">
        <v>3.9793044522895918E-4</v>
      </c>
      <c r="BB248">
        <v>4.6114939243314342E-2</v>
      </c>
      <c r="BC248">
        <v>0.1026312405587918</v>
      </c>
      <c r="BE248">
        <v>69430.218380603561</v>
      </c>
      <c r="BF248">
        <v>16.141949662946299</v>
      </c>
      <c r="BG248">
        <v>70993.224860433373</v>
      </c>
      <c r="BH248">
        <v>16.030488285009895</v>
      </c>
      <c r="BI248">
        <v>-1563.0064798298117</v>
      </c>
      <c r="BJ248">
        <v>0.1114613779364042</v>
      </c>
    </row>
    <row r="249" spans="3:62" x14ac:dyDescent="0.2">
      <c r="C249" s="121">
        <v>71324.473854146869</v>
      </c>
      <c r="D249" s="121">
        <v>16.051364386693589</v>
      </c>
      <c r="E249" s="121">
        <v>73184.821199764556</v>
      </c>
      <c r="F249" s="121">
        <v>15.909278706192749</v>
      </c>
      <c r="G249" s="121">
        <v>-1860.3473456176871</v>
      </c>
      <c r="H249" s="121">
        <v>0.14208568050083947</v>
      </c>
      <c r="N249" s="121"/>
      <c r="O249" s="121"/>
      <c r="P249" s="121"/>
      <c r="R249">
        <v>227.6100266926573</v>
      </c>
      <c r="S249">
        <v>66.213197636403933</v>
      </c>
      <c r="T249">
        <v>263.60058670470016</v>
      </c>
      <c r="U249">
        <v>94.344404945033816</v>
      </c>
      <c r="X249">
        <v>0.78501850533588802</v>
      </c>
      <c r="Y249">
        <v>0.9491312175502461</v>
      </c>
      <c r="Z249">
        <v>0.94922856422733293</v>
      </c>
      <c r="AA249">
        <v>0.76356039613634719</v>
      </c>
      <c r="AB249">
        <v>0.6685251180255416</v>
      </c>
      <c r="AC249">
        <v>0.87282735085113428</v>
      </c>
      <c r="AD249">
        <v>0.72347477214689682</v>
      </c>
      <c r="AE249">
        <v>0.96625377424691627</v>
      </c>
      <c r="AH249">
        <v>9.3327411238822822E-2</v>
      </c>
      <c r="AI249">
        <v>0.12706411510730309</v>
      </c>
      <c r="AJ249">
        <v>0.20230686406051046</v>
      </c>
      <c r="AK249">
        <v>0.22262115906609004</v>
      </c>
      <c r="AL249">
        <v>6.8762038170356532E-2</v>
      </c>
      <c r="AM249">
        <v>0.11301114059829875</v>
      </c>
      <c r="AN249">
        <v>1.812497303634153E-2</v>
      </c>
      <c r="AO249">
        <v>0.14910690774715119</v>
      </c>
      <c r="AR249">
        <v>8.0719981107790523E-4</v>
      </c>
      <c r="AS249">
        <v>4.7123286119515884E-3</v>
      </c>
      <c r="AT249">
        <v>4.6173620700036711E-3</v>
      </c>
      <c r="AU249">
        <v>1.9789218620846357E-3</v>
      </c>
      <c r="AV249">
        <v>1.9655286339542053E-3</v>
      </c>
      <c r="AW249">
        <v>3.0408521222693966E-3</v>
      </c>
      <c r="AX249">
        <v>4.3132562026149124E-4</v>
      </c>
      <c r="AY249">
        <v>3.8718734380002566E-4</v>
      </c>
      <c r="BB249">
        <v>4.826105380195013E-2</v>
      </c>
      <c r="BC249">
        <v>3.2183988397865217E-2</v>
      </c>
      <c r="BE249">
        <v>71324.473854146869</v>
      </c>
      <c r="BF249">
        <v>16.051364386693589</v>
      </c>
      <c r="BG249">
        <v>73184.821199764556</v>
      </c>
      <c r="BH249">
        <v>15.909278706192749</v>
      </c>
      <c r="BI249">
        <v>-1860.3473456176871</v>
      </c>
      <c r="BJ249">
        <v>0.14208568050083947</v>
      </c>
    </row>
    <row r="250" spans="3:62" x14ac:dyDescent="0.2">
      <c r="C250" s="121">
        <v>72848.423784716288</v>
      </c>
      <c r="D250" s="121">
        <v>15.816697995219483</v>
      </c>
      <c r="E250" s="121">
        <v>75722.302589695828</v>
      </c>
      <c r="F250" s="121">
        <v>15.579521975379336</v>
      </c>
      <c r="G250" s="121">
        <v>-2873.8788049795403</v>
      </c>
      <c r="H250" s="121">
        <v>0.23717601984014713</v>
      </c>
      <c r="N250" s="121"/>
      <c r="O250" s="121"/>
      <c r="P250" s="121"/>
      <c r="R250">
        <v>220.45025529621961</v>
      </c>
      <c r="S250">
        <v>54.767369997801033</v>
      </c>
      <c r="T250">
        <v>290.08626869798303</v>
      </c>
      <c r="U250">
        <v>96.825733520811781</v>
      </c>
      <c r="X250">
        <v>0.81641156878677223</v>
      </c>
      <c r="Y250">
        <v>0.61854234642119343</v>
      </c>
      <c r="Z250">
        <v>0.83914953599936604</v>
      </c>
      <c r="AA250">
        <v>0.8857117434753532</v>
      </c>
      <c r="AB250">
        <v>0.59176318381191539</v>
      </c>
      <c r="AC250">
        <v>0.78528533109763243</v>
      </c>
      <c r="AD250">
        <v>0.60360908296755988</v>
      </c>
      <c r="AE250">
        <v>0.81271552162495819</v>
      </c>
      <c r="AH250">
        <v>0.24499805097629723</v>
      </c>
      <c r="AI250">
        <v>0.16988248565666264</v>
      </c>
      <c r="AJ250">
        <v>2.8367139722041856E-2</v>
      </c>
      <c r="AK250">
        <v>8.3035194776071131E-2</v>
      </c>
      <c r="AL250">
        <v>6.0617208942001399E-2</v>
      </c>
      <c r="AM250">
        <v>3.7015667785187722E-2</v>
      </c>
      <c r="AN250">
        <v>0.30354354938786132</v>
      </c>
      <c r="AO250">
        <v>0.19894315128396156</v>
      </c>
      <c r="AR250">
        <v>6.7874087012933181E-4</v>
      </c>
      <c r="AS250">
        <v>4.9264862157508693E-3</v>
      </c>
      <c r="AT250">
        <v>5.0643047188104751E-3</v>
      </c>
      <c r="AU250">
        <v>2.1406996993772465E-3</v>
      </c>
      <c r="AV250">
        <v>1.8180382270874681E-3</v>
      </c>
      <c r="AW250">
        <v>3.3881345907354229E-3</v>
      </c>
      <c r="AX250">
        <v>4.5107516276465809E-4</v>
      </c>
      <c r="AY250">
        <v>3.9552803658841342E-4</v>
      </c>
      <c r="BB250">
        <v>5.0031277830021037E-2</v>
      </c>
      <c r="BC250">
        <v>5.6872890244344165E-2</v>
      </c>
      <c r="BE250">
        <v>72848.423784716288</v>
      </c>
      <c r="BF250">
        <v>15.816697995219483</v>
      </c>
      <c r="BG250">
        <v>75722.302589695828</v>
      </c>
      <c r="BH250">
        <v>15.579521975379336</v>
      </c>
      <c r="BI250">
        <v>-2873.8788049795403</v>
      </c>
      <c r="BJ250">
        <v>0.23717601984014713</v>
      </c>
    </row>
    <row r="251" spans="3:62" x14ac:dyDescent="0.2">
      <c r="C251" s="121">
        <v>62239.961295255336</v>
      </c>
      <c r="D251" s="121">
        <v>17.413247150542173</v>
      </c>
      <c r="E251" s="121">
        <v>63652.78372560603</v>
      </c>
      <c r="F251" s="121">
        <v>17.303118029168573</v>
      </c>
      <c r="G251" s="121">
        <v>-1412.822430350694</v>
      </c>
      <c r="H251" s="121">
        <v>0.11012912137359976</v>
      </c>
      <c r="N251" s="121"/>
      <c r="O251" s="121"/>
      <c r="P251" s="121"/>
      <c r="R251">
        <v>274.02784929388667</v>
      </c>
      <c r="S251">
        <v>64.095858510743142</v>
      </c>
      <c r="T251">
        <v>231.83345239854296</v>
      </c>
      <c r="U251">
        <v>98.354340208071008</v>
      </c>
      <c r="X251">
        <v>0.59846664287054663</v>
      </c>
      <c r="Y251">
        <v>0.68005546125752547</v>
      </c>
      <c r="Z251">
        <v>0.75060612661445925</v>
      </c>
      <c r="AA251">
        <v>0.85960258404573586</v>
      </c>
      <c r="AB251">
        <v>0.68056267898050149</v>
      </c>
      <c r="AC251">
        <v>0.81669416578096476</v>
      </c>
      <c r="AD251">
        <v>0.58662237028548436</v>
      </c>
      <c r="AE251">
        <v>0.45524559358715477</v>
      </c>
      <c r="AH251">
        <v>7.5077077147265747E-2</v>
      </c>
      <c r="AI251">
        <v>0.23010679004662882</v>
      </c>
      <c r="AJ251">
        <v>0.11962997565547306</v>
      </c>
      <c r="AK251">
        <v>0.13565799990825067</v>
      </c>
      <c r="AL251">
        <v>9.8117712359280684E-2</v>
      </c>
      <c r="AM251">
        <v>7.3398408652126768E-2</v>
      </c>
      <c r="AN251">
        <v>9.7955221507468382E-2</v>
      </c>
      <c r="AO251">
        <v>0.10046874969368136</v>
      </c>
      <c r="AR251">
        <v>8.8787976934068258E-4</v>
      </c>
      <c r="AS251">
        <v>4.6133837355769591E-3</v>
      </c>
      <c r="AT251">
        <v>5.0036355405762567E-3</v>
      </c>
      <c r="AU251">
        <v>2.0181674008291628E-3</v>
      </c>
      <c r="AV251">
        <v>2.1099671536030096E-3</v>
      </c>
      <c r="AW251">
        <v>3.3202803144872059E-3</v>
      </c>
      <c r="AX251">
        <v>4.2329197658652618E-4</v>
      </c>
      <c r="AY251">
        <v>4.7352723224325377E-4</v>
      </c>
      <c r="BB251">
        <v>4.8046377679200586E-2</v>
      </c>
      <c r="BC251">
        <v>2.8125794738806956E-2</v>
      </c>
      <c r="BE251">
        <v>62239.961295255336</v>
      </c>
      <c r="BF251">
        <v>17.413247150542173</v>
      </c>
      <c r="BG251">
        <v>63652.78372560603</v>
      </c>
      <c r="BH251">
        <v>17.303118029168573</v>
      </c>
      <c r="BI251">
        <v>-1412.822430350694</v>
      </c>
      <c r="BJ251">
        <v>0.11012912137359976</v>
      </c>
    </row>
    <row r="252" spans="3:62" x14ac:dyDescent="0.2">
      <c r="C252" s="121">
        <v>69922.687731038066</v>
      </c>
      <c r="D252" s="121">
        <v>18.01483792595716</v>
      </c>
      <c r="E252" s="121">
        <v>71514.934913443431</v>
      </c>
      <c r="F252" s="121">
        <v>17.911969932593657</v>
      </c>
      <c r="G252" s="121">
        <v>-1592.2471824053646</v>
      </c>
      <c r="H252" s="121">
        <v>0.10286799336350327</v>
      </c>
      <c r="N252" s="121"/>
      <c r="O252" s="121"/>
      <c r="P252" s="121"/>
      <c r="R252">
        <v>85.155714982674738</v>
      </c>
      <c r="S252">
        <v>60.930370844036119</v>
      </c>
      <c r="T252">
        <v>253.78607522167684</v>
      </c>
      <c r="U252">
        <v>92.510226943405499</v>
      </c>
      <c r="X252">
        <v>0.89951733990034255</v>
      </c>
      <c r="Y252">
        <v>0.77969500909839118</v>
      </c>
      <c r="Z252">
        <v>0.40750519907682953</v>
      </c>
      <c r="AA252">
        <v>0.73938551568252109</v>
      </c>
      <c r="AB252">
        <v>0.72119080483810616</v>
      </c>
      <c r="AC252">
        <v>0.78355039911562729</v>
      </c>
      <c r="AD252">
        <v>0.81764247640683951</v>
      </c>
      <c r="AE252">
        <v>0.85626123167477175</v>
      </c>
      <c r="AH252">
        <v>0.15852404392292996</v>
      </c>
      <c r="AI252">
        <v>8.8642904020270752E-2</v>
      </c>
      <c r="AJ252">
        <v>0.18640527497954296</v>
      </c>
      <c r="AK252">
        <v>0.32043531744042675</v>
      </c>
      <c r="AL252">
        <v>0.12108477004934481</v>
      </c>
      <c r="AM252">
        <v>4.209036844546088E-2</v>
      </c>
      <c r="AN252">
        <v>1.3015042557110945E-2</v>
      </c>
      <c r="AO252">
        <v>3.2464962026620414E-2</v>
      </c>
      <c r="AR252">
        <v>8.4543574907232843E-4</v>
      </c>
      <c r="AS252">
        <v>3.999637266227824E-3</v>
      </c>
      <c r="AT252">
        <v>5.5413596341026272E-3</v>
      </c>
      <c r="AU252">
        <v>1.9097462966995958E-3</v>
      </c>
      <c r="AV252">
        <v>2.1475727752249263E-3</v>
      </c>
      <c r="AW252">
        <v>3.5877846610172792E-3</v>
      </c>
      <c r="AX252">
        <v>2.8896634110986245E-4</v>
      </c>
      <c r="AY252">
        <v>5.1089843087137599E-4</v>
      </c>
      <c r="BB252">
        <v>4.7728200510968342E-2</v>
      </c>
      <c r="BC252">
        <v>5.9986904697995865E-3</v>
      </c>
      <c r="BE252">
        <v>69922.687731038066</v>
      </c>
      <c r="BF252">
        <v>18.01483792595716</v>
      </c>
      <c r="BG252">
        <v>71514.934913443431</v>
      </c>
      <c r="BH252">
        <v>17.911969932593657</v>
      </c>
      <c r="BI252">
        <v>-1592.2471824053646</v>
      </c>
      <c r="BJ252">
        <v>0.10286799336350327</v>
      </c>
    </row>
    <row r="253" spans="3:62" x14ac:dyDescent="0.2">
      <c r="C253" s="121">
        <v>75119.807607365467</v>
      </c>
      <c r="D253" s="121">
        <v>14.924845494564943</v>
      </c>
      <c r="E253" s="121">
        <v>77355.661207450248</v>
      </c>
      <c r="F253" s="121">
        <v>14.720989655416391</v>
      </c>
      <c r="G253" s="121">
        <v>-2235.8536000847816</v>
      </c>
      <c r="H253" s="121">
        <v>0.20385583914855232</v>
      </c>
      <c r="N253" s="121"/>
      <c r="O253" s="121"/>
      <c r="P253" s="121"/>
      <c r="R253">
        <v>351.29947230320352</v>
      </c>
      <c r="S253">
        <v>63.143949432991732</v>
      </c>
      <c r="T253">
        <v>224.48874385771961</v>
      </c>
      <c r="U253">
        <v>97.441242456638719</v>
      </c>
      <c r="X253">
        <v>0.85932466361304516</v>
      </c>
      <c r="Y253">
        <v>0.83614721021420069</v>
      </c>
      <c r="Z253">
        <v>0.64719774035407163</v>
      </c>
      <c r="AA253">
        <v>0.77827311831782231</v>
      </c>
      <c r="AB253">
        <v>0.92722405800964358</v>
      </c>
      <c r="AC253">
        <v>0.78770261533885388</v>
      </c>
      <c r="AD253">
        <v>0.66939781502029516</v>
      </c>
      <c r="AE253">
        <v>0.81078060770926852</v>
      </c>
      <c r="AH253">
        <v>5.2739221798491664E-2</v>
      </c>
      <c r="AI253">
        <v>8.5736463308642596E-2</v>
      </c>
      <c r="AJ253">
        <v>0.15678881510268317</v>
      </c>
      <c r="AK253">
        <v>2.8520954064616078E-2</v>
      </c>
      <c r="AL253">
        <v>0.1523305258488038</v>
      </c>
      <c r="AM253">
        <v>0.19880586971242742</v>
      </c>
      <c r="AN253">
        <v>0.17520018341371912</v>
      </c>
      <c r="AO253">
        <v>4.4590230426878597E-2</v>
      </c>
      <c r="AR253">
        <v>1.014109886351422E-3</v>
      </c>
      <c r="AS253">
        <v>4.5816703328364072E-3</v>
      </c>
      <c r="AT253">
        <v>4.9520487249684608E-3</v>
      </c>
      <c r="AU253">
        <v>2.2220694152308429E-3</v>
      </c>
      <c r="AV253">
        <v>1.9416529176792701E-3</v>
      </c>
      <c r="AW253">
        <v>3.0954554247404507E-3</v>
      </c>
      <c r="AX253">
        <v>3.6992446081071694E-4</v>
      </c>
      <c r="AY253">
        <v>3.7986961113887807E-4</v>
      </c>
      <c r="BB253">
        <v>5.4887608553204181E-2</v>
      </c>
      <c r="BC253">
        <v>6.8347185952438272E-2</v>
      </c>
      <c r="BE253">
        <v>75119.807607365467</v>
      </c>
      <c r="BF253">
        <v>14.924845494564943</v>
      </c>
      <c r="BG253">
        <v>77355.661207450248</v>
      </c>
      <c r="BH253">
        <v>14.720989655416391</v>
      </c>
      <c r="BI253">
        <v>-2235.8536000847816</v>
      </c>
      <c r="BJ253">
        <v>0.20385583914855232</v>
      </c>
    </row>
    <row r="254" spans="3:62" x14ac:dyDescent="0.2">
      <c r="C254" s="121">
        <v>73400.287119922898</v>
      </c>
      <c r="D254" s="121">
        <v>15.228261182387934</v>
      </c>
      <c r="E254" s="121">
        <v>75586.942789226421</v>
      </c>
      <c r="F254" s="121">
        <v>15.074702142729738</v>
      </c>
      <c r="G254" s="121">
        <v>-2186.6556693035236</v>
      </c>
      <c r="H254" s="121">
        <v>0.15355903965819628</v>
      </c>
      <c r="N254" s="121"/>
      <c r="O254" s="121"/>
      <c r="P254" s="121"/>
      <c r="R254">
        <v>378.04210754984479</v>
      </c>
      <c r="S254">
        <v>53.336546287999269</v>
      </c>
      <c r="T254">
        <v>282.68260285865244</v>
      </c>
      <c r="U254">
        <v>81.584353255347139</v>
      </c>
      <c r="X254">
        <v>0.80582610277300382</v>
      </c>
      <c r="Y254">
        <v>0.84576559057765799</v>
      </c>
      <c r="Z254">
        <v>0.92362338148817225</v>
      </c>
      <c r="AA254">
        <v>0.78318021060127574</v>
      </c>
      <c r="AB254">
        <v>0.83081336131611727</v>
      </c>
      <c r="AC254">
        <v>0.78774770978988462</v>
      </c>
      <c r="AD254">
        <v>0.75966365992112517</v>
      </c>
      <c r="AE254">
        <v>0.89223552754692736</v>
      </c>
      <c r="AH254">
        <v>9.6050106568433824E-2</v>
      </c>
      <c r="AI254">
        <v>5.5427303819878815E-2</v>
      </c>
      <c r="AJ254">
        <v>0.19102368214594778</v>
      </c>
      <c r="AK254">
        <v>9.6938837621189933E-3</v>
      </c>
      <c r="AL254">
        <v>0.21645702040764747</v>
      </c>
      <c r="AM254">
        <v>0.26282138354647822</v>
      </c>
      <c r="AN254">
        <v>9.5956088685258401E-2</v>
      </c>
      <c r="AO254">
        <v>0.37244883216925107</v>
      </c>
      <c r="AR254">
        <v>8.897528003425359E-4</v>
      </c>
      <c r="AS254">
        <v>4.7848730621828928E-3</v>
      </c>
      <c r="AT254">
        <v>4.9903084363502881E-3</v>
      </c>
      <c r="AU254">
        <v>2.1730998841643645E-3</v>
      </c>
      <c r="AV254">
        <v>2.2629192906565843E-3</v>
      </c>
      <c r="AW254">
        <v>3.554256395044586E-3</v>
      </c>
      <c r="AX254">
        <v>4.3163725061545755E-4</v>
      </c>
      <c r="AY254">
        <v>4.5848449042740214E-4</v>
      </c>
      <c r="BB254">
        <v>4.9752635545823522E-2</v>
      </c>
      <c r="BC254">
        <v>5.1763662643876662E-2</v>
      </c>
      <c r="BE254">
        <v>73400.287119922898</v>
      </c>
      <c r="BF254">
        <v>15.228261182387934</v>
      </c>
      <c r="BG254">
        <v>75586.942789226421</v>
      </c>
      <c r="BH254">
        <v>15.074702142729738</v>
      </c>
      <c r="BI254">
        <v>-2186.6556693035236</v>
      </c>
      <c r="BJ254">
        <v>0.15355903965819628</v>
      </c>
    </row>
    <row r="255" spans="3:62" x14ac:dyDescent="0.2">
      <c r="C255" s="121">
        <v>73462.921481878118</v>
      </c>
      <c r="D255" s="121">
        <v>15.413260247318096</v>
      </c>
      <c r="E255" s="121">
        <v>75205.860881367465</v>
      </c>
      <c r="F255" s="121">
        <v>15.289159148111349</v>
      </c>
      <c r="G255" s="121">
        <v>-1742.9393994893471</v>
      </c>
      <c r="H255" s="121">
        <v>0.12410109920674728</v>
      </c>
      <c r="N255" s="121"/>
      <c r="O255" s="121"/>
      <c r="P255" s="121"/>
      <c r="R255">
        <v>165.2233852205041</v>
      </c>
      <c r="S255">
        <v>59.633710964338775</v>
      </c>
      <c r="T255">
        <v>227.5263243369867</v>
      </c>
      <c r="U255">
        <v>83.061695390087621</v>
      </c>
      <c r="X255">
        <v>0.56370381872893216</v>
      </c>
      <c r="Y255">
        <v>0.88249580595835986</v>
      </c>
      <c r="Z255">
        <v>0.69238721893504918</v>
      </c>
      <c r="AA255">
        <v>0.70576371833122709</v>
      </c>
      <c r="AB255">
        <v>0.74213925679803805</v>
      </c>
      <c r="AC255">
        <v>0.8502098128565666</v>
      </c>
      <c r="AD255">
        <v>0.76249015695073508</v>
      </c>
      <c r="AE255">
        <v>0.65606561105604866</v>
      </c>
      <c r="AH255">
        <v>2.0825705773848124E-3</v>
      </c>
      <c r="AI255">
        <v>0.12972005562675948</v>
      </c>
      <c r="AJ255">
        <v>5.9951630004728473E-2</v>
      </c>
      <c r="AK255">
        <v>8.3210933218310634E-2</v>
      </c>
      <c r="AL255">
        <v>7.1574762399773117E-2</v>
      </c>
      <c r="AM255">
        <v>0.21175858987644602</v>
      </c>
      <c r="AN255">
        <v>0.14959364429349842</v>
      </c>
      <c r="AO255">
        <v>0.17788265752459576</v>
      </c>
      <c r="AR255">
        <v>8.2297750872100349E-4</v>
      </c>
      <c r="AS255">
        <v>4.3603541997979866E-3</v>
      </c>
      <c r="AT255">
        <v>5.1431013625283795E-3</v>
      </c>
      <c r="AU255">
        <v>2.2372231248434238E-3</v>
      </c>
      <c r="AV255">
        <v>2.1374947774344122E-3</v>
      </c>
      <c r="AW255">
        <v>3.3632061936027841E-3</v>
      </c>
      <c r="AX255">
        <v>3.5604748313522666E-4</v>
      </c>
      <c r="AY255">
        <v>3.5686624504933185E-4</v>
      </c>
      <c r="BB255">
        <v>4.6898991442277632E-2</v>
      </c>
      <c r="BC255">
        <v>7.2171756785840313E-2</v>
      </c>
      <c r="BE255">
        <v>73462.921481878118</v>
      </c>
      <c r="BF255">
        <v>15.413260247318096</v>
      </c>
      <c r="BG255">
        <v>75205.860881367465</v>
      </c>
      <c r="BH255">
        <v>15.289159148111349</v>
      </c>
      <c r="BI255">
        <v>-1742.9393994893471</v>
      </c>
      <c r="BJ255">
        <v>0.12410109920674728</v>
      </c>
    </row>
    <row r="256" spans="3:62" x14ac:dyDescent="0.2">
      <c r="C256" s="121">
        <v>67130.870751149938</v>
      </c>
      <c r="D256" s="121">
        <v>16.097492294062835</v>
      </c>
      <c r="E256" s="121">
        <v>69055.858547218842</v>
      </c>
      <c r="F256" s="121">
        <v>15.934968866667738</v>
      </c>
      <c r="G256" s="121">
        <v>-1924.9877960689046</v>
      </c>
      <c r="H256" s="121">
        <v>0.16252342739509729</v>
      </c>
      <c r="N256" s="121"/>
      <c r="O256" s="121"/>
      <c r="P256" s="121"/>
      <c r="R256">
        <v>283.21112638418737</v>
      </c>
      <c r="S256">
        <v>65.023871673627568</v>
      </c>
      <c r="T256">
        <v>229.05578355127517</v>
      </c>
      <c r="U256">
        <v>95.509798760741106</v>
      </c>
      <c r="X256">
        <v>0.74282542214116887</v>
      </c>
      <c r="Y256">
        <v>0.74819682506232965</v>
      </c>
      <c r="Z256">
        <v>0.8889003368095284</v>
      </c>
      <c r="AA256">
        <v>0.57953441080673385</v>
      </c>
      <c r="AB256">
        <v>0.66944749982484975</v>
      </c>
      <c r="AC256">
        <v>0.84996017998861295</v>
      </c>
      <c r="AD256">
        <v>0.65783561633273557</v>
      </c>
      <c r="AE256">
        <v>0.83280127479591892</v>
      </c>
      <c r="AH256">
        <v>9.785346109626869E-2</v>
      </c>
      <c r="AI256">
        <v>0.25432017306485077</v>
      </c>
      <c r="AJ256">
        <v>1.8686406629015107E-2</v>
      </c>
      <c r="AK256">
        <v>0.19853191822195493</v>
      </c>
      <c r="AL256">
        <v>0.31407614779401127</v>
      </c>
      <c r="AM256">
        <v>0.1000291011289951</v>
      </c>
      <c r="AN256">
        <v>7.4353795730702998E-2</v>
      </c>
      <c r="AO256">
        <v>9.0448044312513742E-2</v>
      </c>
      <c r="AR256">
        <v>9.2772420880138373E-4</v>
      </c>
      <c r="AS256">
        <v>4.5131057844481903E-3</v>
      </c>
      <c r="AT256">
        <v>5.1670706497384256E-3</v>
      </c>
      <c r="AU256">
        <v>1.8098070681420747E-3</v>
      </c>
      <c r="AV256">
        <v>1.7644030991958155E-3</v>
      </c>
      <c r="AW256">
        <v>3.3467896567961125E-3</v>
      </c>
      <c r="AX256">
        <v>3.3437589464214616E-4</v>
      </c>
      <c r="AY256">
        <v>5.0045230983009059E-4</v>
      </c>
      <c r="BB256">
        <v>5.7022265282346996E-2</v>
      </c>
      <c r="BC256">
        <v>8.3130775706899529E-2</v>
      </c>
      <c r="BE256">
        <v>67130.870751149938</v>
      </c>
      <c r="BF256">
        <v>16.097492294062835</v>
      </c>
      <c r="BG256">
        <v>69055.858547218842</v>
      </c>
      <c r="BH256">
        <v>15.934968866667738</v>
      </c>
      <c r="BI256">
        <v>-1924.9877960689046</v>
      </c>
      <c r="BJ256">
        <v>0.16252342739509729</v>
      </c>
    </row>
    <row r="257" spans="3:62" x14ac:dyDescent="0.2">
      <c r="C257" s="121">
        <v>69201.133989732698</v>
      </c>
      <c r="D257" s="121">
        <v>14.913055827896047</v>
      </c>
      <c r="E257" s="121">
        <v>70368.415706052809</v>
      </c>
      <c r="F257" s="121">
        <v>14.776696787262328</v>
      </c>
      <c r="G257" s="121">
        <v>-1167.2817163201107</v>
      </c>
      <c r="H257" s="121">
        <v>0.13635904063371918</v>
      </c>
      <c r="N257" s="121"/>
      <c r="O257" s="121"/>
      <c r="P257" s="121"/>
      <c r="R257">
        <v>242.90355109868463</v>
      </c>
      <c r="S257">
        <v>72.735269319789836</v>
      </c>
      <c r="T257">
        <v>254.25678563432515</v>
      </c>
      <c r="U257">
        <v>95.805184566264003</v>
      </c>
      <c r="X257">
        <v>0.85852194974826834</v>
      </c>
      <c r="Y257">
        <v>0.55341426158912799</v>
      </c>
      <c r="Z257">
        <v>0.92171884308123486</v>
      </c>
      <c r="AA257">
        <v>0.90490530698575955</v>
      </c>
      <c r="AB257">
        <v>0.56795255230489605</v>
      </c>
      <c r="AC257">
        <v>0.80172667641470396</v>
      </c>
      <c r="AD257">
        <v>0.6746955531817328</v>
      </c>
      <c r="AE257">
        <v>0.86203187575733065</v>
      </c>
      <c r="AH257">
        <v>8.0574983546380485E-2</v>
      </c>
      <c r="AI257">
        <v>5.1307701701842734E-2</v>
      </c>
      <c r="AJ257">
        <v>0.21465453410656099</v>
      </c>
      <c r="AK257">
        <v>0.23306980994613324</v>
      </c>
      <c r="AL257">
        <v>7.7025303081405205E-2</v>
      </c>
      <c r="AM257">
        <v>0.1423567402914252</v>
      </c>
      <c r="AN257">
        <v>0.1406490238029392</v>
      </c>
      <c r="AO257">
        <v>0.10018142379931771</v>
      </c>
      <c r="AR257">
        <v>9.7455622148101551E-4</v>
      </c>
      <c r="AS257">
        <v>4.329918072889332E-3</v>
      </c>
      <c r="AT257">
        <v>4.8875771795773874E-3</v>
      </c>
      <c r="AU257">
        <v>1.9400557715703332E-3</v>
      </c>
      <c r="AV257">
        <v>2.0826410788916672E-3</v>
      </c>
      <c r="AW257">
        <v>3.4051563229310902E-3</v>
      </c>
      <c r="AX257">
        <v>3.2172386648175586E-4</v>
      </c>
      <c r="AY257">
        <v>3.9458337808649045E-4</v>
      </c>
      <c r="BB257">
        <v>5.0359966322330751E-2</v>
      </c>
      <c r="BC257">
        <v>1.831765111238309E-2</v>
      </c>
      <c r="BE257">
        <v>69201.133989732698</v>
      </c>
      <c r="BF257">
        <v>14.913055827896047</v>
      </c>
      <c r="BG257">
        <v>70368.415706052809</v>
      </c>
      <c r="BH257">
        <v>14.776696787262328</v>
      </c>
      <c r="BI257">
        <v>-1167.2817163201107</v>
      </c>
      <c r="BJ257">
        <v>0.13635904063371918</v>
      </c>
    </row>
    <row r="258" spans="3:62" x14ac:dyDescent="0.2">
      <c r="C258" s="121">
        <v>78713.932576354666</v>
      </c>
      <c r="D258" s="121">
        <v>15.874655697317744</v>
      </c>
      <c r="E258" s="121">
        <v>81111.400184891536</v>
      </c>
      <c r="F258" s="121">
        <v>15.717111970165409</v>
      </c>
      <c r="G258" s="121">
        <v>-2397.4676085368701</v>
      </c>
      <c r="H258" s="121">
        <v>0.15754372715233522</v>
      </c>
      <c r="N258" s="121"/>
      <c r="O258" s="121"/>
      <c r="P258" s="121"/>
      <c r="R258">
        <v>299.35174639720606</v>
      </c>
      <c r="S258">
        <v>51.006119336294624</v>
      </c>
      <c r="T258">
        <v>262.41976048763132</v>
      </c>
      <c r="U258">
        <v>102.91597583164913</v>
      </c>
      <c r="X258">
        <v>0.65075307840833152</v>
      </c>
      <c r="Y258">
        <v>0.88780352224290038</v>
      </c>
      <c r="Z258">
        <v>0.85963717552370988</v>
      </c>
      <c r="AA258">
        <v>0.76595311101478336</v>
      </c>
      <c r="AB258">
        <v>0.91421844497995897</v>
      </c>
      <c r="AC258">
        <v>0.70661323559146716</v>
      </c>
      <c r="AD258">
        <v>0.74910161606808834</v>
      </c>
      <c r="AE258">
        <v>0.69811233692101804</v>
      </c>
      <c r="AH258">
        <v>6.5195565475581141E-2</v>
      </c>
      <c r="AI258">
        <v>0.16386226822265759</v>
      </c>
      <c r="AJ258">
        <v>8.4814809316460127E-2</v>
      </c>
      <c r="AK258">
        <v>0.22620005440172086</v>
      </c>
      <c r="AL258">
        <v>0.19422593362902818</v>
      </c>
      <c r="AM258">
        <v>0.16391753490507022</v>
      </c>
      <c r="AN258">
        <v>0.19536854048316277</v>
      </c>
      <c r="AO258">
        <v>4.6750252318118468E-2</v>
      </c>
      <c r="AR258">
        <v>8.7212921558918661E-4</v>
      </c>
      <c r="AS258">
        <v>4.806504924715238E-3</v>
      </c>
      <c r="AT258">
        <v>4.7549806047858887E-3</v>
      </c>
      <c r="AU258">
        <v>2.0856403886171382E-3</v>
      </c>
      <c r="AV258">
        <v>2.1024602834474049E-3</v>
      </c>
      <c r="AW258">
        <v>3.7205747193506111E-3</v>
      </c>
      <c r="AX258">
        <v>3.3599484562163635E-4</v>
      </c>
      <c r="AY258">
        <v>3.7493479181755439E-4</v>
      </c>
      <c r="BB258">
        <v>4.5704117670292761E-2</v>
      </c>
      <c r="BC258">
        <v>0.1046325296369367</v>
      </c>
      <c r="BE258">
        <v>78713.932576354666</v>
      </c>
      <c r="BF258">
        <v>15.874655697317744</v>
      </c>
      <c r="BG258">
        <v>81111.400184891536</v>
      </c>
      <c r="BH258">
        <v>15.717111970165409</v>
      </c>
      <c r="BI258">
        <v>-2397.4676085368701</v>
      </c>
      <c r="BJ258">
        <v>0.15754372715233522</v>
      </c>
    </row>
    <row r="259" spans="3:62" x14ac:dyDescent="0.2">
      <c r="C259" s="121">
        <v>63232.627336138372</v>
      </c>
      <c r="D259" s="121">
        <v>17.851084754601413</v>
      </c>
      <c r="E259" s="121">
        <v>65004.898671840761</v>
      </c>
      <c r="F259" s="121">
        <v>17.728295105845422</v>
      </c>
      <c r="G259" s="121">
        <v>-1772.2713357023895</v>
      </c>
      <c r="H259" s="121">
        <v>0.1227896487559903</v>
      </c>
      <c r="N259" s="121"/>
      <c r="O259" s="121"/>
      <c r="P259" s="121"/>
      <c r="R259">
        <v>425.79300983293115</v>
      </c>
      <c r="S259">
        <v>59.636624954946917</v>
      </c>
      <c r="T259">
        <v>275.60356953293626</v>
      </c>
      <c r="U259">
        <v>86.64862677464339</v>
      </c>
      <c r="X259">
        <v>0.8288640290849969</v>
      </c>
      <c r="Y259">
        <v>0.88077248385383899</v>
      </c>
      <c r="Z259">
        <v>0.90994969604308529</v>
      </c>
      <c r="AA259">
        <v>0.82164299147125741</v>
      </c>
      <c r="AB259">
        <v>0.81287120450943506</v>
      </c>
      <c r="AC259">
        <v>0.91608301465423958</v>
      </c>
      <c r="AD259">
        <v>0.76888474803341977</v>
      </c>
      <c r="AE259">
        <v>0.82711055589999072</v>
      </c>
      <c r="AH259">
        <v>0.17446092978929839</v>
      </c>
      <c r="AI259">
        <v>7.2195230500282426E-2</v>
      </c>
      <c r="AJ259">
        <v>4.3148268285997382E-2</v>
      </c>
      <c r="AK259">
        <v>0.30280657467906624</v>
      </c>
      <c r="AL259">
        <v>0.10631902954601624</v>
      </c>
      <c r="AM259">
        <v>0.15936018305415778</v>
      </c>
      <c r="AN259">
        <v>5.1504550219990231E-2</v>
      </c>
      <c r="AO259">
        <v>0.23793750310804185</v>
      </c>
      <c r="AR259">
        <v>9.1143428838236229E-4</v>
      </c>
      <c r="AS259">
        <v>4.6713391338093491E-3</v>
      </c>
      <c r="AT259">
        <v>4.9407776623998567E-3</v>
      </c>
      <c r="AU259">
        <v>2.032391967037972E-3</v>
      </c>
      <c r="AV259">
        <v>2.2920176539319437E-3</v>
      </c>
      <c r="AW259">
        <v>3.2693793999840986E-3</v>
      </c>
      <c r="AX259">
        <v>3.2649877678999956E-4</v>
      </c>
      <c r="AY259">
        <v>3.9616118905525102E-4</v>
      </c>
      <c r="BB259">
        <v>4.1889852997001785E-2</v>
      </c>
      <c r="BC259">
        <v>3.7192918444326664E-2</v>
      </c>
      <c r="BE259">
        <v>63232.627336138372</v>
      </c>
      <c r="BF259">
        <v>17.851084754601413</v>
      </c>
      <c r="BG259">
        <v>65004.898671840761</v>
      </c>
      <c r="BH259">
        <v>17.728295105845422</v>
      </c>
      <c r="BI259">
        <v>-1772.2713357023895</v>
      </c>
      <c r="BJ259">
        <v>0.1227896487559903</v>
      </c>
    </row>
    <row r="260" spans="3:62" x14ac:dyDescent="0.2">
      <c r="C260" s="121">
        <v>66803.449348814247</v>
      </c>
      <c r="D260" s="121">
        <v>12.816009213492704</v>
      </c>
      <c r="E260" s="121">
        <v>69323.288831792132</v>
      </c>
      <c r="F260" s="121">
        <v>12.733412383575272</v>
      </c>
      <c r="G260" s="121">
        <v>-2519.8394829778845</v>
      </c>
      <c r="H260" s="121">
        <v>8.2596829917431336E-2</v>
      </c>
      <c r="N260" s="121"/>
      <c r="O260" s="121"/>
      <c r="P260" s="121"/>
      <c r="R260">
        <v>170.04808844014377</v>
      </c>
      <c r="S260">
        <v>60.100317222186057</v>
      </c>
      <c r="T260">
        <v>196.19317274941943</v>
      </c>
      <c r="U260">
        <v>101.24345231516307</v>
      </c>
      <c r="X260">
        <v>0.73269816400026744</v>
      </c>
      <c r="Y260">
        <v>0.91544035467124263</v>
      </c>
      <c r="Z260">
        <v>0.89977386840910722</v>
      </c>
      <c r="AA260">
        <v>0.43270028243874026</v>
      </c>
      <c r="AB260">
        <v>0.84418444801319747</v>
      </c>
      <c r="AC260">
        <v>0.78294902024522528</v>
      </c>
      <c r="AD260">
        <v>0.76268853373717083</v>
      </c>
      <c r="AE260">
        <v>0.72086409559599096</v>
      </c>
      <c r="AH260">
        <v>1.5147488365874207E-2</v>
      </c>
      <c r="AI260">
        <v>0.2712972573430803</v>
      </c>
      <c r="AJ260">
        <v>3.3640051727566345E-2</v>
      </c>
      <c r="AK260">
        <v>0.14808290135546098</v>
      </c>
      <c r="AL260">
        <v>0.10002048196730051</v>
      </c>
      <c r="AM260">
        <v>1.8380682449105956E-2</v>
      </c>
      <c r="AN260">
        <v>0.3267365713893241</v>
      </c>
      <c r="AO260">
        <v>0.13842986530173473</v>
      </c>
      <c r="AR260">
        <v>7.8264293018144256E-4</v>
      </c>
      <c r="AS260">
        <v>4.6134026414369478E-3</v>
      </c>
      <c r="AT260">
        <v>4.801895306052904E-3</v>
      </c>
      <c r="AU260">
        <v>2.0476819596813023E-3</v>
      </c>
      <c r="AV260">
        <v>1.9528512656753975E-3</v>
      </c>
      <c r="AW260">
        <v>3.5682371466129181E-3</v>
      </c>
      <c r="AX260">
        <v>3.9391759205022078E-4</v>
      </c>
      <c r="AY260">
        <v>3.7391587010284822E-4</v>
      </c>
      <c r="BB260">
        <v>6.0104905156536659E-2</v>
      </c>
      <c r="BC260">
        <v>3.2362875720521649E-2</v>
      </c>
      <c r="BE260">
        <v>66803.449348814247</v>
      </c>
      <c r="BF260">
        <v>12.816009213492704</v>
      </c>
      <c r="BG260">
        <v>69323.288831792132</v>
      </c>
      <c r="BH260">
        <v>12.733412383575272</v>
      </c>
      <c r="BI260">
        <v>-2519.8394829778845</v>
      </c>
      <c r="BJ260">
        <v>8.2596829917431336E-2</v>
      </c>
    </row>
    <row r="261" spans="3:62" x14ac:dyDescent="0.2">
      <c r="C261" s="121">
        <v>69379.179575981849</v>
      </c>
      <c r="D261" s="121">
        <v>15.326574461398597</v>
      </c>
      <c r="E261" s="121">
        <v>70586.983194335073</v>
      </c>
      <c r="F261" s="121">
        <v>15.207044796596564</v>
      </c>
      <c r="G261" s="121">
        <v>-1207.803618353224</v>
      </c>
      <c r="H261" s="121">
        <v>0.11952966480203209</v>
      </c>
      <c r="N261" s="121"/>
      <c r="O261" s="121"/>
      <c r="P261" s="121"/>
      <c r="R261">
        <v>214.93184324310647</v>
      </c>
      <c r="S261">
        <v>74.177514475481075</v>
      </c>
      <c r="T261">
        <v>239.27900587516206</v>
      </c>
      <c r="U261">
        <v>88.542026809605233</v>
      </c>
      <c r="X261">
        <v>0.85653065478405654</v>
      </c>
      <c r="Y261">
        <v>0.82283203322561738</v>
      </c>
      <c r="Z261">
        <v>0.82867057381714315</v>
      </c>
      <c r="AA261">
        <v>0.87783239420650883</v>
      </c>
      <c r="AB261">
        <v>0.83036955562310566</v>
      </c>
      <c r="AC261">
        <v>0.69089611219621516</v>
      </c>
      <c r="AD261">
        <v>0.9057137769262662</v>
      </c>
      <c r="AE261">
        <v>0.79235516563081143</v>
      </c>
      <c r="AH261">
        <v>0.17275674768876681</v>
      </c>
      <c r="AI261">
        <v>3.7192623839744088E-2</v>
      </c>
      <c r="AJ261">
        <v>0.33273684185859398</v>
      </c>
      <c r="AK261">
        <v>0.16547826646192532</v>
      </c>
      <c r="AL261">
        <v>8.848153037516715E-2</v>
      </c>
      <c r="AM261">
        <v>8.4814729119512045E-2</v>
      </c>
      <c r="AN261">
        <v>5.6928892535360487E-2</v>
      </c>
      <c r="AO261">
        <v>0.21506694960375916</v>
      </c>
      <c r="AR261">
        <v>8.5189995055059118E-4</v>
      </c>
      <c r="AS261">
        <v>4.7535439131223267E-3</v>
      </c>
      <c r="AT261">
        <v>4.7922781791737423E-3</v>
      </c>
      <c r="AU261">
        <v>2.4161322668714291E-3</v>
      </c>
      <c r="AV261">
        <v>1.8745605292516693E-3</v>
      </c>
      <c r="AW261">
        <v>3.3464371855678621E-3</v>
      </c>
      <c r="AX261">
        <v>2.9314305071218092E-4</v>
      </c>
      <c r="AY261">
        <v>4.3401684432901183E-4</v>
      </c>
      <c r="BB261">
        <v>5.3091084615536355E-2</v>
      </c>
      <c r="BC261">
        <v>4.3715897891075495E-2</v>
      </c>
      <c r="BE261">
        <v>69379.179575981849</v>
      </c>
      <c r="BF261">
        <v>15.326574461398597</v>
      </c>
      <c r="BG261">
        <v>70586.983194335073</v>
      </c>
      <c r="BH261">
        <v>15.207044796596564</v>
      </c>
      <c r="BI261">
        <v>-1207.803618353224</v>
      </c>
      <c r="BJ261">
        <v>0.11952966480203209</v>
      </c>
    </row>
    <row r="262" spans="3:62" x14ac:dyDescent="0.2">
      <c r="C262" s="121">
        <v>77312.868181751968</v>
      </c>
      <c r="D262" s="121">
        <v>16.953294219901242</v>
      </c>
      <c r="E262" s="121">
        <v>79219.483229721023</v>
      </c>
      <c r="F262" s="121">
        <v>16.8394725962115</v>
      </c>
      <c r="G262" s="121">
        <v>-1906.615047969055</v>
      </c>
      <c r="H262" s="121">
        <v>0.11382162368974136</v>
      </c>
      <c r="N262" s="121"/>
      <c r="O262" s="121"/>
      <c r="P262" s="121"/>
      <c r="R262">
        <v>356.55111834754143</v>
      </c>
      <c r="S262">
        <v>66.852011862865396</v>
      </c>
      <c r="T262">
        <v>257.83180247857916</v>
      </c>
      <c r="U262">
        <v>88.99569877041408</v>
      </c>
      <c r="X262">
        <v>0.65136521419612381</v>
      </c>
      <c r="Y262">
        <v>0.83717868723419631</v>
      </c>
      <c r="Z262">
        <v>0.63471450502803684</v>
      </c>
      <c r="AA262">
        <v>0.85118043527814802</v>
      </c>
      <c r="AB262">
        <v>0.69800324322793672</v>
      </c>
      <c r="AC262">
        <v>0.58546584092889642</v>
      </c>
      <c r="AD262">
        <v>0.72048433827000047</v>
      </c>
      <c r="AE262">
        <v>0.4691716144917415</v>
      </c>
      <c r="AH262">
        <v>0.17303407911096158</v>
      </c>
      <c r="AI262">
        <v>0.1127700412063718</v>
      </c>
      <c r="AJ262">
        <v>9.5343204698796202E-2</v>
      </c>
      <c r="AK262">
        <v>0.10835009410209639</v>
      </c>
      <c r="AL262">
        <v>0.15553078059262326</v>
      </c>
      <c r="AM262">
        <v>6.955835658101206E-3</v>
      </c>
      <c r="AN262">
        <v>0.26943717976612591</v>
      </c>
      <c r="AO262">
        <v>2.0713479055499251E-2</v>
      </c>
      <c r="AR262">
        <v>9.9099112453304716E-4</v>
      </c>
      <c r="AS262">
        <v>4.8208169077810226E-3</v>
      </c>
      <c r="AT262">
        <v>4.9057414369557658E-3</v>
      </c>
      <c r="AU262">
        <v>1.8599121327466347E-3</v>
      </c>
      <c r="AV262">
        <v>1.8480981652132561E-3</v>
      </c>
      <c r="AW262">
        <v>3.1063369567715369E-3</v>
      </c>
      <c r="AX262">
        <v>5.0707920679127216E-4</v>
      </c>
      <c r="AY262">
        <v>4.1481514441157435E-4</v>
      </c>
      <c r="BB262">
        <v>5.1638910788288306E-2</v>
      </c>
      <c r="BC262">
        <v>8.0197492057833442E-2</v>
      </c>
      <c r="BE262">
        <v>77312.868181751968</v>
      </c>
      <c r="BF262">
        <v>16.953294219901242</v>
      </c>
      <c r="BG262">
        <v>79219.483229721023</v>
      </c>
      <c r="BH262">
        <v>16.8394725962115</v>
      </c>
      <c r="BI262">
        <v>-1906.615047969055</v>
      </c>
      <c r="BJ262">
        <v>0.11382162368974136</v>
      </c>
    </row>
    <row r="263" spans="3:62" x14ac:dyDescent="0.2">
      <c r="C263" s="121">
        <v>68546.039116380154</v>
      </c>
      <c r="D263" s="121">
        <v>15.519397259713903</v>
      </c>
      <c r="E263" s="121">
        <v>70633.919002830444</v>
      </c>
      <c r="F263" s="121">
        <v>15.329881694970535</v>
      </c>
      <c r="G263" s="121">
        <v>-2087.8798864502896</v>
      </c>
      <c r="H263" s="121">
        <v>0.18951556474336861</v>
      </c>
      <c r="N263" s="121"/>
      <c r="O263" s="121"/>
      <c r="P263" s="121"/>
      <c r="R263">
        <v>146.04854777193339</v>
      </c>
      <c r="S263">
        <v>72.099353826770368</v>
      </c>
      <c r="T263">
        <v>197.10148543629114</v>
      </c>
      <c r="U263">
        <v>106.47351980656246</v>
      </c>
      <c r="X263">
        <v>0.50461414804220961</v>
      </c>
      <c r="Y263">
        <v>0.37217491595739188</v>
      </c>
      <c r="Z263">
        <v>0.63530324161357021</v>
      </c>
      <c r="AA263">
        <v>0.90617217603861477</v>
      </c>
      <c r="AB263">
        <v>0.6301627804515697</v>
      </c>
      <c r="AC263">
        <v>0.51921130790081804</v>
      </c>
      <c r="AD263">
        <v>0.74626495719203179</v>
      </c>
      <c r="AE263">
        <v>0.43270333327814831</v>
      </c>
      <c r="AH263">
        <v>5.0689091329858549E-3</v>
      </c>
      <c r="AI263">
        <v>0.13089196200955655</v>
      </c>
      <c r="AJ263">
        <v>0.19283368222964425</v>
      </c>
      <c r="AK263">
        <v>0.12969218263549986</v>
      </c>
      <c r="AL263">
        <v>8.26630293206565E-2</v>
      </c>
      <c r="AM263">
        <v>0.13821636816285265</v>
      </c>
      <c r="AN263">
        <v>4.0892137160613906E-2</v>
      </c>
      <c r="AO263">
        <v>3.7902480026003493E-2</v>
      </c>
      <c r="AR263">
        <v>7.8628012548047853E-4</v>
      </c>
      <c r="AS263">
        <v>4.5785898000809677E-3</v>
      </c>
      <c r="AT263">
        <v>5.0317262967443099E-3</v>
      </c>
      <c r="AU263">
        <v>1.8640979646070669E-3</v>
      </c>
      <c r="AV263">
        <v>1.9966949966486736E-3</v>
      </c>
      <c r="AW263">
        <v>3.6190528121061716E-3</v>
      </c>
      <c r="AX263">
        <v>3.9358849030028637E-4</v>
      </c>
      <c r="AY263">
        <v>4.4642209706601357E-4</v>
      </c>
      <c r="BB263">
        <v>4.8527572482464407E-2</v>
      </c>
      <c r="BC263">
        <v>4.9583754106773625E-2</v>
      </c>
      <c r="BE263">
        <v>68546.039116380154</v>
      </c>
      <c r="BF263">
        <v>15.519397259713903</v>
      </c>
      <c r="BG263">
        <v>70633.919002830444</v>
      </c>
      <c r="BH263">
        <v>15.329881694970535</v>
      </c>
      <c r="BI263">
        <v>-2087.8798864502896</v>
      </c>
      <c r="BJ263">
        <v>0.18951556474336861</v>
      </c>
    </row>
    <row r="264" spans="3:62" x14ac:dyDescent="0.2">
      <c r="C264" s="121">
        <v>68017.076381833933</v>
      </c>
      <c r="D264" s="121">
        <v>16.041953922403192</v>
      </c>
      <c r="E264" s="121">
        <v>68799.902412748663</v>
      </c>
      <c r="F264" s="121">
        <v>15.978483701610541</v>
      </c>
      <c r="G264" s="121">
        <v>-782.82603091472993</v>
      </c>
      <c r="H264" s="121">
        <v>6.3470220792650522E-2</v>
      </c>
      <c r="N264" s="121"/>
      <c r="O264" s="121"/>
      <c r="P264" s="121"/>
      <c r="R264">
        <v>269.51596117093146</v>
      </c>
      <c r="S264">
        <v>63.611001568072922</v>
      </c>
      <c r="T264">
        <v>228.07790565274962</v>
      </c>
      <c r="U264">
        <v>103.52351953702727</v>
      </c>
      <c r="X264">
        <v>0.74326984018358822</v>
      </c>
      <c r="Y264">
        <v>0.68308169203896529</v>
      </c>
      <c r="Z264">
        <v>0.90008782453467839</v>
      </c>
      <c r="AA264">
        <v>0.94625936194096005</v>
      </c>
      <c r="AB264">
        <v>0.89866685327368168</v>
      </c>
      <c r="AC264">
        <v>0.83429695968798889</v>
      </c>
      <c r="AD264">
        <v>0.84702736092413244</v>
      </c>
      <c r="AE264">
        <v>0.86367811592719168</v>
      </c>
      <c r="AH264">
        <v>0.11205127829431483</v>
      </c>
      <c r="AI264">
        <v>9.7676018277475074E-2</v>
      </c>
      <c r="AJ264">
        <v>4.8361256457846169E-2</v>
      </c>
      <c r="AK264">
        <v>7.8044251185020119E-2</v>
      </c>
      <c r="AL264">
        <v>8.0050967766083669E-2</v>
      </c>
      <c r="AM264">
        <v>7.8800471574688502E-2</v>
      </c>
      <c r="AN264">
        <v>5.9368032280880279E-2</v>
      </c>
      <c r="AO264">
        <v>3.2067030103647198E-2</v>
      </c>
      <c r="AR264">
        <v>7.0043606271352082E-4</v>
      </c>
      <c r="AS264">
        <v>4.9472891241894024E-3</v>
      </c>
      <c r="AT264">
        <v>4.668270630237825E-3</v>
      </c>
      <c r="AU264">
        <v>1.8581777051039318E-3</v>
      </c>
      <c r="AV264">
        <v>1.9044427558945142E-3</v>
      </c>
      <c r="AW264">
        <v>3.4451411012117461E-3</v>
      </c>
      <c r="AX264">
        <v>4.535670728854635E-4</v>
      </c>
      <c r="AY264">
        <v>4.3867003189979081E-4</v>
      </c>
      <c r="BB264">
        <v>4.5209784644229131E-2</v>
      </c>
      <c r="BC264">
        <v>7.2757822533296101E-2</v>
      </c>
      <c r="BE264">
        <v>68017.076381833933</v>
      </c>
      <c r="BF264">
        <v>16.041953922403192</v>
      </c>
      <c r="BG264">
        <v>68799.902412748663</v>
      </c>
      <c r="BH264">
        <v>15.978483701610541</v>
      </c>
      <c r="BI264">
        <v>-782.82603091472993</v>
      </c>
      <c r="BJ264">
        <v>6.3470220792650522E-2</v>
      </c>
    </row>
    <row r="265" spans="3:62" x14ac:dyDescent="0.2">
      <c r="C265" s="121">
        <v>73128.155654848524</v>
      </c>
      <c r="D265" s="121">
        <v>14.823162553420504</v>
      </c>
      <c r="E265" s="121">
        <v>74746.684870122117</v>
      </c>
      <c r="F265" s="121">
        <v>14.680636721934292</v>
      </c>
      <c r="G265" s="121">
        <v>-1618.5292152735929</v>
      </c>
      <c r="H265" s="121">
        <v>0.14252583148621234</v>
      </c>
      <c r="N265" s="121"/>
      <c r="O265" s="121"/>
      <c r="P265" s="121"/>
      <c r="R265">
        <v>66.584483011318838</v>
      </c>
      <c r="S265">
        <v>58.811842876334133</v>
      </c>
      <c r="T265">
        <v>226.44243535678805</v>
      </c>
      <c r="U265">
        <v>100.73950504311733</v>
      </c>
      <c r="X265">
        <v>0.74062234933363691</v>
      </c>
      <c r="Y265">
        <v>0.85186789706695043</v>
      </c>
      <c r="Z265">
        <v>0.57688776930609975</v>
      </c>
      <c r="AA265">
        <v>0.86361862250691313</v>
      </c>
      <c r="AB265">
        <v>0.7302826265736917</v>
      </c>
      <c r="AC265">
        <v>0.69922351547048567</v>
      </c>
      <c r="AD265">
        <v>0.65003303340242213</v>
      </c>
      <c r="AE265">
        <v>0.50186194127953365</v>
      </c>
      <c r="AH265">
        <v>8.6866566178299909E-2</v>
      </c>
      <c r="AI265">
        <v>0.12415546545951606</v>
      </c>
      <c r="AJ265">
        <v>0.21965436319746734</v>
      </c>
      <c r="AK265">
        <v>2.1449143050992436E-2</v>
      </c>
      <c r="AL265">
        <v>3.4619911413321769E-2</v>
      </c>
      <c r="AM265">
        <v>0.11741529408427731</v>
      </c>
      <c r="AN265">
        <v>0.2100344771477588</v>
      </c>
      <c r="AO265">
        <v>7.2014314618366049E-2</v>
      </c>
      <c r="AR265">
        <v>7.7248669776667611E-4</v>
      </c>
      <c r="AS265">
        <v>4.82323154960973E-3</v>
      </c>
      <c r="AT265">
        <v>4.9412810692056296E-3</v>
      </c>
      <c r="AU265">
        <v>2.1699578397794683E-3</v>
      </c>
      <c r="AV265">
        <v>1.8871838419078019E-3</v>
      </c>
      <c r="AW265">
        <v>3.5058473899889364E-3</v>
      </c>
      <c r="AX265">
        <v>4.7822594967061871E-4</v>
      </c>
      <c r="AY265">
        <v>5.1678444912028887E-4</v>
      </c>
      <c r="BB265">
        <v>4.4754009700547853E-2</v>
      </c>
      <c r="BC265">
        <v>6.9003415667866275E-2</v>
      </c>
      <c r="BE265">
        <v>73128.155654848524</v>
      </c>
      <c r="BF265">
        <v>14.823162553420504</v>
      </c>
      <c r="BG265">
        <v>74746.684870122117</v>
      </c>
      <c r="BH265">
        <v>14.680636721934292</v>
      </c>
      <c r="BI265">
        <v>-1618.5292152735929</v>
      </c>
      <c r="BJ265">
        <v>0.14252583148621234</v>
      </c>
    </row>
    <row r="266" spans="3:62" x14ac:dyDescent="0.2">
      <c r="C266" s="121">
        <v>70843.298389294025</v>
      </c>
      <c r="D266" s="121">
        <v>16.573672786613002</v>
      </c>
      <c r="E266" s="121">
        <v>73013.567518026655</v>
      </c>
      <c r="F266" s="121">
        <v>16.417682611273079</v>
      </c>
      <c r="G266" s="121">
        <v>-2170.2691287326306</v>
      </c>
      <c r="H266" s="121">
        <v>0.1559901753399231</v>
      </c>
      <c r="N266" s="121"/>
      <c r="O266" s="121"/>
      <c r="P266" s="121"/>
      <c r="R266">
        <v>227.04803380745014</v>
      </c>
      <c r="S266">
        <v>66.616969156648437</v>
      </c>
      <c r="T266">
        <v>254.55427236395749</v>
      </c>
      <c r="U266">
        <v>80.690549587782527</v>
      </c>
      <c r="X266">
        <v>0.76821049972408328</v>
      </c>
      <c r="Y266">
        <v>0.71655957372810664</v>
      </c>
      <c r="Z266">
        <v>0.65321732489638429</v>
      </c>
      <c r="AA266">
        <v>0.92185088094374201</v>
      </c>
      <c r="AB266">
        <v>0.8256313669333657</v>
      </c>
      <c r="AC266">
        <v>0.86823315920934996</v>
      </c>
      <c r="AD266">
        <v>0.7644326074801584</v>
      </c>
      <c r="AE266">
        <v>0.87893711849974232</v>
      </c>
      <c r="AH266">
        <v>7.2032834401464241E-2</v>
      </c>
      <c r="AI266">
        <v>3.9885266116953533E-2</v>
      </c>
      <c r="AJ266">
        <v>0.28244531467067135</v>
      </c>
      <c r="AK266">
        <v>0.16569176380689532</v>
      </c>
      <c r="AL266">
        <v>0.15280062165086883</v>
      </c>
      <c r="AM266">
        <v>5.3634322191955519E-2</v>
      </c>
      <c r="AN266">
        <v>8.0443233338390319E-2</v>
      </c>
      <c r="AO266">
        <v>9.8866154751595103E-2</v>
      </c>
      <c r="AR266">
        <v>8.4628075889034687E-4</v>
      </c>
      <c r="AS266">
        <v>5.0259211941583448E-3</v>
      </c>
      <c r="AT266">
        <v>4.7261785725929272E-3</v>
      </c>
      <c r="AU266">
        <v>2.0821487186921672E-3</v>
      </c>
      <c r="AV266">
        <v>1.6946626452270701E-3</v>
      </c>
      <c r="AW266">
        <v>3.5497244323567934E-3</v>
      </c>
      <c r="AX266">
        <v>4.4314729155792154E-4</v>
      </c>
      <c r="AY266">
        <v>5.1237351496002947E-4</v>
      </c>
      <c r="BB266">
        <v>5.4434893731517109E-2</v>
      </c>
      <c r="BC266">
        <v>3.0505116335358243E-2</v>
      </c>
      <c r="BE266">
        <v>70843.298389294025</v>
      </c>
      <c r="BF266">
        <v>16.573672786613002</v>
      </c>
      <c r="BG266">
        <v>73013.567518026655</v>
      </c>
      <c r="BH266">
        <v>16.417682611273079</v>
      </c>
      <c r="BI266">
        <v>-2170.2691287326306</v>
      </c>
      <c r="BJ266">
        <v>0.1559901753399231</v>
      </c>
    </row>
    <row r="267" spans="3:62" x14ac:dyDescent="0.2">
      <c r="C267" s="121">
        <v>75685.50380723353</v>
      </c>
      <c r="D267" s="121">
        <v>14.689818641254174</v>
      </c>
      <c r="E267" s="121">
        <v>76456.070238201559</v>
      </c>
      <c r="F267" s="121">
        <v>14.570981292888407</v>
      </c>
      <c r="G267" s="121">
        <v>-770.56643096802873</v>
      </c>
      <c r="H267" s="121">
        <v>0.11883734836576743</v>
      </c>
      <c r="N267" s="121"/>
      <c r="O267" s="121"/>
      <c r="P267" s="121"/>
      <c r="R267">
        <v>368.21415778839935</v>
      </c>
      <c r="S267">
        <v>61.728809939974965</v>
      </c>
      <c r="T267">
        <v>228.41159857039426</v>
      </c>
      <c r="U267">
        <v>96.477590552474567</v>
      </c>
      <c r="X267">
        <v>0.61605253770090374</v>
      </c>
      <c r="Y267">
        <v>0.71889493564415974</v>
      </c>
      <c r="Z267">
        <v>0.55150986487885434</v>
      </c>
      <c r="AA267">
        <v>0.67602519361050073</v>
      </c>
      <c r="AB267">
        <v>0.82915712202233793</v>
      </c>
      <c r="AC267">
        <v>0.65049084279466951</v>
      </c>
      <c r="AD267">
        <v>0.69019943719171362</v>
      </c>
      <c r="AE267">
        <v>0.75613556958581163</v>
      </c>
      <c r="AH267">
        <v>8.4393662786714563E-2</v>
      </c>
      <c r="AI267">
        <v>6.0092694739811714E-2</v>
      </c>
      <c r="AJ267">
        <v>3.8365626214141524E-2</v>
      </c>
      <c r="AK267">
        <v>1.3025434175582662E-2</v>
      </c>
      <c r="AL267">
        <v>4.9964162136140522E-2</v>
      </c>
      <c r="AM267">
        <v>9.3753722941178896E-2</v>
      </c>
      <c r="AN267">
        <v>9.258984262973724E-2</v>
      </c>
      <c r="AO267">
        <v>0.15843022704110143</v>
      </c>
      <c r="AR267">
        <v>9.3186820862978248E-4</v>
      </c>
      <c r="AS267">
        <v>4.5340220074896465E-3</v>
      </c>
      <c r="AT267">
        <v>4.5108473288673371E-3</v>
      </c>
      <c r="AU267">
        <v>2.1177024148439916E-3</v>
      </c>
      <c r="AV267">
        <v>1.965007401066564E-3</v>
      </c>
      <c r="AW267">
        <v>3.2041962968850429E-3</v>
      </c>
      <c r="AX267">
        <v>3.3752216964867449E-4</v>
      </c>
      <c r="AY267">
        <v>4.5799495483900277E-4</v>
      </c>
      <c r="BB267">
        <v>4.7012836685561991E-2</v>
      </c>
      <c r="BC267">
        <v>3.3816084371908757E-2</v>
      </c>
      <c r="BE267">
        <v>75685.50380723353</v>
      </c>
      <c r="BF267">
        <v>14.689818641254174</v>
      </c>
      <c r="BG267">
        <v>76456.070238201559</v>
      </c>
      <c r="BH267">
        <v>14.570981292888407</v>
      </c>
      <c r="BI267">
        <v>-770.56643096802873</v>
      </c>
      <c r="BJ267">
        <v>0.11883734836576743</v>
      </c>
    </row>
    <row r="268" spans="3:62" x14ac:dyDescent="0.2">
      <c r="C268" s="123">
        <v>65092.318318693302</v>
      </c>
      <c r="D268" s="123">
        <v>16.719319638932706</v>
      </c>
      <c r="E268" s="123">
        <v>66699.698228190638</v>
      </c>
      <c r="F268" s="123">
        <v>16.627908482663962</v>
      </c>
      <c r="G268" s="123">
        <v>-1607.3799094973365</v>
      </c>
      <c r="H268" s="123">
        <v>9.141115626874452E-2</v>
      </c>
      <c r="N268" s="121"/>
      <c r="O268" s="121"/>
      <c r="P268" s="121"/>
      <c r="R268">
        <v>46.854175125166762</v>
      </c>
      <c r="S268">
        <v>71.315523279947229</v>
      </c>
      <c r="T268">
        <v>206.54039012179101</v>
      </c>
      <c r="U268">
        <v>88.904510217440773</v>
      </c>
      <c r="X268">
        <v>0.84069974272050585</v>
      </c>
      <c r="Y268">
        <v>0.83980213295403305</v>
      </c>
      <c r="Z268">
        <v>0.71915722149782169</v>
      </c>
      <c r="AA268">
        <v>0.81996954467030703</v>
      </c>
      <c r="AB268">
        <v>0.43980213663541212</v>
      </c>
      <c r="AC268">
        <v>0.60567939762458489</v>
      </c>
      <c r="AD268">
        <v>0.92699961635933636</v>
      </c>
      <c r="AE268">
        <v>0.67387927612710663</v>
      </c>
      <c r="AH268">
        <v>3.4008687244963642E-2</v>
      </c>
      <c r="AI268">
        <v>0.21606283520947067</v>
      </c>
      <c r="AJ268">
        <v>0.19608779667981535</v>
      </c>
      <c r="AK268">
        <v>5.1870124661021366E-2</v>
      </c>
      <c r="AL268">
        <v>9.4014810217767364E-2</v>
      </c>
      <c r="AM268">
        <v>8.2082203828270472E-2</v>
      </c>
      <c r="AN268">
        <v>4.7828550472661435E-2</v>
      </c>
      <c r="AO268">
        <v>0.25243835804401416</v>
      </c>
      <c r="AR268">
        <v>8.0241490510406526E-4</v>
      </c>
      <c r="AS268">
        <v>4.3389492507803426E-3</v>
      </c>
      <c r="AT268">
        <v>5.025923949772082E-3</v>
      </c>
      <c r="AU268">
        <v>1.9463368286555623E-3</v>
      </c>
      <c r="AV268">
        <v>2.0712097732737966E-3</v>
      </c>
      <c r="AW268">
        <v>3.4565138783964056E-3</v>
      </c>
      <c r="AX268">
        <v>4.0281248207985065E-4</v>
      </c>
      <c r="AY268">
        <v>5.6583863821824121E-4</v>
      </c>
      <c r="BB268">
        <v>5.6302562787912125E-2</v>
      </c>
      <c r="BC268">
        <v>4.2672203009116186E-2</v>
      </c>
      <c r="BE268">
        <v>65092.318318693302</v>
      </c>
      <c r="BF268">
        <v>16.719319638932706</v>
      </c>
      <c r="BG268">
        <v>66699.698228190638</v>
      </c>
      <c r="BH268">
        <v>16.627908482663962</v>
      </c>
      <c r="BI268">
        <v>-1607.3799094973365</v>
      </c>
      <c r="BJ268">
        <v>9.141115626874452E-2</v>
      </c>
    </row>
    <row r="269" spans="3:62" x14ac:dyDescent="0.2">
      <c r="C269" s="121">
        <v>67869.555745066085</v>
      </c>
      <c r="D269" s="121">
        <v>16.185572419302346</v>
      </c>
      <c r="E269" s="121">
        <v>69819.157297629179</v>
      </c>
      <c r="F269" s="121">
        <v>16.013122585037181</v>
      </c>
      <c r="G269" s="121">
        <v>-1949.6015525630937</v>
      </c>
      <c r="H269" s="121">
        <v>0.17244983426516569</v>
      </c>
      <c r="N269" s="121"/>
      <c r="O269" s="121"/>
      <c r="P269" s="121"/>
      <c r="R269">
        <v>460.20028662639447</v>
      </c>
      <c r="S269">
        <v>60.911381598984761</v>
      </c>
      <c r="T269">
        <v>297.29284760672851</v>
      </c>
      <c r="U269">
        <v>102.34945414508701</v>
      </c>
      <c r="X269">
        <v>0.90337165292352051</v>
      </c>
      <c r="Y269">
        <v>0.74182191834394451</v>
      </c>
      <c r="Z269">
        <v>0.69099245906750029</v>
      </c>
      <c r="AA269">
        <v>0.65932751420307578</v>
      </c>
      <c r="AB269">
        <v>0.86410864045205504</v>
      </c>
      <c r="AC269">
        <v>0.86584356786401984</v>
      </c>
      <c r="AD269">
        <v>0.5090440473980149</v>
      </c>
      <c r="AE269">
        <v>0.87286597618927142</v>
      </c>
      <c r="AH269">
        <v>0.12231379673239051</v>
      </c>
      <c r="AI269">
        <v>0.19342143775431553</v>
      </c>
      <c r="AJ269">
        <v>8.2302053038127321E-2</v>
      </c>
      <c r="AK269">
        <v>8.8631279459842727E-2</v>
      </c>
      <c r="AL269">
        <v>1.5018435421640719E-2</v>
      </c>
      <c r="AM269">
        <v>0.10080151415977423</v>
      </c>
      <c r="AN269">
        <v>0.174467529175792</v>
      </c>
      <c r="AO269">
        <v>0.21984109984769296</v>
      </c>
      <c r="AR269">
        <v>9.0489716941444254E-4</v>
      </c>
      <c r="AS269">
        <v>4.1149501530525386E-3</v>
      </c>
      <c r="AT269">
        <v>5.0525255431663751E-3</v>
      </c>
      <c r="AU269">
        <v>2.0281584878245607E-3</v>
      </c>
      <c r="AV269">
        <v>1.9401379244788374E-3</v>
      </c>
      <c r="AW269">
        <v>3.5401677950422927E-3</v>
      </c>
      <c r="AX269">
        <v>4.2097542248409336E-4</v>
      </c>
      <c r="AY269">
        <v>5.0962479716487596E-4</v>
      </c>
      <c r="BB269">
        <v>4.5991036847847319E-2</v>
      </c>
      <c r="BC269">
        <v>4.4718109944575167E-2</v>
      </c>
      <c r="BE269">
        <v>67869.555745066085</v>
      </c>
      <c r="BF269">
        <v>16.185572419302346</v>
      </c>
      <c r="BG269">
        <v>69819.157297629179</v>
      </c>
      <c r="BH269">
        <v>16.013122585037181</v>
      </c>
      <c r="BI269">
        <v>-1949.6015525630937</v>
      </c>
      <c r="BJ269">
        <v>0.17244983426516569</v>
      </c>
    </row>
    <row r="270" spans="3:62" x14ac:dyDescent="0.2">
      <c r="C270" s="121">
        <v>72144.682544904077</v>
      </c>
      <c r="D270" s="121">
        <v>17.094124729885266</v>
      </c>
      <c r="E270" s="121">
        <v>73969.712079027857</v>
      </c>
      <c r="F270" s="121">
        <v>16.94367924249056</v>
      </c>
      <c r="G270" s="121">
        <v>-1825.0295341237797</v>
      </c>
      <c r="H270" s="121">
        <v>0.15044548739470542</v>
      </c>
      <c r="N270" s="121"/>
      <c r="O270" s="121"/>
      <c r="P270" s="121"/>
      <c r="R270">
        <v>234.39240085453707</v>
      </c>
      <c r="S270">
        <v>61.628398635754309</v>
      </c>
      <c r="T270">
        <v>219.91375141330124</v>
      </c>
      <c r="U270">
        <v>86.286814269619668</v>
      </c>
      <c r="X270">
        <v>0.85540710038470424</v>
      </c>
      <c r="Y270">
        <v>0.65140706508414548</v>
      </c>
      <c r="Z270">
        <v>0.59347157776911619</v>
      </c>
      <c r="AA270">
        <v>0.78320055354561013</v>
      </c>
      <c r="AB270">
        <v>0.93115765671659678</v>
      </c>
      <c r="AC270">
        <v>0.52393645536397893</v>
      </c>
      <c r="AD270">
        <v>0.80519009676904163</v>
      </c>
      <c r="AE270">
        <v>0.59738816031133024</v>
      </c>
      <c r="AH270">
        <v>0.10604901689266821</v>
      </c>
      <c r="AI270">
        <v>0.25105315530740624</v>
      </c>
      <c r="AJ270">
        <v>0.20918313714927095</v>
      </c>
      <c r="AK270">
        <v>0.34418997063643064</v>
      </c>
      <c r="AL270">
        <v>0.1015784137052681</v>
      </c>
      <c r="AM270">
        <v>0.10783876847969065</v>
      </c>
      <c r="AN270">
        <v>0.17036777501137546</v>
      </c>
      <c r="AO270">
        <v>9.9045982598775284E-2</v>
      </c>
      <c r="AR270">
        <v>8.599034296463753E-4</v>
      </c>
      <c r="AS270">
        <v>4.4945408519844856E-3</v>
      </c>
      <c r="AT270">
        <v>4.799561197103965E-3</v>
      </c>
      <c r="AU270">
        <v>2.0839257726296134E-3</v>
      </c>
      <c r="AV270">
        <v>2.1591153095436022E-3</v>
      </c>
      <c r="AW270">
        <v>3.3316186056787061E-3</v>
      </c>
      <c r="AX270">
        <v>3.1842353624549763E-4</v>
      </c>
      <c r="AY270">
        <v>4.6716465891649683E-4</v>
      </c>
      <c r="BB270">
        <v>4.984927206822809E-2</v>
      </c>
      <c r="BC270">
        <v>1.9163844181777814E-2</v>
      </c>
      <c r="BE270">
        <v>72144.682544904077</v>
      </c>
      <c r="BF270">
        <v>17.094124729885266</v>
      </c>
      <c r="BG270">
        <v>73969.712079027857</v>
      </c>
      <c r="BH270">
        <v>16.94367924249056</v>
      </c>
      <c r="BI270">
        <v>-1825.0295341237797</v>
      </c>
      <c r="BJ270">
        <v>0.15044548739470542</v>
      </c>
    </row>
    <row r="271" spans="3:62" x14ac:dyDescent="0.2">
      <c r="C271" s="121">
        <v>66195.382002330749</v>
      </c>
      <c r="D271" s="121">
        <v>16.085248234176586</v>
      </c>
      <c r="E271" s="121">
        <v>68021.390021521511</v>
      </c>
      <c r="F271" s="121">
        <v>15.914188842254566</v>
      </c>
      <c r="G271" s="121">
        <v>-1826.0080191907618</v>
      </c>
      <c r="H271" s="121">
        <v>0.1710593919220198</v>
      </c>
      <c r="N271" s="121"/>
      <c r="O271" s="121"/>
      <c r="P271" s="121"/>
      <c r="R271">
        <v>330.67703171803657</v>
      </c>
      <c r="S271">
        <v>68.784402586322585</v>
      </c>
      <c r="T271">
        <v>218.81311540762061</v>
      </c>
      <c r="U271">
        <v>100.90762152388777</v>
      </c>
      <c r="X271">
        <v>0.75883827778235668</v>
      </c>
      <c r="Y271">
        <v>0.62828959251365779</v>
      </c>
      <c r="Z271">
        <v>0.58012628740688321</v>
      </c>
      <c r="AA271">
        <v>0.60461721456327877</v>
      </c>
      <c r="AB271">
        <v>0.67131579794127128</v>
      </c>
      <c r="AC271">
        <v>0.67888621632189095</v>
      </c>
      <c r="AD271">
        <v>0.84508094915092979</v>
      </c>
      <c r="AE271">
        <v>0.66654277681713825</v>
      </c>
      <c r="AH271">
        <v>0.1291103630970547</v>
      </c>
      <c r="AI271">
        <v>0.24065451417729977</v>
      </c>
      <c r="AJ271">
        <v>0.18516002363194328</v>
      </c>
      <c r="AK271">
        <v>8.4065651456854407E-2</v>
      </c>
      <c r="AL271">
        <v>1.296361218405484E-2</v>
      </c>
      <c r="AM271">
        <v>0.17016052038743124</v>
      </c>
      <c r="AN271">
        <v>6.7080390146387225E-2</v>
      </c>
      <c r="AO271">
        <v>0.16162564962263859</v>
      </c>
      <c r="AR271">
        <v>7.7762874649749234E-4</v>
      </c>
      <c r="AS271">
        <v>4.4534345369112403E-3</v>
      </c>
      <c r="AT271">
        <v>4.4325532027516294E-3</v>
      </c>
      <c r="AU271">
        <v>2.0525121355839948E-3</v>
      </c>
      <c r="AV271">
        <v>2.2544699071860297E-3</v>
      </c>
      <c r="AW271">
        <v>3.7368411949112446E-3</v>
      </c>
      <c r="AX271">
        <v>3.894680721075772E-4</v>
      </c>
      <c r="AY271">
        <v>3.9616203221562045E-4</v>
      </c>
      <c r="BB271">
        <v>4.7263636696961958E-2</v>
      </c>
      <c r="BC271">
        <v>4.5979659141459794E-2</v>
      </c>
      <c r="BE271">
        <v>66195.382002330749</v>
      </c>
      <c r="BF271">
        <v>16.085248234176586</v>
      </c>
      <c r="BG271">
        <v>68021.390021521511</v>
      </c>
      <c r="BH271">
        <v>15.914188842254566</v>
      </c>
      <c r="BI271">
        <v>-1826.0080191907618</v>
      </c>
      <c r="BJ271">
        <v>0.1710593919220198</v>
      </c>
    </row>
    <row r="272" spans="3:62" x14ac:dyDescent="0.2">
      <c r="C272" s="121">
        <v>71652.35544111066</v>
      </c>
      <c r="D272" s="121">
        <v>16.730362465029998</v>
      </c>
      <c r="E272" s="121">
        <v>73657.59257362975</v>
      </c>
      <c r="F272" s="121">
        <v>16.607586932131994</v>
      </c>
      <c r="G272" s="121">
        <v>-2005.2371325190907</v>
      </c>
      <c r="H272" s="121">
        <v>0.1227755328980038</v>
      </c>
      <c r="N272" s="121"/>
      <c r="O272" s="121"/>
      <c r="P272" s="121"/>
      <c r="R272">
        <v>246.4816576768288</v>
      </c>
      <c r="S272">
        <v>65.56336874391603</v>
      </c>
      <c r="T272">
        <v>292.64381388983446</v>
      </c>
      <c r="U272">
        <v>97.832359790941794</v>
      </c>
      <c r="X272">
        <v>0.88943065662859222</v>
      </c>
      <c r="Y272">
        <v>0.86521166591600118</v>
      </c>
      <c r="Z272">
        <v>0.9249265100299412</v>
      </c>
      <c r="AA272">
        <v>0.73421696512428714</v>
      </c>
      <c r="AB272">
        <v>0.53618703598596207</v>
      </c>
      <c r="AC272">
        <v>0.85358309004437749</v>
      </c>
      <c r="AD272">
        <v>0.87611887156151513</v>
      </c>
      <c r="AE272">
        <v>0.6502502139420554</v>
      </c>
      <c r="AH272">
        <v>0.10367649723551753</v>
      </c>
      <c r="AI272">
        <v>4.3058619117235186E-2</v>
      </c>
      <c r="AJ272">
        <v>0.21422904637668583</v>
      </c>
      <c r="AK272">
        <v>0.20311826506188857</v>
      </c>
      <c r="AL272">
        <v>0.17407841753486386</v>
      </c>
      <c r="AM272">
        <v>0.1144120933470556</v>
      </c>
      <c r="AN272">
        <v>0.24523538708017711</v>
      </c>
      <c r="AO272">
        <v>0.12544797574760269</v>
      </c>
      <c r="AR272">
        <v>7.6744913818735567E-4</v>
      </c>
      <c r="AS272">
        <v>4.2976216286758871E-3</v>
      </c>
      <c r="AT272">
        <v>4.4701608346428869E-3</v>
      </c>
      <c r="AU272">
        <v>1.7817806479361895E-3</v>
      </c>
      <c r="AV272">
        <v>2.0213575630488867E-3</v>
      </c>
      <c r="AW272">
        <v>3.414467329326043E-3</v>
      </c>
      <c r="AX272">
        <v>3.5737966139348144E-4</v>
      </c>
      <c r="AY272">
        <v>2.803202228501888E-4</v>
      </c>
      <c r="BB272">
        <v>4.749500849231228E-2</v>
      </c>
      <c r="BC272">
        <v>5.9002850746385116E-2</v>
      </c>
      <c r="BE272">
        <v>71652.35544111066</v>
      </c>
      <c r="BF272">
        <v>16.730362465029998</v>
      </c>
      <c r="BG272">
        <v>73657.59257362975</v>
      </c>
      <c r="BH272">
        <v>16.607586932131994</v>
      </c>
      <c r="BI272">
        <v>-2005.2371325190907</v>
      </c>
      <c r="BJ272">
        <v>0.1227755328980038</v>
      </c>
    </row>
    <row r="273" spans="3:62" x14ac:dyDescent="0.2">
      <c r="C273" s="121">
        <v>79484.527535285655</v>
      </c>
      <c r="D273" s="121">
        <v>15.018284709672335</v>
      </c>
      <c r="E273" s="121">
        <v>80869.729574282086</v>
      </c>
      <c r="F273" s="121">
        <v>14.862597462534596</v>
      </c>
      <c r="G273" s="121">
        <v>-1385.2020389964309</v>
      </c>
      <c r="H273" s="121">
        <v>0.15568724713773818</v>
      </c>
      <c r="N273" s="121"/>
      <c r="O273" s="121"/>
      <c r="P273" s="121"/>
      <c r="R273">
        <v>511.77534533794051</v>
      </c>
      <c r="S273">
        <v>57.334693079391606</v>
      </c>
      <c r="T273">
        <v>223.51742822699688</v>
      </c>
      <c r="U273">
        <v>96.040146918260334</v>
      </c>
      <c r="X273">
        <v>0.9008595856313355</v>
      </c>
      <c r="Y273">
        <v>0.74600999417131231</v>
      </c>
      <c r="Z273">
        <v>0.59421638915851682</v>
      </c>
      <c r="AA273">
        <v>0.81383805875364834</v>
      </c>
      <c r="AB273">
        <v>0.92368579518966443</v>
      </c>
      <c r="AC273">
        <v>0.48487811878534354</v>
      </c>
      <c r="AD273">
        <v>0.67546677207520589</v>
      </c>
      <c r="AE273">
        <v>0.82903410507293951</v>
      </c>
      <c r="AH273">
        <v>0.32119990458697223</v>
      </c>
      <c r="AI273">
        <v>9.3367177762387232E-2</v>
      </c>
      <c r="AJ273">
        <v>0.16971283837500128</v>
      </c>
      <c r="AK273">
        <v>0.23209243057048656</v>
      </c>
      <c r="AL273">
        <v>0.12129538692752873</v>
      </c>
      <c r="AM273">
        <v>8.1732994267731285E-2</v>
      </c>
      <c r="AN273">
        <v>0.13762098285829982</v>
      </c>
      <c r="AO273">
        <v>0.11716399156186874</v>
      </c>
      <c r="AR273">
        <v>9.1156495803557114E-4</v>
      </c>
      <c r="AS273">
        <v>4.2983793870517368E-3</v>
      </c>
      <c r="AT273">
        <v>5.0746620242542173E-3</v>
      </c>
      <c r="AU273">
        <v>2.0733550515685817E-3</v>
      </c>
      <c r="AV273">
        <v>2.0745408265540055E-3</v>
      </c>
      <c r="AW273">
        <v>3.2659296740806133E-3</v>
      </c>
      <c r="AX273">
        <v>4.2854435358463672E-4</v>
      </c>
      <c r="AY273">
        <v>5.0286991539028048E-4</v>
      </c>
      <c r="BB273">
        <v>6.0187302523527886E-2</v>
      </c>
      <c r="BC273">
        <v>9.2631440005032872E-2</v>
      </c>
      <c r="BE273">
        <v>79484.527535285655</v>
      </c>
      <c r="BF273">
        <v>15.018284709672335</v>
      </c>
      <c r="BG273">
        <v>80869.729574282086</v>
      </c>
      <c r="BH273">
        <v>14.862597462534596</v>
      </c>
      <c r="BI273">
        <v>-1385.2020389964309</v>
      </c>
      <c r="BJ273">
        <v>0.15568724713773818</v>
      </c>
    </row>
    <row r="274" spans="3:62" x14ac:dyDescent="0.2">
      <c r="C274" s="121">
        <v>72306.716538300563</v>
      </c>
      <c r="D274" s="121">
        <v>14.361048456644665</v>
      </c>
      <c r="E274" s="121">
        <v>73969.049529653479</v>
      </c>
      <c r="F274" s="121">
        <v>14.265718933739699</v>
      </c>
      <c r="G274" s="121">
        <v>-1662.332991352916</v>
      </c>
      <c r="H274" s="121">
        <v>9.5329522904966879E-2</v>
      </c>
      <c r="N274" s="121"/>
      <c r="O274" s="121"/>
      <c r="P274" s="121"/>
      <c r="R274">
        <v>415.75475895534203</v>
      </c>
      <c r="S274">
        <v>65.26242642782978</v>
      </c>
      <c r="T274">
        <v>267.04357581009913</v>
      </c>
      <c r="U274">
        <v>103.37439576905814</v>
      </c>
      <c r="X274">
        <v>0.70202871265802747</v>
      </c>
      <c r="Y274">
        <v>0.63892467551116849</v>
      </c>
      <c r="Z274">
        <v>0.92467649788202821</v>
      </c>
      <c r="AA274">
        <v>0.81143252932132293</v>
      </c>
      <c r="AB274">
        <v>0.91326569108784361</v>
      </c>
      <c r="AC274">
        <v>0.69559447224189674</v>
      </c>
      <c r="AD274">
        <v>0.76724122739915579</v>
      </c>
      <c r="AE274">
        <v>0.87354838045780714</v>
      </c>
      <c r="AH274">
        <v>0.24627188246042864</v>
      </c>
      <c r="AI274">
        <v>0.13731896702819413</v>
      </c>
      <c r="AJ274">
        <v>4.7789857339893382E-2</v>
      </c>
      <c r="AK274">
        <v>6.5594094744324982E-2</v>
      </c>
      <c r="AL274">
        <v>3.4476201936745388E-2</v>
      </c>
      <c r="AM274">
        <v>1.6202882578699951E-2</v>
      </c>
      <c r="AN274">
        <v>9.5179257281277185E-2</v>
      </c>
      <c r="AO274">
        <v>5.0276990771360719E-2</v>
      </c>
      <c r="AR274">
        <v>9.7476817676511729E-4</v>
      </c>
      <c r="AS274">
        <v>4.6572751557718561E-3</v>
      </c>
      <c r="AT274">
        <v>4.7496904233887806E-3</v>
      </c>
      <c r="AU274">
        <v>2.1250313326465209E-3</v>
      </c>
      <c r="AV274">
        <v>1.7381890658714684E-3</v>
      </c>
      <c r="AW274">
        <v>3.3000567738214895E-3</v>
      </c>
      <c r="AX274">
        <v>3.4843207554521806E-4</v>
      </c>
      <c r="AY274">
        <v>4.8552652367439553E-4</v>
      </c>
      <c r="BB274">
        <v>4.9637958475620185E-2</v>
      </c>
      <c r="BC274">
        <v>6.028532421920263E-2</v>
      </c>
      <c r="BE274">
        <v>72306.716538300563</v>
      </c>
      <c r="BF274">
        <v>14.361048456644665</v>
      </c>
      <c r="BG274">
        <v>73969.049529653479</v>
      </c>
      <c r="BH274">
        <v>14.265718933739699</v>
      </c>
      <c r="BI274">
        <v>-1662.332991352916</v>
      </c>
      <c r="BJ274">
        <v>9.5329522904966879E-2</v>
      </c>
    </row>
    <row r="275" spans="3:62" x14ac:dyDescent="0.2">
      <c r="C275" s="121">
        <v>72419.491660440297</v>
      </c>
      <c r="D275" s="121">
        <v>14.994145600864606</v>
      </c>
      <c r="E275" s="121">
        <v>74222.082371227632</v>
      </c>
      <c r="F275" s="121">
        <v>14.841796272076238</v>
      </c>
      <c r="G275" s="121">
        <v>-1802.5907107873354</v>
      </c>
      <c r="H275" s="121">
        <v>0.15234932878836815</v>
      </c>
      <c r="N275" s="121"/>
      <c r="O275" s="121"/>
      <c r="P275" s="121"/>
      <c r="R275">
        <v>460.88479345428897</v>
      </c>
      <c r="S275">
        <v>61.028058858917326</v>
      </c>
      <c r="T275">
        <v>268.18202271688136</v>
      </c>
      <c r="U275">
        <v>90.500791660394484</v>
      </c>
      <c r="X275">
        <v>0.42620505069526665</v>
      </c>
      <c r="Y275">
        <v>0.8079978361609228</v>
      </c>
      <c r="Z275">
        <v>0.89754011494003771</v>
      </c>
      <c r="AA275">
        <v>0.63642692301961468</v>
      </c>
      <c r="AB275">
        <v>0.84666578767590495</v>
      </c>
      <c r="AC275">
        <v>0.91379752350854793</v>
      </c>
      <c r="AD275">
        <v>0.84512474713337471</v>
      </c>
      <c r="AE275">
        <v>0.66127979247586788</v>
      </c>
      <c r="AH275">
        <v>0.17108600983307876</v>
      </c>
      <c r="AI275">
        <v>8.0536024320059796E-2</v>
      </c>
      <c r="AJ275">
        <v>5.0768938465423075E-2</v>
      </c>
      <c r="AK275">
        <v>5.2901244650583767E-2</v>
      </c>
      <c r="AL275">
        <v>6.3028980177330274E-2</v>
      </c>
      <c r="AM275">
        <v>9.5214108664876562E-2</v>
      </c>
      <c r="AN275">
        <v>6.9075891673632706E-2</v>
      </c>
      <c r="AO275">
        <v>4.807341379522645E-2</v>
      </c>
      <c r="AR275">
        <v>1.006185028572637E-3</v>
      </c>
      <c r="AS275">
        <v>4.6157899399862368E-3</v>
      </c>
      <c r="AT275">
        <v>5.2574854968397977E-3</v>
      </c>
      <c r="AU275">
        <v>2.2834116230617818E-3</v>
      </c>
      <c r="AV275">
        <v>1.85998803598954E-3</v>
      </c>
      <c r="AW275">
        <v>3.7509119868505136E-3</v>
      </c>
      <c r="AX275">
        <v>4.0919011548457007E-4</v>
      </c>
      <c r="AY275">
        <v>5.6721453384189768E-4</v>
      </c>
      <c r="BB275">
        <v>4.7288022966557021E-2</v>
      </c>
      <c r="BC275">
        <v>8.6311748349060968E-2</v>
      </c>
      <c r="BE275">
        <v>72419.491660440297</v>
      </c>
      <c r="BF275">
        <v>14.994145600864606</v>
      </c>
      <c r="BG275">
        <v>74222.082371227632</v>
      </c>
      <c r="BH275">
        <v>14.841796272076238</v>
      </c>
      <c r="BI275">
        <v>-1802.5907107873354</v>
      </c>
      <c r="BJ275">
        <v>0.15234932878836815</v>
      </c>
    </row>
    <row r="276" spans="3:62" x14ac:dyDescent="0.2">
      <c r="C276" s="121">
        <v>67350.371085207225</v>
      </c>
      <c r="D276" s="121">
        <v>18.104376704811276</v>
      </c>
      <c r="E276" s="121">
        <v>69016.514053453531</v>
      </c>
      <c r="F276" s="121">
        <v>17.987610726939277</v>
      </c>
      <c r="G276" s="121">
        <v>-1666.1429682463058</v>
      </c>
      <c r="H276" s="121">
        <v>0.11676597787199938</v>
      </c>
      <c r="N276" s="121"/>
      <c r="O276" s="121"/>
      <c r="P276" s="121"/>
      <c r="R276">
        <v>321.13255059555104</v>
      </c>
      <c r="S276">
        <v>72.260097770502043</v>
      </c>
      <c r="T276">
        <v>247.7751758579472</v>
      </c>
      <c r="U276">
        <v>92.637569002165662</v>
      </c>
      <c r="X276">
        <v>0.4695570214659141</v>
      </c>
      <c r="Y276">
        <v>0.53289117638663852</v>
      </c>
      <c r="Z276">
        <v>0.80515977118896553</v>
      </c>
      <c r="AA276">
        <v>0.68128767528881151</v>
      </c>
      <c r="AB276">
        <v>0.58791218863279016</v>
      </c>
      <c r="AC276">
        <v>0.64251731839857718</v>
      </c>
      <c r="AD276">
        <v>0.71281602570924252</v>
      </c>
      <c r="AE276">
        <v>0.77007493304048624</v>
      </c>
      <c r="AH276">
        <v>0.11643831926814641</v>
      </c>
      <c r="AI276">
        <v>3.4582208519027935E-2</v>
      </c>
      <c r="AJ276">
        <v>4.6857275531577036E-2</v>
      </c>
      <c r="AK276">
        <v>0.36378678099499728</v>
      </c>
      <c r="AL276">
        <v>5.4809946406803256E-2</v>
      </c>
      <c r="AM276">
        <v>0.37463008592336888</v>
      </c>
      <c r="AN276">
        <v>0.20163526383396535</v>
      </c>
      <c r="AO276">
        <v>6.4985931735048519E-2</v>
      </c>
      <c r="AR276">
        <v>7.4433366716358969E-4</v>
      </c>
      <c r="AS276">
        <v>4.7646823440584685E-3</v>
      </c>
      <c r="AT276">
        <v>4.8715629844921782E-3</v>
      </c>
      <c r="AU276">
        <v>1.9515789776081425E-3</v>
      </c>
      <c r="AV276">
        <v>1.9920898087737488E-3</v>
      </c>
      <c r="AW276">
        <v>3.4292683684002956E-3</v>
      </c>
      <c r="AX276">
        <v>3.3140484793915096E-4</v>
      </c>
      <c r="AY276">
        <v>4.522149473958903E-4</v>
      </c>
      <c r="BB276">
        <v>4.8079084596775949E-2</v>
      </c>
      <c r="BC276">
        <v>2.7697939123511081E-2</v>
      </c>
      <c r="BE276">
        <v>67350.371085207225</v>
      </c>
      <c r="BF276">
        <v>18.104376704811276</v>
      </c>
      <c r="BG276">
        <v>69016.514053453531</v>
      </c>
      <c r="BH276">
        <v>17.987610726939277</v>
      </c>
      <c r="BI276">
        <v>-1666.1429682463058</v>
      </c>
      <c r="BJ276">
        <v>0.11676597787199938</v>
      </c>
    </row>
    <row r="277" spans="3:62" x14ac:dyDescent="0.2">
      <c r="C277" s="121">
        <v>62261.448722943125</v>
      </c>
      <c r="D277" s="121">
        <v>16.874142292038929</v>
      </c>
      <c r="E277" s="121">
        <v>63954.19124547227</v>
      </c>
      <c r="F277" s="121">
        <v>16.724427458614112</v>
      </c>
      <c r="G277" s="121">
        <v>-1692.7425225291445</v>
      </c>
      <c r="H277" s="121">
        <v>0.14971483342481662</v>
      </c>
      <c r="N277" s="121"/>
      <c r="O277" s="121"/>
      <c r="P277" s="121"/>
      <c r="R277">
        <v>128.92326936294359</v>
      </c>
      <c r="S277">
        <v>54.957946767332444</v>
      </c>
      <c r="T277">
        <v>301.26899260150498</v>
      </c>
      <c r="U277">
        <v>108.07342665160506</v>
      </c>
      <c r="X277">
        <v>0.71128729195373808</v>
      </c>
      <c r="Y277">
        <v>0.8799235274747369</v>
      </c>
      <c r="Z277">
        <v>0.56549708674041133</v>
      </c>
      <c r="AA277">
        <v>0.84983415548577834</v>
      </c>
      <c r="AB277">
        <v>0.84563960951481232</v>
      </c>
      <c r="AC277">
        <v>0.88489179475525515</v>
      </c>
      <c r="AD277">
        <v>0.66567897929541231</v>
      </c>
      <c r="AE277">
        <v>0.83190519738666857</v>
      </c>
      <c r="AH277">
        <v>9.5538349273654122E-2</v>
      </c>
      <c r="AI277">
        <v>0.37776658128508955</v>
      </c>
      <c r="AJ277">
        <v>3.3378451654970998E-2</v>
      </c>
      <c r="AK277">
        <v>0.11056365704501514</v>
      </c>
      <c r="AL277">
        <v>3.229267937432756E-2</v>
      </c>
      <c r="AM277">
        <v>0.11661064667601628</v>
      </c>
      <c r="AN277">
        <v>0.12552225769605974</v>
      </c>
      <c r="AO277">
        <v>0.11857194146157379</v>
      </c>
      <c r="AR277">
        <v>9.1831022689015107E-4</v>
      </c>
      <c r="AS277">
        <v>4.1910600321389702E-3</v>
      </c>
      <c r="AT277">
        <v>4.5976141217573679E-3</v>
      </c>
      <c r="AU277">
        <v>1.7874665342040522E-3</v>
      </c>
      <c r="AV277">
        <v>2.0839663254511587E-3</v>
      </c>
      <c r="AW277">
        <v>3.3660138485622159E-3</v>
      </c>
      <c r="AX277">
        <v>5.7196100422962637E-4</v>
      </c>
      <c r="AY277">
        <v>5.0338864880217216E-4</v>
      </c>
      <c r="BB277">
        <v>4.7323730172690495E-2</v>
      </c>
      <c r="BC277">
        <v>4.2196458474148081E-2</v>
      </c>
      <c r="BE277">
        <v>62261.448722943125</v>
      </c>
      <c r="BF277">
        <v>16.874142292038929</v>
      </c>
      <c r="BG277">
        <v>63954.19124547227</v>
      </c>
      <c r="BH277">
        <v>16.724427458614112</v>
      </c>
      <c r="BI277">
        <v>-1692.7425225291445</v>
      </c>
      <c r="BJ277">
        <v>0.14971483342481662</v>
      </c>
    </row>
    <row r="278" spans="3:62" x14ac:dyDescent="0.2">
      <c r="C278" s="121">
        <v>70340.905771492195</v>
      </c>
      <c r="D278" s="121">
        <v>17.076748053648032</v>
      </c>
      <c r="E278" s="121">
        <v>71768.655812417186</v>
      </c>
      <c r="F278" s="121">
        <v>16.946078937682678</v>
      </c>
      <c r="G278" s="121">
        <v>-1427.7500409249915</v>
      </c>
      <c r="H278" s="121">
        <v>0.13066911596535391</v>
      </c>
      <c r="N278" s="121"/>
      <c r="O278" s="121"/>
      <c r="P278" s="121"/>
      <c r="R278">
        <v>177.19327289380325</v>
      </c>
      <c r="S278">
        <v>63.138588004440066</v>
      </c>
      <c r="T278">
        <v>255.78036165268975</v>
      </c>
      <c r="U278">
        <v>91.725454929993148</v>
      </c>
      <c r="X278">
        <v>0.94711009085177089</v>
      </c>
      <c r="Y278">
        <v>0.72066373531034578</v>
      </c>
      <c r="Z278">
        <v>0.78930128489416684</v>
      </c>
      <c r="AA278">
        <v>0.84112042194294934</v>
      </c>
      <c r="AB278">
        <v>0.7819082037668178</v>
      </c>
      <c r="AC278">
        <v>0.77032374706155826</v>
      </c>
      <c r="AD278">
        <v>0.78498714943468229</v>
      </c>
      <c r="AE278">
        <v>0.76311161946655215</v>
      </c>
      <c r="AH278">
        <v>0.15282764729133447</v>
      </c>
      <c r="AI278">
        <v>2.3579196899581767E-2</v>
      </c>
      <c r="AJ278">
        <v>0.20841014527314583</v>
      </c>
      <c r="AK278">
        <v>3.5924797489336635E-2</v>
      </c>
      <c r="AL278">
        <v>5.7299880319947816E-2</v>
      </c>
      <c r="AM278">
        <v>5.6341081495004164E-2</v>
      </c>
      <c r="AN278">
        <v>0.17011825613289222</v>
      </c>
      <c r="AO278">
        <v>0.14687016497917116</v>
      </c>
      <c r="AR278">
        <v>9.3672203956840505E-4</v>
      </c>
      <c r="AS278">
        <v>4.6557798166537712E-3</v>
      </c>
      <c r="AT278">
        <v>4.9622604145463933E-3</v>
      </c>
      <c r="AU278">
        <v>1.900068966641972E-3</v>
      </c>
      <c r="AV278">
        <v>1.9964294222047409E-3</v>
      </c>
      <c r="AW278">
        <v>3.3301998215229051E-3</v>
      </c>
      <c r="AX278">
        <v>3.6567966526493287E-4</v>
      </c>
      <c r="AY278">
        <v>4.6913293326755756E-4</v>
      </c>
      <c r="BB278">
        <v>5.2427301623323985E-2</v>
      </c>
      <c r="BC278">
        <v>5.6619432846040763E-2</v>
      </c>
      <c r="BE278">
        <v>70340.905771492195</v>
      </c>
      <c r="BF278">
        <v>17.076748053648032</v>
      </c>
      <c r="BG278">
        <v>71768.655812417186</v>
      </c>
      <c r="BH278">
        <v>16.946078937682678</v>
      </c>
      <c r="BI278">
        <v>-1427.7500409249915</v>
      </c>
      <c r="BJ278">
        <v>0.13066911596535391</v>
      </c>
    </row>
    <row r="279" spans="3:62" x14ac:dyDescent="0.2">
      <c r="C279" s="121">
        <v>74069.301510038669</v>
      </c>
      <c r="D279" s="121">
        <v>15.547773190116372</v>
      </c>
      <c r="E279" s="121">
        <v>74807.51475345956</v>
      </c>
      <c r="F279" s="121">
        <v>15.443374146131593</v>
      </c>
      <c r="G279" s="121">
        <v>-738.21324342089065</v>
      </c>
      <c r="H279" s="121">
        <v>0.10439904398477928</v>
      </c>
      <c r="N279" s="121"/>
      <c r="O279" s="121"/>
      <c r="P279" s="121"/>
      <c r="R279">
        <v>220.69747537064387</v>
      </c>
      <c r="S279">
        <v>64.338322669880242</v>
      </c>
      <c r="T279">
        <v>283.75680985204878</v>
      </c>
      <c r="U279">
        <v>112.22118265905854</v>
      </c>
      <c r="X279">
        <v>0.81509800156530221</v>
      </c>
      <c r="Y279">
        <v>0.74679873340473746</v>
      </c>
      <c r="Z279">
        <v>0.8442233690860117</v>
      </c>
      <c r="AA279">
        <v>0.79186703231821043</v>
      </c>
      <c r="AB279">
        <v>0.85208618831182714</v>
      </c>
      <c r="AC279">
        <v>0.93247310472989753</v>
      </c>
      <c r="AD279">
        <v>0.82238647430169221</v>
      </c>
      <c r="AE279">
        <v>0.87854884628515373</v>
      </c>
      <c r="AH279">
        <v>9.4720417612384811E-2</v>
      </c>
      <c r="AI279">
        <v>0.25275014905429938</v>
      </c>
      <c r="AJ279">
        <v>0.12763291603426719</v>
      </c>
      <c r="AK279">
        <v>0.18064209153563038</v>
      </c>
      <c r="AL279">
        <v>0.21966574399732797</v>
      </c>
      <c r="AM279">
        <v>0.28580075891347512</v>
      </c>
      <c r="AN279">
        <v>0.12370179242490109</v>
      </c>
      <c r="AO279">
        <v>3.7550253453418447E-2</v>
      </c>
      <c r="AR279">
        <v>9.8769977235357853E-4</v>
      </c>
      <c r="AS279">
        <v>4.7144362951430097E-3</v>
      </c>
      <c r="AT279">
        <v>4.6451208318025348E-3</v>
      </c>
      <c r="AU279">
        <v>2.2648308913827409E-3</v>
      </c>
      <c r="AV279">
        <v>1.9324939412264824E-3</v>
      </c>
      <c r="AW279">
        <v>3.2468478017887758E-3</v>
      </c>
      <c r="AX279">
        <v>3.7447824038678451E-4</v>
      </c>
      <c r="AY279">
        <v>5.6062847526816562E-4</v>
      </c>
      <c r="BB279">
        <v>4.6086332457482032E-2</v>
      </c>
      <c r="BC279">
        <v>6.0136336961108428E-2</v>
      </c>
      <c r="BE279">
        <v>74069.301510038669</v>
      </c>
      <c r="BF279">
        <v>15.547773190116372</v>
      </c>
      <c r="BG279">
        <v>74807.51475345956</v>
      </c>
      <c r="BH279">
        <v>15.443374146131593</v>
      </c>
      <c r="BI279">
        <v>-738.21324342089065</v>
      </c>
      <c r="BJ279">
        <v>0.10439904398477928</v>
      </c>
    </row>
    <row r="280" spans="3:62" x14ac:dyDescent="0.2">
      <c r="C280" s="121">
        <v>72191.980941550966</v>
      </c>
      <c r="D280" s="121">
        <v>17.817799542304936</v>
      </c>
      <c r="E280" s="121">
        <v>73444.944166557936</v>
      </c>
      <c r="F280" s="121">
        <v>17.737020761769919</v>
      </c>
      <c r="G280" s="121">
        <v>-1252.9632250069699</v>
      </c>
      <c r="H280" s="121">
        <v>8.0778780535016637E-2</v>
      </c>
      <c r="N280" s="121"/>
      <c r="O280" s="121"/>
      <c r="P280" s="121"/>
      <c r="R280">
        <v>226.3560247315578</v>
      </c>
      <c r="S280">
        <v>66.523329200169655</v>
      </c>
      <c r="T280">
        <v>197.98971420699326</v>
      </c>
      <c r="U280">
        <v>97.801727560278849</v>
      </c>
      <c r="X280">
        <v>0.81198424263463931</v>
      </c>
      <c r="Y280">
        <v>0.52129473948025484</v>
      </c>
      <c r="Z280">
        <v>0.88922877210208573</v>
      </c>
      <c r="AA280">
        <v>0.94617717838235293</v>
      </c>
      <c r="AB280">
        <v>0.95851195481823637</v>
      </c>
      <c r="AC280">
        <v>0.68072478702255179</v>
      </c>
      <c r="AD280">
        <v>0.82669208409622508</v>
      </c>
      <c r="AE280">
        <v>0.67653604159373382</v>
      </c>
      <c r="AH280">
        <v>3.271322570447921E-2</v>
      </c>
      <c r="AI280">
        <v>0.1104398803223593</v>
      </c>
      <c r="AJ280">
        <v>1.6608217105805401E-2</v>
      </c>
      <c r="AK280">
        <v>4.0806568201931293E-2</v>
      </c>
      <c r="AL280">
        <v>0.13025252807989063</v>
      </c>
      <c r="AM280">
        <v>0.15454031327679874</v>
      </c>
      <c r="AN280">
        <v>0.39913893492824759</v>
      </c>
      <c r="AO280">
        <v>0.11176144141896127</v>
      </c>
      <c r="AR280">
        <v>9.07543478910533E-4</v>
      </c>
      <c r="AS280">
        <v>4.4406790956929955E-3</v>
      </c>
      <c r="AT280">
        <v>4.8490672693067309E-3</v>
      </c>
      <c r="AU280">
        <v>2.1500544387025311E-3</v>
      </c>
      <c r="AV280">
        <v>1.9022124893737793E-3</v>
      </c>
      <c r="AW280">
        <v>3.6289740466174392E-3</v>
      </c>
      <c r="AX280">
        <v>3.6628019969400441E-4</v>
      </c>
      <c r="AY280">
        <v>4.9649175777999321E-4</v>
      </c>
      <c r="BB280">
        <v>5.8152076952658116E-2</v>
      </c>
      <c r="BC280">
        <v>2.8568332930945427E-2</v>
      </c>
      <c r="BE280">
        <v>72191.980941550966</v>
      </c>
      <c r="BF280">
        <v>17.817799542304936</v>
      </c>
      <c r="BG280">
        <v>73444.944166557936</v>
      </c>
      <c r="BH280">
        <v>17.737020761769919</v>
      </c>
      <c r="BI280">
        <v>-1252.9632250069699</v>
      </c>
      <c r="BJ280">
        <v>8.0778780535016637E-2</v>
      </c>
    </row>
    <row r="281" spans="3:62" x14ac:dyDescent="0.2">
      <c r="C281" s="121">
        <v>65239.740890626061</v>
      </c>
      <c r="D281" s="121">
        <v>16.186932161727754</v>
      </c>
      <c r="E281" s="121">
        <v>67065.30725330842</v>
      </c>
      <c r="F281" s="121">
        <v>16.061051591329594</v>
      </c>
      <c r="G281" s="121">
        <v>-1825.5663626823589</v>
      </c>
      <c r="H281" s="121">
        <v>0.12588057039815936</v>
      </c>
      <c r="N281" s="121"/>
      <c r="O281" s="121"/>
      <c r="P281" s="121"/>
      <c r="R281">
        <v>82.958834445660528</v>
      </c>
      <c r="S281">
        <v>64.597942978192251</v>
      </c>
      <c r="T281">
        <v>254.59385014978082</v>
      </c>
      <c r="U281">
        <v>93.22118327402687</v>
      </c>
      <c r="X281">
        <v>0.40039228151817063</v>
      </c>
      <c r="Y281">
        <v>0.70968062939877818</v>
      </c>
      <c r="Z281">
        <v>0.83807393184937606</v>
      </c>
      <c r="AA281">
        <v>0.84630427829032984</v>
      </c>
      <c r="AB281">
        <v>0.98019484385915645</v>
      </c>
      <c r="AC281">
        <v>0.75805092230878945</v>
      </c>
      <c r="AD281">
        <v>0.73430575401436626</v>
      </c>
      <c r="AE281">
        <v>0.6713363078530441</v>
      </c>
      <c r="AH281">
        <v>8.1972162915355029E-2</v>
      </c>
      <c r="AI281">
        <v>0.20598667653333214</v>
      </c>
      <c r="AJ281">
        <v>3.2332979951645191E-2</v>
      </c>
      <c r="AK281">
        <v>5.4711728434937434E-2</v>
      </c>
      <c r="AL281">
        <v>3.7879515126403529E-2</v>
      </c>
      <c r="AM281">
        <v>6.6806395705988675E-2</v>
      </c>
      <c r="AN281">
        <v>9.3974400536047997E-2</v>
      </c>
      <c r="AO281">
        <v>4.2149258632318554E-2</v>
      </c>
      <c r="AR281">
        <v>7.9109174663012508E-4</v>
      </c>
      <c r="AS281">
        <v>4.4862113254657094E-3</v>
      </c>
      <c r="AT281">
        <v>5.1533242494571363E-3</v>
      </c>
      <c r="AU281">
        <v>2.2408766343617881E-3</v>
      </c>
      <c r="AV281">
        <v>1.9364507759099833E-3</v>
      </c>
      <c r="AW281">
        <v>3.0198517723801087E-3</v>
      </c>
      <c r="AX281">
        <v>4.5451495256032537E-4</v>
      </c>
      <c r="AY281">
        <v>3.3505588954545207E-4</v>
      </c>
      <c r="BB281">
        <v>4.8953953906747248E-2</v>
      </c>
      <c r="BC281">
        <v>9.0627263235416922E-2</v>
      </c>
      <c r="BE281">
        <v>65239.740890626061</v>
      </c>
      <c r="BF281">
        <v>16.186932161727754</v>
      </c>
      <c r="BG281">
        <v>67065.30725330842</v>
      </c>
      <c r="BH281">
        <v>16.061051591329594</v>
      </c>
      <c r="BI281">
        <v>-1825.5663626823589</v>
      </c>
      <c r="BJ281">
        <v>0.12588057039815936</v>
      </c>
    </row>
    <row r="282" spans="3:62" x14ac:dyDescent="0.2">
      <c r="C282" s="121">
        <v>65830.472099912615</v>
      </c>
      <c r="D282" s="121">
        <v>13.131201035272865</v>
      </c>
      <c r="E282" s="121">
        <v>67679.179763001928</v>
      </c>
      <c r="F282" s="121">
        <v>13.14575999462229</v>
      </c>
      <c r="G282" s="121">
        <v>-1848.7076630893134</v>
      </c>
      <c r="H282" s="121">
        <v>-1.4558959349425749E-2</v>
      </c>
      <c r="N282" s="121"/>
      <c r="O282" s="121"/>
      <c r="P282" s="121"/>
      <c r="R282">
        <v>131.85328751513362</v>
      </c>
      <c r="S282">
        <v>69.043528148112159</v>
      </c>
      <c r="T282">
        <v>289.9477388850928</v>
      </c>
      <c r="U282">
        <v>88.767756400960579</v>
      </c>
      <c r="X282">
        <v>0.64660453616980718</v>
      </c>
      <c r="Y282">
        <v>0.84892159969490411</v>
      </c>
      <c r="Z282">
        <v>0.86791392872270712</v>
      </c>
      <c r="AA282">
        <v>0.67787026104481174</v>
      </c>
      <c r="AB282">
        <v>0.56836699369999599</v>
      </c>
      <c r="AC282">
        <v>0.8675058530412052</v>
      </c>
      <c r="AD282">
        <v>0.73096142115915941</v>
      </c>
      <c r="AE282">
        <v>0.90801921379069639</v>
      </c>
      <c r="AH282">
        <v>0.14030450941966655</v>
      </c>
      <c r="AI282">
        <v>0.10421130861951355</v>
      </c>
      <c r="AJ282">
        <v>2.9384747155162927E-2</v>
      </c>
      <c r="AK282">
        <v>0.14539629079724414</v>
      </c>
      <c r="AL282">
        <v>6.5990605133203761E-3</v>
      </c>
      <c r="AM282">
        <v>2.1636102366039633E-2</v>
      </c>
      <c r="AN282">
        <v>9.7586773005681526E-2</v>
      </c>
      <c r="AO282">
        <v>0.14462230911556773</v>
      </c>
      <c r="AR282">
        <v>7.3924337127914469E-4</v>
      </c>
      <c r="AS282">
        <v>4.1208891094697041E-3</v>
      </c>
      <c r="AT282">
        <v>4.8707005680454383E-3</v>
      </c>
      <c r="AU282">
        <v>1.8715139003934625E-3</v>
      </c>
      <c r="AV282">
        <v>2.1211827518462512E-3</v>
      </c>
      <c r="AW282">
        <v>3.0708105069691188E-3</v>
      </c>
      <c r="AX282">
        <v>4.290704521331401E-4</v>
      </c>
      <c r="AY282">
        <v>4.3169419616791442E-4</v>
      </c>
      <c r="BB282">
        <v>4.6879457271742551E-2</v>
      </c>
      <c r="BC282">
        <v>6.7584900409766502E-2</v>
      </c>
      <c r="BE282">
        <v>65830.472099912615</v>
      </c>
      <c r="BF282">
        <v>13.131201035272865</v>
      </c>
      <c r="BG282">
        <v>67679.179763001928</v>
      </c>
      <c r="BH282">
        <v>13.14575999462229</v>
      </c>
      <c r="BI282">
        <v>-1848.7076630893134</v>
      </c>
      <c r="BJ282">
        <v>-1.4558959349425749E-2</v>
      </c>
    </row>
    <row r="283" spans="3:62" x14ac:dyDescent="0.2">
      <c r="C283" s="121">
        <v>68350.174596604978</v>
      </c>
      <c r="D283" s="121">
        <v>16.385003012713632</v>
      </c>
      <c r="E283" s="121">
        <v>69780.043925702543</v>
      </c>
      <c r="F283" s="121">
        <v>16.275092510729444</v>
      </c>
      <c r="G283" s="121">
        <v>-1429.8693290975643</v>
      </c>
      <c r="H283" s="121">
        <v>0.10991050198418861</v>
      </c>
      <c r="N283" s="121"/>
      <c r="O283" s="121"/>
      <c r="P283" s="121"/>
      <c r="R283">
        <v>379.46821436455275</v>
      </c>
      <c r="S283">
        <v>66.817646548144324</v>
      </c>
      <c r="T283">
        <v>258.03607417077177</v>
      </c>
      <c r="U283">
        <v>102.53454330276786</v>
      </c>
      <c r="X283">
        <v>0.69786661507477643</v>
      </c>
      <c r="Y283">
        <v>0.36116839626247638</v>
      </c>
      <c r="Z283">
        <v>0.79557909961476714</v>
      </c>
      <c r="AA283">
        <v>0.57106784695947632</v>
      </c>
      <c r="AB283">
        <v>0.70870873591428918</v>
      </c>
      <c r="AC283">
        <v>0.77904140588629212</v>
      </c>
      <c r="AD283">
        <v>0.85816850285915691</v>
      </c>
      <c r="AE283">
        <v>0.87547020311964496</v>
      </c>
      <c r="AH283">
        <v>6.8605911680484022E-2</v>
      </c>
      <c r="AI283">
        <v>9.2045426658770579E-2</v>
      </c>
      <c r="AJ283">
        <v>4.5112428134266636E-2</v>
      </c>
      <c r="AK283">
        <v>0.1676540598919275</v>
      </c>
      <c r="AL283">
        <v>8.6360748138438082E-2</v>
      </c>
      <c r="AM283">
        <v>0.12799592913080282</v>
      </c>
      <c r="AN283">
        <v>9.3562121960311107E-2</v>
      </c>
      <c r="AO283">
        <v>1.8367901140479592E-2</v>
      </c>
      <c r="AR283">
        <v>1.03321499226805E-3</v>
      </c>
      <c r="AS283">
        <v>4.9097820089408772E-3</v>
      </c>
      <c r="AT283">
        <v>5.1440340089728975E-3</v>
      </c>
      <c r="AU283">
        <v>1.8522207135616671E-3</v>
      </c>
      <c r="AV283">
        <v>1.976411927480143E-3</v>
      </c>
      <c r="AW283">
        <v>3.2733044641542063E-3</v>
      </c>
      <c r="AX283">
        <v>4.6940380853444097E-4</v>
      </c>
      <c r="AY283">
        <v>3.4974785119776892E-4</v>
      </c>
      <c r="BB283">
        <v>4.1157062717535838E-2</v>
      </c>
      <c r="BC283">
        <v>3.9392805897937436E-2</v>
      </c>
      <c r="BE283">
        <v>68350.174596604978</v>
      </c>
      <c r="BF283">
        <v>16.385003012713632</v>
      </c>
      <c r="BG283">
        <v>69780.043925702543</v>
      </c>
      <c r="BH283">
        <v>16.275092510729444</v>
      </c>
      <c r="BI283">
        <v>-1429.8693290975643</v>
      </c>
      <c r="BJ283">
        <v>0.10991050198418861</v>
      </c>
    </row>
    <row r="284" spans="3:62" x14ac:dyDescent="0.2">
      <c r="C284" s="121">
        <v>74341.712981943318</v>
      </c>
      <c r="D284" s="121">
        <v>15.923075904571524</v>
      </c>
      <c r="E284" s="121">
        <v>76338.388247484341</v>
      </c>
      <c r="F284" s="121">
        <v>15.814263209698142</v>
      </c>
      <c r="G284" s="121">
        <v>-1996.6752655410237</v>
      </c>
      <c r="H284" s="121">
        <v>0.1088126948733823</v>
      </c>
      <c r="N284" s="121"/>
      <c r="O284" s="121"/>
      <c r="P284" s="121"/>
      <c r="R284">
        <v>230.79550400596625</v>
      </c>
      <c r="S284">
        <v>55.904884373009935</v>
      </c>
      <c r="T284">
        <v>242.58450033806699</v>
      </c>
      <c r="U284">
        <v>102.31266557156977</v>
      </c>
      <c r="X284">
        <v>0.61583970030008939</v>
      </c>
      <c r="Y284">
        <v>0.91301443703636087</v>
      </c>
      <c r="Z284">
        <v>0.7399929770054704</v>
      </c>
      <c r="AA284">
        <v>0.88590103059998382</v>
      </c>
      <c r="AB284">
        <v>0.65540971126958514</v>
      </c>
      <c r="AC284">
        <v>0.74895767174478045</v>
      </c>
      <c r="AD284">
        <v>0.75761182102848856</v>
      </c>
      <c r="AE284">
        <v>0.71746595140586655</v>
      </c>
      <c r="AH284">
        <v>8.44977381096228E-2</v>
      </c>
      <c r="AI284">
        <v>9.9217234385432951E-2</v>
      </c>
      <c r="AJ284">
        <v>0.10309754348104683</v>
      </c>
      <c r="AK284">
        <v>7.8212185063994633E-2</v>
      </c>
      <c r="AL284">
        <v>0.13854455033589053</v>
      </c>
      <c r="AM284">
        <v>0.13633294016394404</v>
      </c>
      <c r="AN284">
        <v>0.12091645738427792</v>
      </c>
      <c r="AO284">
        <v>0.16190966807341944</v>
      </c>
      <c r="AR284">
        <v>9.3171118522517027E-4</v>
      </c>
      <c r="AS284">
        <v>4.3924719157058647E-3</v>
      </c>
      <c r="AT284">
        <v>5.0966675459505062E-3</v>
      </c>
      <c r="AU284">
        <v>2.0047742017157422E-3</v>
      </c>
      <c r="AV284">
        <v>1.9811133880259391E-3</v>
      </c>
      <c r="AW284">
        <v>3.5708746534648395E-3</v>
      </c>
      <c r="AX284">
        <v>4.0334477908932076E-4</v>
      </c>
      <c r="AY284">
        <v>4.7166594319647537E-4</v>
      </c>
      <c r="BB284">
        <v>5.2233758226320037E-2</v>
      </c>
      <c r="BC284">
        <v>3.8237586201209622E-2</v>
      </c>
      <c r="BE284">
        <v>74341.712981943318</v>
      </c>
      <c r="BF284">
        <v>15.923075904571524</v>
      </c>
      <c r="BG284">
        <v>76338.388247484341</v>
      </c>
      <c r="BH284">
        <v>15.814263209698142</v>
      </c>
      <c r="BI284">
        <v>-1996.6752655410237</v>
      </c>
      <c r="BJ284">
        <v>0.1088126948733823</v>
      </c>
    </row>
    <row r="285" spans="3:62" x14ac:dyDescent="0.2">
      <c r="C285" s="121">
        <v>78153.484508850393</v>
      </c>
      <c r="D285" s="121">
        <v>15.852552068769585</v>
      </c>
      <c r="E285" s="121">
        <v>79939.142795924083</v>
      </c>
      <c r="F285" s="121">
        <v>15.684263140171799</v>
      </c>
      <c r="G285" s="121">
        <v>-1785.6582870736893</v>
      </c>
      <c r="H285" s="121">
        <v>0.16828892859778577</v>
      </c>
      <c r="N285" s="121"/>
      <c r="O285" s="121"/>
      <c r="P285" s="121"/>
      <c r="R285">
        <v>226.79101309844577</v>
      </c>
      <c r="S285">
        <v>63.057793955241898</v>
      </c>
      <c r="T285">
        <v>238.62947239927803</v>
      </c>
      <c r="U285">
        <v>83.363311136974517</v>
      </c>
      <c r="X285">
        <v>0.65867622659285274</v>
      </c>
      <c r="Y285">
        <v>0.93580315279410864</v>
      </c>
      <c r="Z285">
        <v>0.70618518981672684</v>
      </c>
      <c r="AA285">
        <v>0.86744579421231904</v>
      </c>
      <c r="AB285">
        <v>0.71168335563301144</v>
      </c>
      <c r="AC285">
        <v>0.77420026141136922</v>
      </c>
      <c r="AD285">
        <v>0.90227728863177581</v>
      </c>
      <c r="AE285">
        <v>0.78385594920803081</v>
      </c>
      <c r="AH285">
        <v>6.5720147503899984E-2</v>
      </c>
      <c r="AI285">
        <v>0.1246771601081399</v>
      </c>
      <c r="AJ285">
        <v>4.795084802630023E-2</v>
      </c>
      <c r="AK285">
        <v>7.5850901587775743E-2</v>
      </c>
      <c r="AL285">
        <v>3.598717195981127E-2</v>
      </c>
      <c r="AM285">
        <v>7.5051216648494012E-3</v>
      </c>
      <c r="AN285">
        <v>3.0163086007846784E-2</v>
      </c>
      <c r="AO285">
        <v>0.12278143846245204</v>
      </c>
      <c r="AR285">
        <v>8.7537533958583597E-4</v>
      </c>
      <c r="AS285">
        <v>4.2576987817784483E-3</v>
      </c>
      <c r="AT285">
        <v>4.6302552343379256E-3</v>
      </c>
      <c r="AU285">
        <v>2.0973676645236194E-3</v>
      </c>
      <c r="AV285">
        <v>1.9905170967652523E-3</v>
      </c>
      <c r="AW285">
        <v>3.417826511885047E-3</v>
      </c>
      <c r="AX285">
        <v>3.6882301305622977E-4</v>
      </c>
      <c r="AY285">
        <v>5.196051989541095E-4</v>
      </c>
      <c r="BB285">
        <v>4.5804247462882038E-2</v>
      </c>
      <c r="BC285">
        <v>7.3008818339948989E-2</v>
      </c>
      <c r="BE285">
        <v>78153.484508850393</v>
      </c>
      <c r="BF285">
        <v>15.852552068769585</v>
      </c>
      <c r="BG285">
        <v>79939.142795924083</v>
      </c>
      <c r="BH285">
        <v>15.684263140171799</v>
      </c>
      <c r="BI285">
        <v>-1785.6582870736893</v>
      </c>
      <c r="BJ285">
        <v>0.16828892859778577</v>
      </c>
    </row>
    <row r="286" spans="3:62" x14ac:dyDescent="0.2">
      <c r="C286" s="121">
        <v>64831.638953043373</v>
      </c>
      <c r="D286" s="121">
        <v>15.774609543071504</v>
      </c>
      <c r="E286" s="121">
        <v>66525.322061395957</v>
      </c>
      <c r="F286" s="121">
        <v>15.653986874745321</v>
      </c>
      <c r="G286" s="121">
        <v>-1693.6831083525831</v>
      </c>
      <c r="H286" s="121">
        <v>0.12062266832618285</v>
      </c>
      <c r="N286" s="121"/>
      <c r="O286" s="121"/>
      <c r="P286" s="121"/>
      <c r="R286">
        <v>244.0937578765556</v>
      </c>
      <c r="S286">
        <v>51.348517967496235</v>
      </c>
      <c r="T286">
        <v>274.04895281177102</v>
      </c>
      <c r="U286">
        <v>96.706435003101049</v>
      </c>
      <c r="X286">
        <v>0.96807132537940477</v>
      </c>
      <c r="Y286">
        <v>0.44460487172504315</v>
      </c>
      <c r="Z286">
        <v>0.7788503976710468</v>
      </c>
      <c r="AA286">
        <v>0.70830224063419656</v>
      </c>
      <c r="AB286">
        <v>0.89301644512666389</v>
      </c>
      <c r="AC286">
        <v>0.77254769573519311</v>
      </c>
      <c r="AD286">
        <v>0.7852630867344057</v>
      </c>
      <c r="AE286">
        <v>0.7752691230801233</v>
      </c>
      <c r="AH286">
        <v>8.7854044602011738E-2</v>
      </c>
      <c r="AI286">
        <v>6.7312884789693106E-2</v>
      </c>
      <c r="AJ286">
        <v>8.5612603503941509E-2</v>
      </c>
      <c r="AK286">
        <v>4.630326859470002E-2</v>
      </c>
      <c r="AL286">
        <v>7.8096248944876656E-2</v>
      </c>
      <c r="AM286">
        <v>0.12832516172690656</v>
      </c>
      <c r="AN286">
        <v>0.11873850800259023</v>
      </c>
      <c r="AO286">
        <v>0.23533149667801245</v>
      </c>
      <c r="AR286">
        <v>8.6225464962432256E-4</v>
      </c>
      <c r="AS286">
        <v>4.442130018019466E-3</v>
      </c>
      <c r="AT286">
        <v>4.9869203285667352E-3</v>
      </c>
      <c r="AU286">
        <v>1.8588283430417561E-3</v>
      </c>
      <c r="AV286">
        <v>2.1208613771729334E-3</v>
      </c>
      <c r="AW286">
        <v>3.18213380808676E-3</v>
      </c>
      <c r="AX286">
        <v>3.4583887864136833E-4</v>
      </c>
      <c r="AY286">
        <v>3.9565448918675507E-4</v>
      </c>
      <c r="BB286">
        <v>5.0077894181625338E-2</v>
      </c>
      <c r="BC286">
        <v>8.9490952956326586E-2</v>
      </c>
      <c r="BE286">
        <v>64831.638953043373</v>
      </c>
      <c r="BF286">
        <v>15.774609543071504</v>
      </c>
      <c r="BG286">
        <v>66525.322061395957</v>
      </c>
      <c r="BH286">
        <v>15.653986874745321</v>
      </c>
      <c r="BI286">
        <v>-1693.6831083525831</v>
      </c>
      <c r="BJ286">
        <v>0.12062266832618285</v>
      </c>
    </row>
    <row r="287" spans="3:62" x14ac:dyDescent="0.2">
      <c r="C287" s="121">
        <v>63946.076650711635</v>
      </c>
      <c r="D287" s="121">
        <v>14.535984444961372</v>
      </c>
      <c r="E287" s="121">
        <v>65389.209649594814</v>
      </c>
      <c r="F287" s="121">
        <v>14.484378415612227</v>
      </c>
      <c r="G287" s="121">
        <v>-1443.1329988831785</v>
      </c>
      <c r="H287" s="121">
        <v>5.1606029349144933E-2</v>
      </c>
      <c r="N287" s="121"/>
      <c r="O287" s="121"/>
      <c r="P287" s="121"/>
      <c r="R287">
        <v>403.50681430477027</v>
      </c>
      <c r="S287">
        <v>69.899640367153694</v>
      </c>
      <c r="T287">
        <v>267.75677177942487</v>
      </c>
      <c r="U287">
        <v>97.57824499810296</v>
      </c>
      <c r="X287">
        <v>0.77443484455698064</v>
      </c>
      <c r="Y287">
        <v>0.95538562578376574</v>
      </c>
      <c r="Z287">
        <v>0.65980023021446466</v>
      </c>
      <c r="AA287">
        <v>0.80725671243211095</v>
      </c>
      <c r="AB287">
        <v>0.91206426339264823</v>
      </c>
      <c r="AC287">
        <v>0.47759535989413221</v>
      </c>
      <c r="AD287">
        <v>0.49147622988785522</v>
      </c>
      <c r="AE287">
        <v>0.6434097794233995</v>
      </c>
      <c r="AH287">
        <v>9.2530022709057747E-2</v>
      </c>
      <c r="AI287">
        <v>0.20499864145463931</v>
      </c>
      <c r="AJ287">
        <v>0.14479805225383791</v>
      </c>
      <c r="AK287">
        <v>0.1924883605903247</v>
      </c>
      <c r="AL287">
        <v>7.3743727605344644E-2</v>
      </c>
      <c r="AM287">
        <v>8.7211203539123039E-2</v>
      </c>
      <c r="AN287">
        <v>3.5493275046569295E-2</v>
      </c>
      <c r="AO287">
        <v>0.17033046650922889</v>
      </c>
      <c r="AR287">
        <v>1.0725963651082582E-3</v>
      </c>
      <c r="AS287">
        <v>4.4305702242358625E-3</v>
      </c>
      <c r="AT287">
        <v>4.9966561163558021E-3</v>
      </c>
      <c r="AU287">
        <v>1.7609937016800279E-3</v>
      </c>
      <c r="AV287">
        <v>2.1953072055508338E-3</v>
      </c>
      <c r="AW287">
        <v>3.3935418116315648E-3</v>
      </c>
      <c r="AX287">
        <v>2.6515831546832327E-4</v>
      </c>
      <c r="AY287">
        <v>4.690879541927595E-4</v>
      </c>
      <c r="BB287">
        <v>5.0315507864233111E-2</v>
      </c>
      <c r="BC287">
        <v>4.8735300273415882E-2</v>
      </c>
      <c r="BE287">
        <v>63946.076650711635</v>
      </c>
      <c r="BF287">
        <v>14.535984444961372</v>
      </c>
      <c r="BG287">
        <v>65389.209649594814</v>
      </c>
      <c r="BH287">
        <v>14.484378415612227</v>
      </c>
      <c r="BI287">
        <v>-1443.1329988831785</v>
      </c>
      <c r="BJ287">
        <v>5.1606029349144933E-2</v>
      </c>
    </row>
    <row r="288" spans="3:62" x14ac:dyDescent="0.2">
      <c r="C288" s="121">
        <v>60170.34543063405</v>
      </c>
      <c r="D288" s="121">
        <v>14.829533193242613</v>
      </c>
      <c r="E288" s="121">
        <v>61679.350569701288</v>
      </c>
      <c r="F288" s="121">
        <v>14.70367933256717</v>
      </c>
      <c r="G288" s="121">
        <v>-1509.0051390672379</v>
      </c>
      <c r="H288" s="121">
        <v>0.12585386067544313</v>
      </c>
      <c r="N288" s="121"/>
      <c r="O288" s="121"/>
      <c r="P288" s="121"/>
      <c r="R288">
        <v>140.91092191805876</v>
      </c>
      <c r="S288">
        <v>52.860548033560249</v>
      </c>
      <c r="T288">
        <v>263.76775957122493</v>
      </c>
      <c r="U288">
        <v>105.13637632144541</v>
      </c>
      <c r="X288">
        <v>0.54593386636195029</v>
      </c>
      <c r="Y288">
        <v>0.6393573048770429</v>
      </c>
      <c r="Z288">
        <v>0.61253096557390907</v>
      </c>
      <c r="AA288">
        <v>0.85585074083613177</v>
      </c>
      <c r="AB288">
        <v>0.72356029757819673</v>
      </c>
      <c r="AC288">
        <v>0.66955507346944232</v>
      </c>
      <c r="AD288">
        <v>0.69094343752608423</v>
      </c>
      <c r="AE288">
        <v>0.59922195036719239</v>
      </c>
      <c r="AH288">
        <v>4.76990718010466E-2</v>
      </c>
      <c r="AI288">
        <v>2.9830398206503461E-2</v>
      </c>
      <c r="AJ288">
        <v>0.14708314761648744</v>
      </c>
      <c r="AK288">
        <v>0.25429583049253013</v>
      </c>
      <c r="AL288">
        <v>4.3681018303793118E-2</v>
      </c>
      <c r="AM288">
        <v>0.23582583789801081</v>
      </c>
      <c r="AN288">
        <v>0.33655511778232838</v>
      </c>
      <c r="AO288">
        <v>0.30942407380079517</v>
      </c>
      <c r="AR288">
        <v>9.6867067246919625E-4</v>
      </c>
      <c r="AS288">
        <v>4.4799306502516772E-3</v>
      </c>
      <c r="AT288">
        <v>4.8857264704823076E-3</v>
      </c>
      <c r="AU288">
        <v>1.7278881192842224E-3</v>
      </c>
      <c r="AV288">
        <v>1.8646303587831537E-3</v>
      </c>
      <c r="AW288">
        <v>3.2561169368838052E-3</v>
      </c>
      <c r="AX288">
        <v>3.290257181418138E-4</v>
      </c>
      <c r="AY288">
        <v>3.6678110560188227E-4</v>
      </c>
      <c r="BB288">
        <v>4.793673453922534E-2</v>
      </c>
      <c r="BC288">
        <v>3.4946461794918796E-2</v>
      </c>
      <c r="BE288">
        <v>60170.34543063405</v>
      </c>
      <c r="BF288">
        <v>14.829533193242613</v>
      </c>
      <c r="BG288">
        <v>61679.350569701288</v>
      </c>
      <c r="BH288">
        <v>14.70367933256717</v>
      </c>
      <c r="BI288">
        <v>-1509.0051390672379</v>
      </c>
      <c r="BJ288">
        <v>0.12585386067544313</v>
      </c>
    </row>
    <row r="289" spans="3:62" x14ac:dyDescent="0.2">
      <c r="C289" s="121">
        <v>71685.368712931391</v>
      </c>
      <c r="D289" s="121">
        <v>15.692236196103183</v>
      </c>
      <c r="E289" s="121">
        <v>74390.152454227165</v>
      </c>
      <c r="F289" s="121">
        <v>15.504184461946233</v>
      </c>
      <c r="G289" s="121">
        <v>-2704.7837412957742</v>
      </c>
      <c r="H289" s="121">
        <v>0.18805173415695009</v>
      </c>
      <c r="N289" s="121"/>
      <c r="O289" s="121"/>
      <c r="P289" s="121"/>
      <c r="R289">
        <v>222.5243013423331</v>
      </c>
      <c r="S289">
        <v>54.380427717875129</v>
      </c>
      <c r="T289">
        <v>221.91366531959167</v>
      </c>
      <c r="U289">
        <v>102.20823692737537</v>
      </c>
      <c r="X289">
        <v>0.6030585673641442</v>
      </c>
      <c r="Y289">
        <v>0.76138587973309269</v>
      </c>
      <c r="Z289">
        <v>0.68619475538977259</v>
      </c>
      <c r="AA289">
        <v>0.69229285663780249</v>
      </c>
      <c r="AB289">
        <v>0.66941611916650068</v>
      </c>
      <c r="AC289">
        <v>0.87723259809463638</v>
      </c>
      <c r="AD289">
        <v>0.8121222162670082</v>
      </c>
      <c r="AE289">
        <v>0.59358107367442814</v>
      </c>
      <c r="AH289">
        <v>3.8186997101101738E-2</v>
      </c>
      <c r="AI289">
        <v>5.9371614122116778E-3</v>
      </c>
      <c r="AJ289">
        <v>0.11609681000317751</v>
      </c>
      <c r="AK289">
        <v>7.9084046688399301E-2</v>
      </c>
      <c r="AL289">
        <v>6.9391030807269605E-2</v>
      </c>
      <c r="AM289">
        <v>0.22278674999540093</v>
      </c>
      <c r="AN289">
        <v>0.15722904261024706</v>
      </c>
      <c r="AO289">
        <v>1.7327109117537542E-3</v>
      </c>
      <c r="AR289">
        <v>1.0293983038152099E-3</v>
      </c>
      <c r="AS289">
        <v>4.5143066389420339E-3</v>
      </c>
      <c r="AT289">
        <v>5.018153180982865E-3</v>
      </c>
      <c r="AU289">
        <v>1.8783742699154729E-3</v>
      </c>
      <c r="AV289">
        <v>2.0731729640358632E-3</v>
      </c>
      <c r="AW289">
        <v>3.5358520623401946E-3</v>
      </c>
      <c r="AX289">
        <v>3.5984584879819522E-4</v>
      </c>
      <c r="AY289">
        <v>4.5635031750779209E-4</v>
      </c>
      <c r="BB289">
        <v>4.7597406144930819E-2</v>
      </c>
      <c r="BC289">
        <v>3.5691877038159674E-2</v>
      </c>
      <c r="BE289">
        <v>71685.368712931391</v>
      </c>
      <c r="BF289">
        <v>15.692236196103183</v>
      </c>
      <c r="BG289">
        <v>74390.152454227165</v>
      </c>
      <c r="BH289">
        <v>15.504184461946233</v>
      </c>
      <c r="BI289">
        <v>-2704.7837412957742</v>
      </c>
      <c r="BJ289">
        <v>0.18805173415695009</v>
      </c>
    </row>
    <row r="290" spans="3:62" x14ac:dyDescent="0.2">
      <c r="C290" s="121">
        <v>73034.152452317663</v>
      </c>
      <c r="D290" s="121">
        <v>13.926427503294427</v>
      </c>
      <c r="E290" s="121">
        <v>74649.450409043027</v>
      </c>
      <c r="F290" s="121">
        <v>13.792175743334825</v>
      </c>
      <c r="G290" s="121">
        <v>-1615.2979567253642</v>
      </c>
      <c r="H290" s="121">
        <v>0.13425175995960181</v>
      </c>
      <c r="N290" s="121"/>
      <c r="O290" s="121"/>
      <c r="P290" s="121"/>
      <c r="R290">
        <v>240.84596752017936</v>
      </c>
      <c r="S290">
        <v>47.77150291410171</v>
      </c>
      <c r="T290">
        <v>264.47468489723218</v>
      </c>
      <c r="U290">
        <v>93.082318397793358</v>
      </c>
      <c r="X290">
        <v>0.86142666929805134</v>
      </c>
      <c r="Y290">
        <v>0.87785716448434059</v>
      </c>
      <c r="Z290">
        <v>0.9391876319023712</v>
      </c>
      <c r="AA290">
        <v>0.91850751873881786</v>
      </c>
      <c r="AB290">
        <v>0.69387842302698544</v>
      </c>
      <c r="AC290">
        <v>0.66748025635158814</v>
      </c>
      <c r="AD290">
        <v>0.60025693067484254</v>
      </c>
      <c r="AE290">
        <v>0.80415577268162153</v>
      </c>
      <c r="AH290">
        <v>4.7829657873919351E-2</v>
      </c>
      <c r="AI290">
        <v>0.27024763076098468</v>
      </c>
      <c r="AJ290">
        <v>5.510262415364453E-2</v>
      </c>
      <c r="AK290">
        <v>0.14252813022642341</v>
      </c>
      <c r="AL290">
        <v>0.20519002378534668</v>
      </c>
      <c r="AM290">
        <v>8.0484257216482114E-3</v>
      </c>
      <c r="AN290">
        <v>6.0295949170262597E-2</v>
      </c>
      <c r="AO290">
        <v>5.8822391470110258E-2</v>
      </c>
      <c r="AR290">
        <v>9.5091646461376023E-4</v>
      </c>
      <c r="AS290">
        <v>4.4146965071773028E-3</v>
      </c>
      <c r="AT290">
        <v>5.2212247726204364E-3</v>
      </c>
      <c r="AU290">
        <v>1.8792573544863256E-3</v>
      </c>
      <c r="AV290">
        <v>1.9802444775224226E-3</v>
      </c>
      <c r="AW290">
        <v>3.4388701542906741E-3</v>
      </c>
      <c r="AX290">
        <v>2.9474069021548886E-4</v>
      </c>
      <c r="AY290">
        <v>4.6233753176949666E-4</v>
      </c>
      <c r="BB290">
        <v>4.26374379165999E-2</v>
      </c>
      <c r="BC290">
        <v>7.6432769556230795E-2</v>
      </c>
      <c r="BE290">
        <v>73034.152452317663</v>
      </c>
      <c r="BF290">
        <v>13.926427503294427</v>
      </c>
      <c r="BG290">
        <v>74649.450409043027</v>
      </c>
      <c r="BH290">
        <v>13.792175743334825</v>
      </c>
      <c r="BI290">
        <v>-1615.2979567253642</v>
      </c>
      <c r="BJ290">
        <v>0.13425175995960181</v>
      </c>
    </row>
    <row r="291" spans="3:62" x14ac:dyDescent="0.2">
      <c r="C291" s="121">
        <v>61658.591727928724</v>
      </c>
      <c r="D291" s="121">
        <v>17.657174910444319</v>
      </c>
      <c r="E291" s="121">
        <v>62563.838949500852</v>
      </c>
      <c r="F291" s="121">
        <v>17.634077997543642</v>
      </c>
      <c r="G291" s="121">
        <v>-905.24722157212818</v>
      </c>
      <c r="H291" s="121">
        <v>2.3096912900676614E-2</v>
      </c>
      <c r="N291" s="121"/>
      <c r="O291" s="121"/>
      <c r="P291" s="121"/>
      <c r="R291">
        <v>366.46089078249702</v>
      </c>
      <c r="S291">
        <v>61.372915543471706</v>
      </c>
      <c r="T291">
        <v>250.62605357402848</v>
      </c>
      <c r="U291">
        <v>86.279292354298207</v>
      </c>
      <c r="X291">
        <v>0.70969859269764068</v>
      </c>
      <c r="Y291">
        <v>0.73680232177814853</v>
      </c>
      <c r="Z291">
        <v>0.62882912440999406</v>
      </c>
      <c r="AA291">
        <v>0.65220886598341077</v>
      </c>
      <c r="AB291">
        <v>0.86881548407371922</v>
      </c>
      <c r="AC291">
        <v>0.67757154726711011</v>
      </c>
      <c r="AD291">
        <v>0.86809065378374639</v>
      </c>
      <c r="AE291">
        <v>0.8839086117973104</v>
      </c>
      <c r="AH291">
        <v>7.1666409561714328E-2</v>
      </c>
      <c r="AI291">
        <v>0.17559164964341223</v>
      </c>
      <c r="AJ291">
        <v>0.32126844603592108</v>
      </c>
      <c r="AK291">
        <v>2.972198048881125E-2</v>
      </c>
      <c r="AL291">
        <v>9.4692275721108388E-2</v>
      </c>
      <c r="AM291">
        <v>5.0182761614613991E-2</v>
      </c>
      <c r="AN291">
        <v>0.13438551822414602</v>
      </c>
      <c r="AO291">
        <v>1.5973836608863534E-2</v>
      </c>
      <c r="AR291">
        <v>8.6771694575918574E-4</v>
      </c>
      <c r="AS291">
        <v>4.4851780905831532E-3</v>
      </c>
      <c r="AT291">
        <v>5.0560342369968536E-3</v>
      </c>
      <c r="AU291">
        <v>1.9107768906901413E-3</v>
      </c>
      <c r="AV291">
        <v>1.8814690095653988E-3</v>
      </c>
      <c r="AW291">
        <v>3.246361297458472E-3</v>
      </c>
      <c r="AX291">
        <v>3.7447482218131627E-4</v>
      </c>
      <c r="AY291">
        <v>3.5185049729054399E-4</v>
      </c>
      <c r="BB291">
        <v>4.097761149847564E-2</v>
      </c>
      <c r="BC291">
        <v>2.9441929646990554E-2</v>
      </c>
      <c r="BE291">
        <v>61658.591727928724</v>
      </c>
      <c r="BF291">
        <v>17.657174910444319</v>
      </c>
      <c r="BG291">
        <v>62563.838949500852</v>
      </c>
      <c r="BH291">
        <v>17.634077997543642</v>
      </c>
      <c r="BI291">
        <v>-905.24722157212818</v>
      </c>
      <c r="BJ291">
        <v>2.3096912900676614E-2</v>
      </c>
    </row>
    <row r="292" spans="3:62" x14ac:dyDescent="0.2">
      <c r="C292" s="121">
        <v>59032.352064563252</v>
      </c>
      <c r="D292" s="121">
        <v>15.661083217735897</v>
      </c>
      <c r="E292" s="121">
        <v>59979.420118750946</v>
      </c>
      <c r="F292" s="121">
        <v>15.566168049577946</v>
      </c>
      <c r="G292" s="121">
        <v>-947.06805418769363</v>
      </c>
      <c r="H292" s="121">
        <v>9.4915168157950092E-2</v>
      </c>
      <c r="N292" s="121"/>
      <c r="O292" s="121"/>
      <c r="P292" s="121"/>
      <c r="R292">
        <v>475.2911791979659</v>
      </c>
      <c r="S292">
        <v>69.504198810732731</v>
      </c>
      <c r="T292">
        <v>269.86367442074652</v>
      </c>
      <c r="U292">
        <v>76.131635739537046</v>
      </c>
      <c r="X292">
        <v>0.65443046359267421</v>
      </c>
      <c r="Y292">
        <v>0.96355333970715074</v>
      </c>
      <c r="Z292">
        <v>0.81923621694994309</v>
      </c>
      <c r="AA292">
        <v>0.65182652386648465</v>
      </c>
      <c r="AB292">
        <v>0.66193763916758352</v>
      </c>
      <c r="AC292">
        <v>0.74910315505348768</v>
      </c>
      <c r="AD292">
        <v>0.73049835580747002</v>
      </c>
      <c r="AE292">
        <v>0.81056984450616287</v>
      </c>
      <c r="AH292">
        <v>2.4591107552357827E-2</v>
      </c>
      <c r="AI292">
        <v>0.21330044225287925</v>
      </c>
      <c r="AJ292">
        <v>2.0293525967255532E-2</v>
      </c>
      <c r="AK292">
        <v>0.18578559384476623</v>
      </c>
      <c r="AL292">
        <v>0.20320071406111417</v>
      </c>
      <c r="AM292">
        <v>0.14382359221183827</v>
      </c>
      <c r="AN292">
        <v>0.27872165348842681</v>
      </c>
      <c r="AO292">
        <v>4.4933850833254851E-2</v>
      </c>
      <c r="AR292">
        <v>9.5710553589989367E-4</v>
      </c>
      <c r="AS292">
        <v>4.4992809465257411E-3</v>
      </c>
      <c r="AT292">
        <v>4.801513347504967E-3</v>
      </c>
      <c r="AU292">
        <v>2.1070408102017435E-3</v>
      </c>
      <c r="AV292">
        <v>1.98357027390578E-3</v>
      </c>
      <c r="AW292">
        <v>3.1431537506382357E-3</v>
      </c>
      <c r="AX292">
        <v>4.1158233904081687E-4</v>
      </c>
      <c r="AY292">
        <v>5.9097474326696986E-4</v>
      </c>
      <c r="BB292">
        <v>4.3770476449649875E-2</v>
      </c>
      <c r="BC292">
        <v>1.4704540223914743E-2</v>
      </c>
      <c r="BE292">
        <v>59032.352064563252</v>
      </c>
      <c r="BF292">
        <v>15.661083217735897</v>
      </c>
      <c r="BG292">
        <v>59979.420118750946</v>
      </c>
      <c r="BH292">
        <v>15.566168049577946</v>
      </c>
      <c r="BI292">
        <v>-947.06805418769363</v>
      </c>
      <c r="BJ292">
        <v>9.4915168157950092E-2</v>
      </c>
    </row>
    <row r="293" spans="3:62" x14ac:dyDescent="0.2">
      <c r="C293" s="121">
        <v>69880.019413952745</v>
      </c>
      <c r="D293" s="121">
        <v>16.982183436688675</v>
      </c>
      <c r="E293" s="121">
        <v>72049.828914139071</v>
      </c>
      <c r="F293" s="121">
        <v>16.81795388877228</v>
      </c>
      <c r="G293" s="121">
        <v>-2169.8095001863257</v>
      </c>
      <c r="H293" s="121">
        <v>0.16422954791639555</v>
      </c>
      <c r="N293" s="121"/>
      <c r="O293" s="121"/>
      <c r="P293" s="121"/>
      <c r="R293">
        <v>155.88311028991697</v>
      </c>
      <c r="S293">
        <v>58.974207769092708</v>
      </c>
      <c r="T293">
        <v>244.03384108475322</v>
      </c>
      <c r="U293">
        <v>85.87687420551589</v>
      </c>
      <c r="X293">
        <v>0.74598065814642356</v>
      </c>
      <c r="Y293">
        <v>0.83430202846395685</v>
      </c>
      <c r="Z293">
        <v>0.78745702661305284</v>
      </c>
      <c r="AA293">
        <v>0.58147214331706576</v>
      </c>
      <c r="AB293">
        <v>0.75088079222036708</v>
      </c>
      <c r="AC293">
        <v>0.90079023621113374</v>
      </c>
      <c r="AD293">
        <v>0.86797806023543067</v>
      </c>
      <c r="AE293">
        <v>0.75081342634481263</v>
      </c>
      <c r="AH293">
        <v>0.1392249533970471</v>
      </c>
      <c r="AI293">
        <v>0.20438543426484768</v>
      </c>
      <c r="AJ293">
        <v>6.8764507966625255E-2</v>
      </c>
      <c r="AK293">
        <v>0.20863796879743757</v>
      </c>
      <c r="AL293">
        <v>0.14465746866883467</v>
      </c>
      <c r="AM293">
        <v>2.8082482947331289E-2</v>
      </c>
      <c r="AN293">
        <v>5.3569694421138347E-2</v>
      </c>
      <c r="AO293">
        <v>0.12848464714454821</v>
      </c>
      <c r="AR293">
        <v>8.8504708161358104E-4</v>
      </c>
      <c r="AS293">
        <v>4.2712268215551333E-3</v>
      </c>
      <c r="AT293">
        <v>5.0040902810114529E-3</v>
      </c>
      <c r="AU293">
        <v>2.000785620208001E-3</v>
      </c>
      <c r="AV293">
        <v>2.0146607551009277E-3</v>
      </c>
      <c r="AW293">
        <v>3.1345536169364008E-3</v>
      </c>
      <c r="AX293">
        <v>6.8745885355925296E-4</v>
      </c>
      <c r="AY293">
        <v>3.5172050519903346E-4</v>
      </c>
      <c r="BB293">
        <v>5.6113643830901672E-2</v>
      </c>
      <c r="BC293">
        <v>2.0879463346535523E-2</v>
      </c>
      <c r="BE293">
        <v>69880.019413952745</v>
      </c>
      <c r="BF293">
        <v>16.982183436688675</v>
      </c>
      <c r="BG293">
        <v>72049.828914139071</v>
      </c>
      <c r="BH293">
        <v>16.81795388877228</v>
      </c>
      <c r="BI293">
        <v>-2169.8095001863257</v>
      </c>
      <c r="BJ293">
        <v>0.16422954791639555</v>
      </c>
    </row>
    <row r="294" spans="3:62" x14ac:dyDescent="0.2">
      <c r="C294" s="121">
        <v>71948.75364430582</v>
      </c>
      <c r="D294" s="121">
        <v>15.614560041469639</v>
      </c>
      <c r="E294" s="121">
        <v>73671.375292788216</v>
      </c>
      <c r="F294" s="121">
        <v>15.510453564606157</v>
      </c>
      <c r="G294" s="121">
        <v>-1722.6216484823963</v>
      </c>
      <c r="H294" s="121">
        <v>0.10410647686348184</v>
      </c>
      <c r="N294" s="121"/>
      <c r="O294" s="121"/>
      <c r="P294" s="121"/>
      <c r="R294">
        <v>326.9644455333576</v>
      </c>
      <c r="S294">
        <v>60.302411087370395</v>
      </c>
      <c r="T294">
        <v>242.16710574224641</v>
      </c>
      <c r="U294">
        <v>96.99547917203995</v>
      </c>
      <c r="X294">
        <v>0.77089776774688179</v>
      </c>
      <c r="Y294">
        <v>0.76381820380274901</v>
      </c>
      <c r="Z294">
        <v>0.77272251849473828</v>
      </c>
      <c r="AA294">
        <v>0.7020927126938179</v>
      </c>
      <c r="AB294">
        <v>0.72129527830868678</v>
      </c>
      <c r="AC294">
        <v>0.85858730112518222</v>
      </c>
      <c r="AD294">
        <v>0.8631957495008501</v>
      </c>
      <c r="AE294">
        <v>0.52974256609205495</v>
      </c>
      <c r="AH294">
        <v>0.13453927225185536</v>
      </c>
      <c r="AI294">
        <v>2.9312251185631855E-2</v>
      </c>
      <c r="AJ294">
        <v>2.1408854219654661E-2</v>
      </c>
      <c r="AK294">
        <v>8.846795292086429E-3</v>
      </c>
      <c r="AL294">
        <v>0.1730129402116084</v>
      </c>
      <c r="AM294">
        <v>0.12561094893941183</v>
      </c>
      <c r="AN294">
        <v>1.2556207571440048E-2</v>
      </c>
      <c r="AO294">
        <v>0.21114772147497463</v>
      </c>
      <c r="AR294">
        <v>7.9307471230243714E-4</v>
      </c>
      <c r="AS294">
        <v>4.351574368105935E-3</v>
      </c>
      <c r="AT294">
        <v>4.7406935553809355E-3</v>
      </c>
      <c r="AU294">
        <v>1.6245899604081814E-3</v>
      </c>
      <c r="AV294">
        <v>1.9536749900471752E-3</v>
      </c>
      <c r="AW294">
        <v>3.8548886296181362E-3</v>
      </c>
      <c r="AX294">
        <v>3.6322143167859608E-4</v>
      </c>
      <c r="AY294">
        <v>5.7357736762542189E-4</v>
      </c>
      <c r="BB294">
        <v>4.9888645580521529E-2</v>
      </c>
      <c r="BC294">
        <v>3.5741522196428628E-2</v>
      </c>
      <c r="BE294">
        <v>71948.75364430582</v>
      </c>
      <c r="BF294">
        <v>15.614560041469639</v>
      </c>
      <c r="BG294">
        <v>73671.375292788216</v>
      </c>
      <c r="BH294">
        <v>15.510453564606157</v>
      </c>
      <c r="BI294">
        <v>-1722.6216484823963</v>
      </c>
      <c r="BJ294">
        <v>0.10410647686348184</v>
      </c>
    </row>
    <row r="295" spans="3:62" x14ac:dyDescent="0.2">
      <c r="C295" s="121">
        <v>77589.360384425338</v>
      </c>
      <c r="D295" s="121">
        <v>14.086801094347447</v>
      </c>
      <c r="E295" s="121">
        <v>78362.637341625508</v>
      </c>
      <c r="F295" s="121">
        <v>14.019768099063556</v>
      </c>
      <c r="G295" s="121">
        <v>-773.27695720017073</v>
      </c>
      <c r="H295" s="121">
        <v>6.7032995283890173E-2</v>
      </c>
      <c r="N295" s="121"/>
      <c r="O295" s="121"/>
      <c r="P295" s="121"/>
      <c r="R295">
        <v>104.16606978137685</v>
      </c>
      <c r="S295">
        <v>66.41302188737825</v>
      </c>
      <c r="T295">
        <v>230.63738094865585</v>
      </c>
      <c r="U295">
        <v>77.040864166469831</v>
      </c>
      <c r="X295">
        <v>0.92539432338544225</v>
      </c>
      <c r="Y295">
        <v>0.68013318568807357</v>
      </c>
      <c r="Z295">
        <v>0.59467848841678328</v>
      </c>
      <c r="AA295">
        <v>0.92090130378853186</v>
      </c>
      <c r="AB295">
        <v>0.7945874911862838</v>
      </c>
      <c r="AC295">
        <v>0.89839893134468629</v>
      </c>
      <c r="AD295">
        <v>0.83010116323110172</v>
      </c>
      <c r="AE295">
        <v>0.73275420697380955</v>
      </c>
      <c r="AH295">
        <v>9.0060373836002405E-2</v>
      </c>
      <c r="AI295">
        <v>0.1745531258100903</v>
      </c>
      <c r="AJ295">
        <v>0.11838254012005844</v>
      </c>
      <c r="AK295">
        <v>2.2865054996324519E-2</v>
      </c>
      <c r="AL295">
        <v>7.8796937175616311E-2</v>
      </c>
      <c r="AM295">
        <v>3.440768406353012E-2</v>
      </c>
      <c r="AN295">
        <v>2.3274066482883438E-2</v>
      </c>
      <c r="AO295">
        <v>4.7161017620466206E-2</v>
      </c>
      <c r="AR295">
        <v>7.7418161738260433E-4</v>
      </c>
      <c r="AS295">
        <v>4.3583984785819209E-3</v>
      </c>
      <c r="AT295">
        <v>5.2366112587228786E-3</v>
      </c>
      <c r="AU295">
        <v>1.9428484825896851E-3</v>
      </c>
      <c r="AV295">
        <v>2.3164405023754497E-3</v>
      </c>
      <c r="AW295">
        <v>3.2194395621198938E-3</v>
      </c>
      <c r="AX295">
        <v>4.3017112421606107E-4</v>
      </c>
      <c r="AY295">
        <v>4.1377700940478022E-4</v>
      </c>
      <c r="BB295">
        <v>6.0852819490912702E-2</v>
      </c>
      <c r="BC295">
        <v>6.2300828134233432E-2</v>
      </c>
      <c r="BE295">
        <v>77589.360384425338</v>
      </c>
      <c r="BF295">
        <v>14.086801094347447</v>
      </c>
      <c r="BG295">
        <v>78362.637341625508</v>
      </c>
      <c r="BH295">
        <v>14.019768099063556</v>
      </c>
      <c r="BI295">
        <v>-773.27695720017073</v>
      </c>
      <c r="BJ295">
        <v>6.7032995283890173E-2</v>
      </c>
    </row>
    <row r="296" spans="3:62" x14ac:dyDescent="0.2">
      <c r="C296" s="121">
        <v>67303.903956309441</v>
      </c>
      <c r="D296" s="121">
        <v>13.05780332164589</v>
      </c>
      <c r="E296" s="121">
        <v>69112.247398979918</v>
      </c>
      <c r="F296" s="121">
        <v>12.911336149168894</v>
      </c>
      <c r="G296" s="121">
        <v>-1808.3434426704771</v>
      </c>
      <c r="H296" s="121">
        <v>0.1464671724769957</v>
      </c>
      <c r="N296" s="121"/>
      <c r="O296" s="121"/>
      <c r="P296" s="121"/>
      <c r="R296">
        <v>242.6523932678069</v>
      </c>
      <c r="S296">
        <v>59.863997980421189</v>
      </c>
      <c r="T296">
        <v>206.71669590657734</v>
      </c>
      <c r="U296">
        <v>95.658869332415506</v>
      </c>
      <c r="X296">
        <v>0.77170114358467812</v>
      </c>
      <c r="Y296">
        <v>0.77530446498553829</v>
      </c>
      <c r="Z296">
        <v>0.58289477028262071</v>
      </c>
      <c r="AA296">
        <v>0.72331948599183105</v>
      </c>
      <c r="AB296">
        <v>0.78476708789881855</v>
      </c>
      <c r="AC296">
        <v>0.74879142051097991</v>
      </c>
      <c r="AD296">
        <v>0.76519264618393834</v>
      </c>
      <c r="AE296">
        <v>0.78188433522067746</v>
      </c>
      <c r="AH296">
        <v>2.9914016435645285E-2</v>
      </c>
      <c r="AI296">
        <v>1.0558973051757237E-2</v>
      </c>
      <c r="AJ296">
        <v>0.37907370596348677</v>
      </c>
      <c r="AK296">
        <v>7.9367926294944491E-2</v>
      </c>
      <c r="AL296">
        <v>3.2416627021587097E-2</v>
      </c>
      <c r="AM296">
        <v>0.17853231271417913</v>
      </c>
      <c r="AN296">
        <v>0.17500209941711631</v>
      </c>
      <c r="AO296">
        <v>0.1130206980496008</v>
      </c>
      <c r="AR296">
        <v>9.7882312558250639E-4</v>
      </c>
      <c r="AS296">
        <v>4.5781998235049359E-3</v>
      </c>
      <c r="AT296">
        <v>5.0400909573437014E-3</v>
      </c>
      <c r="AU296">
        <v>2.0201934151676815E-3</v>
      </c>
      <c r="AV296">
        <v>2.1626637708199725E-3</v>
      </c>
      <c r="AW296">
        <v>3.41626254432148E-3</v>
      </c>
      <c r="AX296">
        <v>3.587738732497569E-4</v>
      </c>
      <c r="AY296">
        <v>3.9309605103527654E-4</v>
      </c>
      <c r="BB296">
        <v>4.3281599103545773E-2</v>
      </c>
      <c r="BC296">
        <v>2.7973338098178299E-2</v>
      </c>
      <c r="BE296">
        <v>67303.903956309441</v>
      </c>
      <c r="BF296">
        <v>13.05780332164589</v>
      </c>
      <c r="BG296">
        <v>69112.247398979918</v>
      </c>
      <c r="BH296">
        <v>12.911336149168894</v>
      </c>
      <c r="BI296">
        <v>-1808.3434426704771</v>
      </c>
      <c r="BJ296">
        <v>0.1464671724769957</v>
      </c>
    </row>
    <row r="297" spans="3:62" x14ac:dyDescent="0.2">
      <c r="C297" s="121">
        <v>66414.759764868184</v>
      </c>
      <c r="D297" s="121">
        <v>15.496465421722002</v>
      </c>
      <c r="E297" s="121">
        <v>67908.615728150049</v>
      </c>
      <c r="F297" s="121">
        <v>15.351152953370008</v>
      </c>
      <c r="G297" s="121">
        <v>-1493.8559632818651</v>
      </c>
      <c r="H297" s="121">
        <v>0.14531246835199418</v>
      </c>
      <c r="N297" s="121"/>
      <c r="O297" s="121"/>
      <c r="P297" s="121"/>
      <c r="R297">
        <v>293.64155449507325</v>
      </c>
      <c r="S297">
        <v>61.397094613035485</v>
      </c>
      <c r="T297">
        <v>212.41961173667246</v>
      </c>
      <c r="U297">
        <v>81.698693373440733</v>
      </c>
      <c r="X297">
        <v>0.78275518610262518</v>
      </c>
      <c r="Y297">
        <v>0.80845592231097496</v>
      </c>
      <c r="Z297">
        <v>0.78785029992896449</v>
      </c>
      <c r="AA297">
        <v>0.89994930524745187</v>
      </c>
      <c r="AB297">
        <v>0.83164396593883916</v>
      </c>
      <c r="AC297">
        <v>0.78663351573061402</v>
      </c>
      <c r="AD297">
        <v>0.71390706731741449</v>
      </c>
      <c r="AE297">
        <v>0.80695112394761881</v>
      </c>
      <c r="AH297">
        <v>0.18271924352747415</v>
      </c>
      <c r="AI297">
        <v>2.7291609100019931E-2</v>
      </c>
      <c r="AJ297">
        <v>0.11326923285851087</v>
      </c>
      <c r="AK297">
        <v>5.3025523979526312E-2</v>
      </c>
      <c r="AL297">
        <v>0.14468395714565174</v>
      </c>
      <c r="AM297">
        <v>0.21647465219549988</v>
      </c>
      <c r="AN297">
        <v>0.21550264855600931</v>
      </c>
      <c r="AO297">
        <v>4.3541886324283352E-2</v>
      </c>
      <c r="AR297">
        <v>7.0908494999057158E-4</v>
      </c>
      <c r="AS297">
        <v>4.1636775736927584E-3</v>
      </c>
      <c r="AT297">
        <v>5.043765406075762E-3</v>
      </c>
      <c r="AU297">
        <v>1.8261696578444394E-3</v>
      </c>
      <c r="AV297">
        <v>2.2247059172705308E-3</v>
      </c>
      <c r="AW297">
        <v>3.2435007022883341E-3</v>
      </c>
      <c r="AX297">
        <v>4.3722885854124982E-4</v>
      </c>
      <c r="AY297">
        <v>4.266286536141703E-4</v>
      </c>
      <c r="BB297">
        <v>5.4431776817581268E-2</v>
      </c>
      <c r="BC297">
        <v>5.2637708882223855E-2</v>
      </c>
      <c r="BE297">
        <v>66414.759764868184</v>
      </c>
      <c r="BF297">
        <v>15.496465421722002</v>
      </c>
      <c r="BG297">
        <v>67908.615728150049</v>
      </c>
      <c r="BH297">
        <v>15.351152953370008</v>
      </c>
      <c r="BI297">
        <v>-1493.8559632818651</v>
      </c>
      <c r="BJ297">
        <v>0.14531246835199418</v>
      </c>
    </row>
    <row r="298" spans="3:62" x14ac:dyDescent="0.2">
      <c r="C298" s="121">
        <v>72031.629530474165</v>
      </c>
      <c r="D298" s="121">
        <v>17.744608514403676</v>
      </c>
      <c r="E298" s="121">
        <v>73154.223902561716</v>
      </c>
      <c r="F298" s="121">
        <v>17.672267812909837</v>
      </c>
      <c r="G298" s="121">
        <v>-1122.5943720875512</v>
      </c>
      <c r="H298" s="121">
        <v>7.2340701493839532E-2</v>
      </c>
      <c r="N298" s="121"/>
      <c r="O298" s="121"/>
      <c r="P298" s="121"/>
      <c r="R298">
        <v>213.66085750345178</v>
      </c>
      <c r="S298">
        <v>61.228067350444867</v>
      </c>
      <c r="T298">
        <v>253.27121923634527</v>
      </c>
      <c r="U298">
        <v>98.87016456231612</v>
      </c>
      <c r="X298">
        <v>0.93471216922481493</v>
      </c>
      <c r="Y298">
        <v>0.88724475922280144</v>
      </c>
      <c r="Z298">
        <v>0.74461978712698151</v>
      </c>
      <c r="AA298">
        <v>0.68585706515883849</v>
      </c>
      <c r="AB298">
        <v>0.83868806051925326</v>
      </c>
      <c r="AC298">
        <v>0.84527534105349822</v>
      </c>
      <c r="AD298">
        <v>0.5308925687001752</v>
      </c>
      <c r="AE298">
        <v>0.76433330572729385</v>
      </c>
      <c r="AH298">
        <v>0.27682679517604991</v>
      </c>
      <c r="AI298">
        <v>0.19128850062392933</v>
      </c>
      <c r="AJ298">
        <v>3.2034319403547062E-2</v>
      </c>
      <c r="AK298">
        <v>0.13005562227816092</v>
      </c>
      <c r="AL298">
        <v>0.33349130776608005</v>
      </c>
      <c r="AM298">
        <v>3.077806682786266E-2</v>
      </c>
      <c r="AN298">
        <v>2.9541362335128607E-2</v>
      </c>
      <c r="AO298">
        <v>5.6419845154389248E-2</v>
      </c>
      <c r="AR298">
        <v>9.0352350544375959E-4</v>
      </c>
      <c r="AS298">
        <v>5.0480877862434381E-3</v>
      </c>
      <c r="AT298">
        <v>4.9256321340130872E-3</v>
      </c>
      <c r="AU298">
        <v>1.8399094940997995E-3</v>
      </c>
      <c r="AV298">
        <v>2.0762696900675781E-3</v>
      </c>
      <c r="AW298">
        <v>3.6002174360026951E-3</v>
      </c>
      <c r="AX298">
        <v>3.126701884269852E-4</v>
      </c>
      <c r="AY298">
        <v>3.7123995131897036E-4</v>
      </c>
      <c r="BB298">
        <v>6.2050384135240777E-2</v>
      </c>
      <c r="BC298">
        <v>6.9226154371656357E-2</v>
      </c>
      <c r="BE298">
        <v>72031.629530474165</v>
      </c>
      <c r="BF298">
        <v>17.744608514403676</v>
      </c>
      <c r="BG298">
        <v>73154.223902561716</v>
      </c>
      <c r="BH298">
        <v>17.672267812909837</v>
      </c>
      <c r="BI298">
        <v>-1122.5943720875512</v>
      </c>
      <c r="BJ298">
        <v>7.2340701493839532E-2</v>
      </c>
    </row>
    <row r="299" spans="3:62" x14ac:dyDescent="0.2">
      <c r="C299" s="121">
        <v>66207.630432579128</v>
      </c>
      <c r="D299" s="121">
        <v>17.327517151565058</v>
      </c>
      <c r="E299" s="121">
        <v>67956.577641138996</v>
      </c>
      <c r="F299" s="121">
        <v>17.204070718454577</v>
      </c>
      <c r="G299" s="121">
        <v>-1748.9472085598682</v>
      </c>
      <c r="H299" s="121">
        <v>0.12344643311048031</v>
      </c>
      <c r="N299" s="121"/>
      <c r="O299" s="121"/>
      <c r="P299" s="121"/>
      <c r="R299">
        <v>374.48392220905464</v>
      </c>
      <c r="S299">
        <v>65.77900198882557</v>
      </c>
      <c r="T299">
        <v>216.47630966454869</v>
      </c>
      <c r="U299">
        <v>102.18212311342425</v>
      </c>
      <c r="X299">
        <v>0.46819804884908162</v>
      </c>
      <c r="Y299">
        <v>0.79374072890159941</v>
      </c>
      <c r="Z299">
        <v>0.80666400847915276</v>
      </c>
      <c r="AA299">
        <v>0.93653957102088414</v>
      </c>
      <c r="AB299">
        <v>0.67972122294152237</v>
      </c>
      <c r="AC299">
        <v>0.89024273767659534</v>
      </c>
      <c r="AD299">
        <v>0.85545716444787456</v>
      </c>
      <c r="AE299">
        <v>0.93626974963937681</v>
      </c>
      <c r="AH299">
        <v>0.15469071890053609</v>
      </c>
      <c r="AI299">
        <v>0.15114903187660722</v>
      </c>
      <c r="AJ299">
        <v>3.4854325894654314E-2</v>
      </c>
      <c r="AK299">
        <v>0.15913936821279739</v>
      </c>
      <c r="AL299">
        <v>0.12685487280648677</v>
      </c>
      <c r="AM299">
        <v>4.6596847085292881E-3</v>
      </c>
      <c r="AN299">
        <v>0.12425323262152321</v>
      </c>
      <c r="AO299">
        <v>8.3572972983500082E-2</v>
      </c>
      <c r="AR299">
        <v>9.1415195232391611E-4</v>
      </c>
      <c r="AS299">
        <v>4.209282409914041E-3</v>
      </c>
      <c r="AT299">
        <v>5.0563906434550887E-3</v>
      </c>
      <c r="AU299">
        <v>2.0845512757134976E-3</v>
      </c>
      <c r="AV299">
        <v>1.8885428504807394E-3</v>
      </c>
      <c r="AW299">
        <v>3.6082108375888877E-3</v>
      </c>
      <c r="AX299">
        <v>3.5795596789209283E-4</v>
      </c>
      <c r="AY299">
        <v>4.348003774504144E-4</v>
      </c>
      <c r="BB299">
        <v>4.7422989861276479E-2</v>
      </c>
      <c r="BC299">
        <v>5.4236239417642551E-2</v>
      </c>
      <c r="BE299">
        <v>66207.630432579128</v>
      </c>
      <c r="BF299">
        <v>17.327517151565058</v>
      </c>
      <c r="BG299">
        <v>67956.577641138996</v>
      </c>
      <c r="BH299">
        <v>17.204070718454577</v>
      </c>
      <c r="BI299">
        <v>-1748.9472085598682</v>
      </c>
      <c r="BJ299">
        <v>0.12344643311048031</v>
      </c>
    </row>
    <row r="300" spans="3:62" x14ac:dyDescent="0.2">
      <c r="C300" s="121">
        <v>73856.531151058269</v>
      </c>
      <c r="D300" s="121">
        <v>16.573862181501127</v>
      </c>
      <c r="E300" s="121">
        <v>75632.079229135081</v>
      </c>
      <c r="F300" s="121">
        <v>16.404847205378712</v>
      </c>
      <c r="G300" s="121">
        <v>-1775.5480780768121</v>
      </c>
      <c r="H300" s="121">
        <v>0.16901497612241556</v>
      </c>
      <c r="N300" s="121"/>
      <c r="O300" s="121"/>
      <c r="P300" s="121"/>
      <c r="R300">
        <v>472.55229883845152</v>
      </c>
      <c r="S300">
        <v>62.393616699151721</v>
      </c>
      <c r="T300">
        <v>261.47315491722532</v>
      </c>
      <c r="U300">
        <v>87.596099315756732</v>
      </c>
      <c r="X300">
        <v>0.68346788791502211</v>
      </c>
      <c r="Y300">
        <v>0.79148116861672113</v>
      </c>
      <c r="Z300">
        <v>0.64710890612962846</v>
      </c>
      <c r="AA300">
        <v>0.87143859124962675</v>
      </c>
      <c r="AB300">
        <v>0.60643447519932403</v>
      </c>
      <c r="AC300">
        <v>0.84457094745690864</v>
      </c>
      <c r="AD300">
        <v>0.90427253995154055</v>
      </c>
      <c r="AE300">
        <v>0.6698657504950295</v>
      </c>
      <c r="AH300">
        <v>0.15944448140803047</v>
      </c>
      <c r="AI300">
        <v>6.205519919359026E-2</v>
      </c>
      <c r="AJ300">
        <v>0.14800638086115514</v>
      </c>
      <c r="AK300">
        <v>0.10414796189025799</v>
      </c>
      <c r="AL300">
        <v>0.17007552430062201</v>
      </c>
      <c r="AM300">
        <v>0.25013960316634221</v>
      </c>
      <c r="AN300">
        <v>0.2433290590574041</v>
      </c>
      <c r="AO300">
        <v>0.10965206952634199</v>
      </c>
      <c r="AR300">
        <v>8.7568610772798504E-4</v>
      </c>
      <c r="AS300">
        <v>4.3340018696037923E-3</v>
      </c>
      <c r="AT300">
        <v>4.9288386801632561E-3</v>
      </c>
      <c r="AU300">
        <v>1.9587453639067563E-3</v>
      </c>
      <c r="AV300">
        <v>2.013861366046199E-3</v>
      </c>
      <c r="AW300">
        <v>3.3219953630629975E-3</v>
      </c>
      <c r="AX300">
        <v>3.5739516088201549E-4</v>
      </c>
      <c r="AY300">
        <v>3.6824617222095351E-4</v>
      </c>
      <c r="BB300">
        <v>4.5822342693579508E-2</v>
      </c>
      <c r="BC300">
        <v>3.6227049810645354E-2</v>
      </c>
      <c r="BE300">
        <v>73856.531151058269</v>
      </c>
      <c r="BF300">
        <v>16.573862181501127</v>
      </c>
      <c r="BG300">
        <v>75632.079229135081</v>
      </c>
      <c r="BH300">
        <v>16.404847205378712</v>
      </c>
      <c r="BI300">
        <v>-1775.5480780768121</v>
      </c>
      <c r="BJ300">
        <v>0.16901497612241556</v>
      </c>
    </row>
    <row r="301" spans="3:62" x14ac:dyDescent="0.2">
      <c r="C301" s="121">
        <v>68832.813220295371</v>
      </c>
      <c r="D301" s="121">
        <v>17.591374453474049</v>
      </c>
      <c r="E301" s="121">
        <v>70362.788414290349</v>
      </c>
      <c r="F301" s="121">
        <v>17.458590878480642</v>
      </c>
      <c r="G301" s="121">
        <v>-1529.9751939949783</v>
      </c>
      <c r="H301" s="121">
        <v>0.13278357499340743</v>
      </c>
      <c r="N301" s="121"/>
      <c r="O301" s="121"/>
      <c r="P301" s="121"/>
      <c r="R301">
        <v>186.80593637015616</v>
      </c>
      <c r="S301">
        <v>60.087360193795419</v>
      </c>
      <c r="T301">
        <v>288.99242430785188</v>
      </c>
      <c r="U301">
        <v>66.174903986565113</v>
      </c>
      <c r="X301">
        <v>0.74666788778856474</v>
      </c>
      <c r="Y301">
        <v>0.5423610637217211</v>
      </c>
      <c r="Z301">
        <v>0.72121872225678485</v>
      </c>
      <c r="AA301">
        <v>0.84392731942220045</v>
      </c>
      <c r="AB301">
        <v>0.82272563740903237</v>
      </c>
      <c r="AC301">
        <v>0.69872187106013939</v>
      </c>
      <c r="AD301">
        <v>0.80681682320086034</v>
      </c>
      <c r="AE301">
        <v>0.78298961179077131</v>
      </c>
      <c r="AH301">
        <v>0.10145897299239715</v>
      </c>
      <c r="AI301">
        <v>0.10230807719942203</v>
      </c>
      <c r="AJ301">
        <v>0.125550895235927</v>
      </c>
      <c r="AK301">
        <v>0.14876053435594194</v>
      </c>
      <c r="AL301">
        <v>0.12160408246490084</v>
      </c>
      <c r="AM301">
        <v>0.20973175407030165</v>
      </c>
      <c r="AN301">
        <v>8.2066435773989865E-2</v>
      </c>
      <c r="AO301">
        <v>5.7241475479149928E-2</v>
      </c>
      <c r="AR301">
        <v>8.2359476783954355E-4</v>
      </c>
      <c r="AS301">
        <v>4.5433543974777724E-3</v>
      </c>
      <c r="AT301">
        <v>4.8956965495445849E-3</v>
      </c>
      <c r="AU301">
        <v>2.1388289065352728E-3</v>
      </c>
      <c r="AV301">
        <v>2.212211497760741E-3</v>
      </c>
      <c r="AW301">
        <v>3.5139923104642312E-3</v>
      </c>
      <c r="AX301">
        <v>3.3926656432274263E-4</v>
      </c>
      <c r="AY301">
        <v>4.9982483379307219E-4</v>
      </c>
      <c r="BB301">
        <v>5.3740130744997283E-2</v>
      </c>
      <c r="BC301">
        <v>5.105889150853915E-2</v>
      </c>
      <c r="BE301">
        <v>68832.813220295371</v>
      </c>
      <c r="BF301">
        <v>17.591374453474049</v>
      </c>
      <c r="BG301">
        <v>70362.788414290349</v>
      </c>
      <c r="BH301">
        <v>17.458590878480642</v>
      </c>
      <c r="BI301">
        <v>-1529.9751939949783</v>
      </c>
      <c r="BJ301">
        <v>0.13278357499340743</v>
      </c>
    </row>
    <row r="302" spans="3:62" x14ac:dyDescent="0.2">
      <c r="C302" s="121">
        <v>73156.855524360115</v>
      </c>
      <c r="D302" s="121">
        <v>16.772377392243104</v>
      </c>
      <c r="E302" s="121">
        <v>74669.224108034789</v>
      </c>
      <c r="F302" s="121">
        <v>16.655953497881622</v>
      </c>
      <c r="G302" s="121">
        <v>-1512.3685836746736</v>
      </c>
      <c r="H302" s="121">
        <v>0.11642389436148193</v>
      </c>
      <c r="N302" s="121"/>
      <c r="O302" s="121"/>
      <c r="P302" s="121"/>
      <c r="R302">
        <v>468.49241537481203</v>
      </c>
      <c r="S302">
        <v>56.53486258431122</v>
      </c>
      <c r="T302">
        <v>222.13572569326658</v>
      </c>
      <c r="U302">
        <v>98.208918354205068</v>
      </c>
      <c r="X302">
        <v>0.77442808627127624</v>
      </c>
      <c r="Y302">
        <v>0.89319617370501825</v>
      </c>
      <c r="Z302">
        <v>0.65202791407878158</v>
      </c>
      <c r="AA302">
        <v>0.76358371817861503</v>
      </c>
      <c r="AB302">
        <v>0.81332406858825901</v>
      </c>
      <c r="AC302">
        <v>0.69687805708168504</v>
      </c>
      <c r="AD302">
        <v>0.76178710792699234</v>
      </c>
      <c r="AE302">
        <v>0.82326204829592897</v>
      </c>
      <c r="AH302">
        <v>0.20344708142218282</v>
      </c>
      <c r="AI302">
        <v>3.5369753838127682E-2</v>
      </c>
      <c r="AJ302">
        <v>4.1983292559895968E-2</v>
      </c>
      <c r="AK302">
        <v>2.2859729232842296E-2</v>
      </c>
      <c r="AL302">
        <v>7.2255857319616035E-2</v>
      </c>
      <c r="AM302">
        <v>4.7475023219929469E-2</v>
      </c>
      <c r="AN302">
        <v>7.941086520056384E-2</v>
      </c>
      <c r="AO302">
        <v>0.14940252837442525</v>
      </c>
      <c r="AR302">
        <v>7.23023065448597E-4</v>
      </c>
      <c r="AS302">
        <v>4.6090613898203125E-3</v>
      </c>
      <c r="AT302">
        <v>5.1770972440824403E-3</v>
      </c>
      <c r="AU302">
        <v>2.1843774426292262E-3</v>
      </c>
      <c r="AV302">
        <v>1.978203635577555E-3</v>
      </c>
      <c r="AW302">
        <v>3.5513906572023357E-3</v>
      </c>
      <c r="AX302">
        <v>4.4966636054533105E-4</v>
      </c>
      <c r="AY302">
        <v>4.3886644765931602E-4</v>
      </c>
      <c r="BB302">
        <v>5.1672908019836483E-2</v>
      </c>
      <c r="BC302">
        <v>7.6548046573007511E-2</v>
      </c>
      <c r="BE302">
        <v>73156.855524360115</v>
      </c>
      <c r="BF302">
        <v>16.772377392243104</v>
      </c>
      <c r="BG302">
        <v>74669.224108034789</v>
      </c>
      <c r="BH302">
        <v>16.655953497881622</v>
      </c>
      <c r="BI302">
        <v>-1512.3685836746736</v>
      </c>
      <c r="BJ302">
        <v>0.11642389436148193</v>
      </c>
    </row>
    <row r="303" spans="3:62" x14ac:dyDescent="0.2">
      <c r="C303" s="121">
        <v>64995.606841703368</v>
      </c>
      <c r="D303" s="121">
        <v>18.337174130542969</v>
      </c>
      <c r="E303" s="121">
        <v>65983.443319682876</v>
      </c>
      <c r="F303" s="121">
        <v>18.24162376614488</v>
      </c>
      <c r="G303" s="121">
        <v>-987.83647797950835</v>
      </c>
      <c r="H303" s="121">
        <v>9.5550364398089727E-2</v>
      </c>
      <c r="N303" s="121"/>
      <c r="O303" s="121"/>
      <c r="P303" s="121"/>
      <c r="R303">
        <v>293.60494940584442</v>
      </c>
      <c r="S303">
        <v>55.470249788809667</v>
      </c>
      <c r="T303">
        <v>252.95024020409403</v>
      </c>
      <c r="U303">
        <v>88.530406139731454</v>
      </c>
      <c r="X303">
        <v>0.76043161086075284</v>
      </c>
      <c r="Y303">
        <v>0.65383696916465561</v>
      </c>
      <c r="Z303">
        <v>0.69535411230115096</v>
      </c>
      <c r="AA303">
        <v>0.70322161500398972</v>
      </c>
      <c r="AB303">
        <v>0.6840436895542974</v>
      </c>
      <c r="AC303">
        <v>0.73243602045021294</v>
      </c>
      <c r="AD303">
        <v>0.46742226830155281</v>
      </c>
      <c r="AE303">
        <v>0.77625903979068034</v>
      </c>
      <c r="AH303">
        <v>1.2570833859197439E-2</v>
      </c>
      <c r="AI303">
        <v>0.21986603983289121</v>
      </c>
      <c r="AJ303">
        <v>0.17602154603327091</v>
      </c>
      <c r="AK303">
        <v>0.21479785987023592</v>
      </c>
      <c r="AL303">
        <v>0.20516515173557748</v>
      </c>
      <c r="AM303">
        <v>6.7710633952211441E-2</v>
      </c>
      <c r="AN303">
        <v>8.240595120853067E-2</v>
      </c>
      <c r="AO303">
        <v>6.5019518679558352E-2</v>
      </c>
      <c r="AR303">
        <v>7.8559425302883034E-4</v>
      </c>
      <c r="AS303">
        <v>4.4382358993661757E-3</v>
      </c>
      <c r="AT303">
        <v>4.5151774235518147E-3</v>
      </c>
      <c r="AU303">
        <v>1.8004484231058035E-3</v>
      </c>
      <c r="AV303">
        <v>1.9272704021844557E-3</v>
      </c>
      <c r="AW303">
        <v>3.6775345815227567E-3</v>
      </c>
      <c r="AX303">
        <v>4.3002853555251797E-4</v>
      </c>
      <c r="AY303">
        <v>3.6336892634897873E-4</v>
      </c>
      <c r="BB303">
        <v>5.0493292737499362E-2</v>
      </c>
      <c r="BC303">
        <v>7.1824307479262606E-2</v>
      </c>
      <c r="BE303">
        <v>64995.606841703368</v>
      </c>
      <c r="BF303">
        <v>18.337174130542969</v>
      </c>
      <c r="BG303">
        <v>65983.443319682876</v>
      </c>
      <c r="BH303">
        <v>18.24162376614488</v>
      </c>
      <c r="BI303">
        <v>-987.83647797950835</v>
      </c>
      <c r="BJ303">
        <v>9.5550364398089727E-2</v>
      </c>
    </row>
    <row r="304" spans="3:62" x14ac:dyDescent="0.2">
      <c r="C304" s="121">
        <v>77035.727979942822</v>
      </c>
      <c r="D304" s="121">
        <v>17.82491713191331</v>
      </c>
      <c r="E304" s="121">
        <v>79341.747946924501</v>
      </c>
      <c r="F304" s="121">
        <v>17.711446448232209</v>
      </c>
      <c r="G304" s="121">
        <v>-2306.0199669816793</v>
      </c>
      <c r="H304" s="121">
        <v>0.11347068368110058</v>
      </c>
      <c r="N304" s="121"/>
      <c r="O304" s="121"/>
      <c r="P304" s="121"/>
      <c r="R304">
        <v>109.20356523000379</v>
      </c>
      <c r="S304">
        <v>62.176144130961092</v>
      </c>
      <c r="T304">
        <v>238.16246013450399</v>
      </c>
      <c r="U304">
        <v>104.60295189231839</v>
      </c>
      <c r="X304">
        <v>0.8683288572564043</v>
      </c>
      <c r="Y304">
        <v>0.35704470954638634</v>
      </c>
      <c r="Z304">
        <v>0.852361703987635</v>
      </c>
      <c r="AA304">
        <v>0.84580541103732954</v>
      </c>
      <c r="AB304">
        <v>0.90731568602907364</v>
      </c>
      <c r="AC304">
        <v>0.79636852336362529</v>
      </c>
      <c r="AD304">
        <v>0.59628428118202936</v>
      </c>
      <c r="AE304">
        <v>0.79103613611102441</v>
      </c>
      <c r="AH304">
        <v>1.9511456045450348E-2</v>
      </c>
      <c r="AI304">
        <v>8.9674170121485153E-2</v>
      </c>
      <c r="AJ304">
        <v>0.1368704638242092</v>
      </c>
      <c r="AK304">
        <v>8.8343593018646471E-2</v>
      </c>
      <c r="AL304">
        <v>5.9168214752222781E-2</v>
      </c>
      <c r="AM304">
        <v>0.2651151839176864</v>
      </c>
      <c r="AN304">
        <v>9.0268633492960104E-2</v>
      </c>
      <c r="AO304">
        <v>9.5327754601088666E-2</v>
      </c>
      <c r="AR304">
        <v>8.1601676091733731E-4</v>
      </c>
      <c r="AS304">
        <v>4.4539794772263655E-3</v>
      </c>
      <c r="AT304">
        <v>4.9763446054232885E-3</v>
      </c>
      <c r="AU304">
        <v>2.063478008885844E-3</v>
      </c>
      <c r="AV304">
        <v>2.0747229214449492E-3</v>
      </c>
      <c r="AW304">
        <v>3.6122635443452955E-3</v>
      </c>
      <c r="AX304">
        <v>4.7985611418577268E-4</v>
      </c>
      <c r="AY304">
        <v>5.187637032124659E-4</v>
      </c>
      <c r="BB304">
        <v>4.8118223289249404E-2</v>
      </c>
      <c r="BC304">
        <v>2.6934905403636356E-2</v>
      </c>
      <c r="BE304">
        <v>77035.727979942822</v>
      </c>
      <c r="BF304">
        <v>17.82491713191331</v>
      </c>
      <c r="BG304">
        <v>79341.747946924501</v>
      </c>
      <c r="BH304">
        <v>17.711446448232209</v>
      </c>
      <c r="BI304">
        <v>-2306.0199669816793</v>
      </c>
      <c r="BJ304">
        <v>0.11347068368110058</v>
      </c>
    </row>
    <row r="305" spans="3:62" x14ac:dyDescent="0.2">
      <c r="C305" s="121">
        <v>65810.205385220514</v>
      </c>
      <c r="D305" s="121">
        <v>16.560444964039462</v>
      </c>
      <c r="E305" s="121">
        <v>67856.881979086495</v>
      </c>
      <c r="F305" s="121">
        <v>16.38845851954494</v>
      </c>
      <c r="G305" s="121">
        <v>-2046.676593865981</v>
      </c>
      <c r="H305" s="121">
        <v>0.17198644449452161</v>
      </c>
      <c r="N305" s="121"/>
      <c r="O305" s="121"/>
      <c r="P305" s="121"/>
      <c r="R305">
        <v>277.51455329834101</v>
      </c>
      <c r="S305">
        <v>52.799099458772574</v>
      </c>
      <c r="T305">
        <v>253.92982085108295</v>
      </c>
      <c r="U305">
        <v>97.630791055672091</v>
      </c>
      <c r="X305">
        <v>0.69625562070016278</v>
      </c>
      <c r="Y305">
        <v>0.80372382826212241</v>
      </c>
      <c r="Z305">
        <v>0.8356655934351338</v>
      </c>
      <c r="AA305">
        <v>0.68412226892002548</v>
      </c>
      <c r="AB305">
        <v>0.79854557041122254</v>
      </c>
      <c r="AC305">
        <v>0.88750104825114362</v>
      </c>
      <c r="AD305">
        <v>0.67054615247340044</v>
      </c>
      <c r="AE305">
        <v>0.5680087934960687</v>
      </c>
      <c r="AH305">
        <v>0.34576206606918247</v>
      </c>
      <c r="AI305">
        <v>0.18895677061823268</v>
      </c>
      <c r="AJ305">
        <v>0.11663705335759755</v>
      </c>
      <c r="AK305">
        <v>5.6112246032471003E-2</v>
      </c>
      <c r="AL305">
        <v>0.1350199174628044</v>
      </c>
      <c r="AM305">
        <v>3.7334382642481012E-2</v>
      </c>
      <c r="AN305">
        <v>9.5557989199715143E-2</v>
      </c>
      <c r="AO305">
        <v>0.2595414994748978</v>
      </c>
      <c r="AR305">
        <v>7.3194596647583958E-4</v>
      </c>
      <c r="AS305">
        <v>4.4355148036124767E-3</v>
      </c>
      <c r="AT305">
        <v>4.99485797317889E-3</v>
      </c>
      <c r="AU305">
        <v>1.8978620087576139E-3</v>
      </c>
      <c r="AV305">
        <v>2.1846397296118036E-3</v>
      </c>
      <c r="AW305">
        <v>3.4529271247213389E-3</v>
      </c>
      <c r="AX305">
        <v>3.195215498518854E-4</v>
      </c>
      <c r="AY305">
        <v>4.7326879697295876E-4</v>
      </c>
      <c r="BB305">
        <v>5.6505237473216119E-2</v>
      </c>
      <c r="BC305">
        <v>3.2509794070099969E-2</v>
      </c>
      <c r="BE305">
        <v>65810.205385220514</v>
      </c>
      <c r="BF305">
        <v>16.560444964039462</v>
      </c>
      <c r="BG305">
        <v>67856.881979086495</v>
      </c>
      <c r="BH305">
        <v>16.38845851954494</v>
      </c>
      <c r="BI305">
        <v>-2046.676593865981</v>
      </c>
      <c r="BJ305">
        <v>0.17198644449452161</v>
      </c>
    </row>
    <row r="306" spans="3:62" x14ac:dyDescent="0.2">
      <c r="C306" s="121">
        <v>66822.304681895839</v>
      </c>
      <c r="D306" s="121">
        <v>16.810152541772968</v>
      </c>
      <c r="E306" s="121">
        <v>68722.762682174769</v>
      </c>
      <c r="F306" s="121">
        <v>16.671337620340619</v>
      </c>
      <c r="G306" s="121">
        <v>-1900.4580002789298</v>
      </c>
      <c r="H306" s="121">
        <v>0.13881492143234908</v>
      </c>
      <c r="N306" s="121"/>
      <c r="O306" s="121"/>
      <c r="P306" s="121"/>
      <c r="R306">
        <v>236.57759428253547</v>
      </c>
      <c r="S306">
        <v>58.830438716393544</v>
      </c>
      <c r="T306">
        <v>214.08078963908741</v>
      </c>
      <c r="U306">
        <v>96.302985335552123</v>
      </c>
      <c r="X306">
        <v>0.72194141666766332</v>
      </c>
      <c r="Y306">
        <v>0.59310282934187164</v>
      </c>
      <c r="Z306">
        <v>0.84350427282040652</v>
      </c>
      <c r="AA306">
        <v>0.82026255272496174</v>
      </c>
      <c r="AB306">
        <v>0.86816241165527686</v>
      </c>
      <c r="AC306">
        <v>0.54322654613966082</v>
      </c>
      <c r="AD306">
        <v>0.82328024010822021</v>
      </c>
      <c r="AE306">
        <v>0.60180279204085241</v>
      </c>
      <c r="AH306">
        <v>0.14572324032484607</v>
      </c>
      <c r="AI306">
        <v>9.2411204246427125E-2</v>
      </c>
      <c r="AJ306">
        <v>1.9283491684044196E-2</v>
      </c>
      <c r="AK306">
        <v>0.1611997613538052</v>
      </c>
      <c r="AL306">
        <v>3.9849245560292346E-2</v>
      </c>
      <c r="AM306">
        <v>4.1823057593776136E-2</v>
      </c>
      <c r="AN306">
        <v>8.5584716296793539E-2</v>
      </c>
      <c r="AO306">
        <v>4.1089383831348192E-2</v>
      </c>
      <c r="AR306">
        <v>9.5471461998897222E-4</v>
      </c>
      <c r="AS306">
        <v>4.725162503495306E-3</v>
      </c>
      <c r="AT306">
        <v>5.1925221389563792E-3</v>
      </c>
      <c r="AU306">
        <v>2.02841383893404E-3</v>
      </c>
      <c r="AV306">
        <v>2.1038022832799985E-3</v>
      </c>
      <c r="AW306">
        <v>3.4182375469813397E-3</v>
      </c>
      <c r="AX306">
        <v>5.0311988407281127E-4</v>
      </c>
      <c r="AY306">
        <v>3.5308091770250901E-4</v>
      </c>
      <c r="BB306">
        <v>5.7203430578663617E-2</v>
      </c>
      <c r="BC306">
        <v>2.4544022041306388E-2</v>
      </c>
      <c r="BE306">
        <v>66822.304681895839</v>
      </c>
      <c r="BF306">
        <v>16.810152541772968</v>
      </c>
      <c r="BG306">
        <v>68722.762682174769</v>
      </c>
      <c r="BH306">
        <v>16.671337620340619</v>
      </c>
      <c r="BI306">
        <v>-1900.4580002789298</v>
      </c>
      <c r="BJ306">
        <v>0.13881492143234908</v>
      </c>
    </row>
    <row r="307" spans="3:62" x14ac:dyDescent="0.2">
      <c r="C307" s="121">
        <v>65849.010986589012</v>
      </c>
      <c r="D307" s="121">
        <v>15.939386303458637</v>
      </c>
      <c r="E307" s="121">
        <v>67442.056357369642</v>
      </c>
      <c r="F307" s="121">
        <v>15.793247331004379</v>
      </c>
      <c r="G307" s="121">
        <v>-1593.04537078063</v>
      </c>
      <c r="H307" s="121">
        <v>0.14613897245425811</v>
      </c>
      <c r="N307" s="121"/>
      <c r="O307" s="121"/>
      <c r="P307" s="121"/>
      <c r="R307">
        <v>226.21870346024627</v>
      </c>
      <c r="S307">
        <v>61.296556544085156</v>
      </c>
      <c r="T307">
        <v>227.74276520446841</v>
      </c>
      <c r="U307">
        <v>107.11536706760299</v>
      </c>
      <c r="X307">
        <v>0.80953414942910773</v>
      </c>
      <c r="Y307">
        <v>0.82778526905834926</v>
      </c>
      <c r="Z307">
        <v>0.73454839423224894</v>
      </c>
      <c r="AA307">
        <v>0.59420885555049419</v>
      </c>
      <c r="AB307">
        <v>0.86210724830563068</v>
      </c>
      <c r="AC307">
        <v>0.63348053157991757</v>
      </c>
      <c r="AD307">
        <v>0.67730978865361258</v>
      </c>
      <c r="AE307">
        <v>0.82447859583762995</v>
      </c>
      <c r="AH307">
        <v>0.10594206995978761</v>
      </c>
      <c r="AI307">
        <v>2.7090855016364546E-2</v>
      </c>
      <c r="AJ307">
        <v>8.9689961028420861E-2</v>
      </c>
      <c r="AK307">
        <v>2.5537473717921699E-2</v>
      </c>
      <c r="AL307">
        <v>6.9432779838987213E-2</v>
      </c>
      <c r="AM307">
        <v>0.21029299520758515</v>
      </c>
      <c r="AN307">
        <v>6.9972917492614251E-2</v>
      </c>
      <c r="AO307">
        <v>3.0429418875330905E-2</v>
      </c>
      <c r="AR307">
        <v>8.449732976160137E-4</v>
      </c>
      <c r="AS307">
        <v>4.3427938107398929E-3</v>
      </c>
      <c r="AT307">
        <v>5.6029714623275773E-3</v>
      </c>
      <c r="AU307">
        <v>1.9883099202310734E-3</v>
      </c>
      <c r="AV307">
        <v>1.8181850983526593E-3</v>
      </c>
      <c r="AW307">
        <v>3.405013886661225E-3</v>
      </c>
      <c r="AX307">
        <v>2.7621405688718333E-4</v>
      </c>
      <c r="AY307">
        <v>4.5409903720650124E-4</v>
      </c>
      <c r="BB307">
        <v>4.2350185391233697E-2</v>
      </c>
      <c r="BC307">
        <v>3.6245415899167015E-2</v>
      </c>
      <c r="BE307">
        <v>65849.010986589012</v>
      </c>
      <c r="BF307">
        <v>15.939386303458637</v>
      </c>
      <c r="BG307">
        <v>67442.056357369642</v>
      </c>
      <c r="BH307">
        <v>15.793247331004379</v>
      </c>
      <c r="BI307">
        <v>-1593.04537078063</v>
      </c>
      <c r="BJ307">
        <v>0.14613897245425811</v>
      </c>
    </row>
    <row r="308" spans="3:62" x14ac:dyDescent="0.2">
      <c r="C308" s="121">
        <v>75537.747038836838</v>
      </c>
      <c r="D308" s="121">
        <v>15.71256319858829</v>
      </c>
      <c r="E308" s="121">
        <v>76796.474823244702</v>
      </c>
      <c r="F308" s="121">
        <v>15.595668530704621</v>
      </c>
      <c r="G308" s="121">
        <v>-1258.7277844078635</v>
      </c>
      <c r="H308" s="121">
        <v>0.11689466788366865</v>
      </c>
      <c r="N308" s="121"/>
      <c r="O308" s="121"/>
      <c r="P308" s="121"/>
      <c r="R308">
        <v>192.64297715846948</v>
      </c>
      <c r="S308">
        <v>58.18834741978479</v>
      </c>
      <c r="T308">
        <v>223.11527964359368</v>
      </c>
      <c r="U308">
        <v>108.09908396220158</v>
      </c>
      <c r="X308">
        <v>0.92644908357616607</v>
      </c>
      <c r="Y308">
        <v>0.79847326044591393</v>
      </c>
      <c r="Z308">
        <v>0.76008634841348233</v>
      </c>
      <c r="AA308">
        <v>0.49713722902421859</v>
      </c>
      <c r="AB308">
        <v>0.71711058167937425</v>
      </c>
      <c r="AC308">
        <v>0.75860259308909606</v>
      </c>
      <c r="AD308">
        <v>0.8738262468307475</v>
      </c>
      <c r="AE308">
        <v>0.87207860099096601</v>
      </c>
      <c r="AH308">
        <v>7.0060209865752121E-3</v>
      </c>
      <c r="AI308">
        <v>7.7851167540257671E-2</v>
      </c>
      <c r="AJ308">
        <v>0.36140440400193363</v>
      </c>
      <c r="AK308">
        <v>6.7988551304962508E-2</v>
      </c>
      <c r="AL308">
        <v>5.4379434408879934E-2</v>
      </c>
      <c r="AM308">
        <v>0.11787075719998008</v>
      </c>
      <c r="AN308">
        <v>0.12961000392620747</v>
      </c>
      <c r="AO308">
        <v>9.7495514668878291E-2</v>
      </c>
      <c r="AR308">
        <v>7.9925089339825039E-4</v>
      </c>
      <c r="AS308">
        <v>4.5901968113021274E-3</v>
      </c>
      <c r="AT308">
        <v>4.9490215442339336E-3</v>
      </c>
      <c r="AU308">
        <v>1.8868509880673779E-3</v>
      </c>
      <c r="AV308">
        <v>1.6396664648281065E-3</v>
      </c>
      <c r="AW308">
        <v>3.6950075203379118E-3</v>
      </c>
      <c r="AX308">
        <v>3.874737839257089E-4</v>
      </c>
      <c r="AY308">
        <v>5.0830700092319159E-4</v>
      </c>
      <c r="BB308">
        <v>4.7674877837926774E-2</v>
      </c>
      <c r="BC308">
        <v>2.9489347265123103E-2</v>
      </c>
      <c r="BE308">
        <v>75537.747038836838</v>
      </c>
      <c r="BF308">
        <v>15.71256319858829</v>
      </c>
      <c r="BG308">
        <v>76796.474823244702</v>
      </c>
      <c r="BH308">
        <v>15.595668530704621</v>
      </c>
      <c r="BI308">
        <v>-1258.7277844078635</v>
      </c>
      <c r="BJ308">
        <v>0.11689466788366865</v>
      </c>
    </row>
    <row r="309" spans="3:62" x14ac:dyDescent="0.2">
      <c r="C309" s="121">
        <v>75289.043176559804</v>
      </c>
      <c r="D309" s="121">
        <v>16.000557701272307</v>
      </c>
      <c r="E309" s="121">
        <v>77296.993768394896</v>
      </c>
      <c r="F309" s="121">
        <v>15.834173405434861</v>
      </c>
      <c r="G309" s="121">
        <v>-2007.9505918350915</v>
      </c>
      <c r="H309" s="121">
        <v>0.16638429583744596</v>
      </c>
      <c r="N309" s="121"/>
      <c r="O309" s="121"/>
      <c r="P309" s="121"/>
      <c r="R309">
        <v>280.68827838286376</v>
      </c>
      <c r="S309">
        <v>60.67084531392797</v>
      </c>
      <c r="T309">
        <v>268.5927759980915</v>
      </c>
      <c r="U309">
        <v>101.32131078965527</v>
      </c>
      <c r="X309">
        <v>0.96847546550266805</v>
      </c>
      <c r="Y309">
        <v>0.85512037806268859</v>
      </c>
      <c r="Z309">
        <v>0.93389541473336246</v>
      </c>
      <c r="AA309">
        <v>0.85616559988034013</v>
      </c>
      <c r="AB309">
        <v>0.69074259509855074</v>
      </c>
      <c r="AC309">
        <v>0.77578816642613002</v>
      </c>
      <c r="AD309">
        <v>0.81057328049409261</v>
      </c>
      <c r="AE309">
        <v>0.65345187646789349</v>
      </c>
      <c r="AH309">
        <v>4.6944665191253176E-2</v>
      </c>
      <c r="AI309">
        <v>6.1185844113419319E-2</v>
      </c>
      <c r="AJ309">
        <v>9.040485272728116E-2</v>
      </c>
      <c r="AK309">
        <v>0.21472327076198749</v>
      </c>
      <c r="AL309">
        <v>0.1688467019141493</v>
      </c>
      <c r="AM309">
        <v>0.1260857601447477</v>
      </c>
      <c r="AN309">
        <v>0.27866478983124121</v>
      </c>
      <c r="AO309">
        <v>0.13331762003724645</v>
      </c>
      <c r="AR309">
        <v>1.0081848384504433E-3</v>
      </c>
      <c r="AS309">
        <v>4.1859831781460169E-3</v>
      </c>
      <c r="AT309">
        <v>5.4495218812922186E-3</v>
      </c>
      <c r="AU309">
        <v>2.1995771173247691E-3</v>
      </c>
      <c r="AV309">
        <v>2.1721206881221145E-3</v>
      </c>
      <c r="AW309">
        <v>3.4482655795360362E-3</v>
      </c>
      <c r="AX309">
        <v>3.0892837082248663E-4</v>
      </c>
      <c r="AY309">
        <v>4.5378670333151572E-4</v>
      </c>
      <c r="BB309">
        <v>4.8447463482103756E-2</v>
      </c>
      <c r="BC309">
        <v>4.8852451808416575E-2</v>
      </c>
      <c r="BE309">
        <v>75289.043176559804</v>
      </c>
      <c r="BF309">
        <v>16.000557701272307</v>
      </c>
      <c r="BG309">
        <v>77296.993768394896</v>
      </c>
      <c r="BH309">
        <v>15.834173405434861</v>
      </c>
      <c r="BI309">
        <v>-2007.9505918350915</v>
      </c>
      <c r="BJ309">
        <v>0.16638429583744596</v>
      </c>
    </row>
    <row r="310" spans="3:62" x14ac:dyDescent="0.2">
      <c r="C310" s="121">
        <v>68426.214192199244</v>
      </c>
      <c r="D310" s="121">
        <v>17.6980874909774</v>
      </c>
      <c r="E310" s="121">
        <v>69199.057378095677</v>
      </c>
      <c r="F310" s="121">
        <v>17.629882789911679</v>
      </c>
      <c r="G310" s="121">
        <v>-772.84318589643226</v>
      </c>
      <c r="H310" s="121">
        <v>6.8204701065720741E-2</v>
      </c>
      <c r="N310" s="121"/>
      <c r="O310" s="121"/>
      <c r="P310" s="121"/>
      <c r="R310">
        <v>249.71011906549828</v>
      </c>
      <c r="S310">
        <v>57.826146794076564</v>
      </c>
      <c r="T310">
        <v>223.20911947941693</v>
      </c>
      <c r="U310">
        <v>87.61370691531944</v>
      </c>
      <c r="X310">
        <v>0.60782429962137208</v>
      </c>
      <c r="Y310">
        <v>0.54600549768104001</v>
      </c>
      <c r="Z310">
        <v>0.53959304447689926</v>
      </c>
      <c r="AA310">
        <v>0.87950023976933189</v>
      </c>
      <c r="AB310">
        <v>0.72277214203768836</v>
      </c>
      <c r="AC310">
        <v>0.885342223207784</v>
      </c>
      <c r="AD310">
        <v>0.91995647965364191</v>
      </c>
      <c r="AE310">
        <v>0.70024283852791813</v>
      </c>
      <c r="AH310">
        <v>0.28584031641075824</v>
      </c>
      <c r="AI310">
        <v>8.4767122783520055E-2</v>
      </c>
      <c r="AJ310">
        <v>0.13190322226845164</v>
      </c>
      <c r="AK310">
        <v>2.3589600554014822E-3</v>
      </c>
      <c r="AL310">
        <v>0.18433770222334023</v>
      </c>
      <c r="AM310">
        <v>0.24703265972430666</v>
      </c>
      <c r="AN310">
        <v>9.4358160222668186E-2</v>
      </c>
      <c r="AO310">
        <v>0.23107021008430884</v>
      </c>
      <c r="AR310">
        <v>9.2225118774591497E-4</v>
      </c>
      <c r="AS310">
        <v>4.3962870118606535E-3</v>
      </c>
      <c r="AT310">
        <v>4.7740195383105958E-3</v>
      </c>
      <c r="AU310">
        <v>2.1864417127648306E-3</v>
      </c>
      <c r="AV310">
        <v>2.078116503068328E-3</v>
      </c>
      <c r="AW310">
        <v>3.1373630042152026E-3</v>
      </c>
      <c r="AX310">
        <v>3.4070073755352264E-4</v>
      </c>
      <c r="AY310">
        <v>4.9862686509405396E-4</v>
      </c>
      <c r="BB310">
        <v>5.1615596277179376E-2</v>
      </c>
      <c r="BC310">
        <v>3.2923558936030259E-2</v>
      </c>
      <c r="BE310">
        <v>68426.214192199244</v>
      </c>
      <c r="BF310">
        <v>17.6980874909774</v>
      </c>
      <c r="BG310">
        <v>69199.057378095677</v>
      </c>
      <c r="BH310">
        <v>17.629882789911679</v>
      </c>
      <c r="BI310">
        <v>-772.84318589643226</v>
      </c>
      <c r="BJ310">
        <v>6.8204701065720741E-2</v>
      </c>
    </row>
    <row r="311" spans="3:62" x14ac:dyDescent="0.2">
      <c r="C311" s="121">
        <v>69761.031622580253</v>
      </c>
      <c r="D311" s="121">
        <v>16.392305432816272</v>
      </c>
      <c r="E311" s="121">
        <v>71045.132121624585</v>
      </c>
      <c r="F311" s="121">
        <v>16.283481050423685</v>
      </c>
      <c r="G311" s="121">
        <v>-1284.1004990443325</v>
      </c>
      <c r="H311" s="121">
        <v>0.10882438239258718</v>
      </c>
      <c r="N311" s="121"/>
      <c r="O311" s="121"/>
      <c r="P311" s="121"/>
      <c r="R311">
        <v>405.11554023331382</v>
      </c>
      <c r="S311">
        <v>74.544197352291022</v>
      </c>
      <c r="T311">
        <v>233.85798397220867</v>
      </c>
      <c r="U311">
        <v>96.105748239939729</v>
      </c>
      <c r="X311">
        <v>0.7012579530027262</v>
      </c>
      <c r="Y311">
        <v>0.46324852557651308</v>
      </c>
      <c r="Z311">
        <v>0.87186284950283222</v>
      </c>
      <c r="AA311">
        <v>0.69643652357650043</v>
      </c>
      <c r="AB311">
        <v>0.86997550660840672</v>
      </c>
      <c r="AC311">
        <v>0.54919901010964745</v>
      </c>
      <c r="AD311">
        <v>0.77697889194202396</v>
      </c>
      <c r="AE311">
        <v>0.80004867822425862</v>
      </c>
      <c r="AH311">
        <v>9.4560463961302244E-2</v>
      </c>
      <c r="AI311">
        <v>0.15197855989659725</v>
      </c>
      <c r="AJ311">
        <v>0.27856630761542678</v>
      </c>
      <c r="AK311">
        <v>0.13631208723084365</v>
      </c>
      <c r="AL311">
        <v>0.26908203872725245</v>
      </c>
      <c r="AM311">
        <v>0.15412710238463045</v>
      </c>
      <c r="AN311">
        <v>0.16102605080841714</v>
      </c>
      <c r="AO311">
        <v>0.1996923179757496</v>
      </c>
      <c r="AR311">
        <v>9.2220584864532995E-4</v>
      </c>
      <c r="AS311">
        <v>4.2764481073926316E-3</v>
      </c>
      <c r="AT311">
        <v>5.1312964066749789E-3</v>
      </c>
      <c r="AU311">
        <v>2.0944123975169537E-3</v>
      </c>
      <c r="AV311">
        <v>1.9968101152288975E-3</v>
      </c>
      <c r="AW311">
        <v>3.4293335220264565E-3</v>
      </c>
      <c r="AX311">
        <v>4.4691106046079732E-4</v>
      </c>
      <c r="AY311">
        <v>4.1646229213097857E-4</v>
      </c>
      <c r="BB311">
        <v>5.8468165024130214E-2</v>
      </c>
      <c r="BC311">
        <v>2.4256581862478924E-2</v>
      </c>
      <c r="BE311">
        <v>69761.031622580253</v>
      </c>
      <c r="BF311">
        <v>16.392305432816272</v>
      </c>
      <c r="BG311">
        <v>71045.132121624585</v>
      </c>
      <c r="BH311">
        <v>16.283481050423685</v>
      </c>
      <c r="BI311">
        <v>-1284.1004990443325</v>
      </c>
      <c r="BJ311">
        <v>0.10882438239258718</v>
      </c>
    </row>
    <row r="312" spans="3:62" x14ac:dyDescent="0.2">
      <c r="C312" s="121">
        <v>76855.01140012384</v>
      </c>
      <c r="D312" s="121">
        <v>15.595308759852541</v>
      </c>
      <c r="E312" s="121">
        <v>78276.208816125509</v>
      </c>
      <c r="F312" s="121">
        <v>15.465835813862615</v>
      </c>
      <c r="G312" s="121">
        <v>-1421.1974160016689</v>
      </c>
      <c r="H312" s="121">
        <v>0.1294729459899262</v>
      </c>
      <c r="N312" s="121"/>
      <c r="O312" s="121"/>
      <c r="P312" s="121"/>
      <c r="R312">
        <v>330.76286198659415</v>
      </c>
      <c r="S312">
        <v>55.306041720535248</v>
      </c>
      <c r="T312">
        <v>267.80725487349275</v>
      </c>
      <c r="U312">
        <v>104.4436286384578</v>
      </c>
      <c r="X312">
        <v>0.79924253608244422</v>
      </c>
      <c r="Y312">
        <v>0.63076326423887896</v>
      </c>
      <c r="Z312">
        <v>0.75759336289920942</v>
      </c>
      <c r="AA312">
        <v>0.59962887655630437</v>
      </c>
      <c r="AB312">
        <v>0.59699917567167171</v>
      </c>
      <c r="AC312">
        <v>0.78017660464385286</v>
      </c>
      <c r="AD312">
        <v>0.64794201975362353</v>
      </c>
      <c r="AE312">
        <v>0.82736841325689614</v>
      </c>
      <c r="AH312">
        <v>3.6471550145125153E-3</v>
      </c>
      <c r="AI312">
        <v>3.6067935181548605E-2</v>
      </c>
      <c r="AJ312">
        <v>8.3667746766688422E-2</v>
      </c>
      <c r="AK312">
        <v>0.13315967527515593</v>
      </c>
      <c r="AL312">
        <v>0.14931734059134738</v>
      </c>
      <c r="AM312">
        <v>3.5068578827130992E-2</v>
      </c>
      <c r="AN312">
        <v>0.10190952981996726</v>
      </c>
      <c r="AO312">
        <v>3.5816001012703436E-2</v>
      </c>
      <c r="AR312">
        <v>8.1783736210932427E-4</v>
      </c>
      <c r="AS312">
        <v>4.5784825061736534E-3</v>
      </c>
      <c r="AT312">
        <v>4.7181618810544544E-3</v>
      </c>
      <c r="AU312">
        <v>2.0581664043817227E-3</v>
      </c>
      <c r="AV312">
        <v>2.0083406630315714E-3</v>
      </c>
      <c r="AW312">
        <v>3.4966706177376183E-3</v>
      </c>
      <c r="AX312">
        <v>4.5401564900826585E-4</v>
      </c>
      <c r="AY312">
        <v>4.1843152532519028E-4</v>
      </c>
      <c r="BB312">
        <v>3.9908022687110543E-2</v>
      </c>
      <c r="BC312">
        <v>4.148081859182675E-2</v>
      </c>
      <c r="BE312">
        <v>76855.01140012384</v>
      </c>
      <c r="BF312">
        <v>15.595308759852541</v>
      </c>
      <c r="BG312">
        <v>78276.208816125509</v>
      </c>
      <c r="BH312">
        <v>15.465835813862615</v>
      </c>
      <c r="BI312">
        <v>-1421.1974160016689</v>
      </c>
      <c r="BJ312">
        <v>0.1294729459899262</v>
      </c>
    </row>
    <row r="313" spans="3:62" x14ac:dyDescent="0.2">
      <c r="C313" s="121">
        <v>69896.48470258445</v>
      </c>
      <c r="D313" s="121">
        <v>16.760026549579138</v>
      </c>
      <c r="E313" s="121">
        <v>70985.778232509227</v>
      </c>
      <c r="F313" s="121">
        <v>16.63656058161283</v>
      </c>
      <c r="G313" s="121">
        <v>-1089.2935299247765</v>
      </c>
      <c r="H313" s="121">
        <v>0.12346596796630749</v>
      </c>
      <c r="N313" s="121"/>
      <c r="O313" s="121"/>
      <c r="P313" s="121"/>
      <c r="R313">
        <v>362.37753315958116</v>
      </c>
      <c r="S313">
        <v>60.015529647403994</v>
      </c>
      <c r="T313">
        <v>265.24233420628138</v>
      </c>
      <c r="U313">
        <v>79.512530833781398</v>
      </c>
      <c r="X313">
        <v>0.73780655010372498</v>
      </c>
      <c r="Y313">
        <v>0.56324901383624737</v>
      </c>
      <c r="Z313">
        <v>0.65381657045116115</v>
      </c>
      <c r="AA313">
        <v>0.89533253893317322</v>
      </c>
      <c r="AB313">
        <v>0.71440728135219456</v>
      </c>
      <c r="AC313">
        <v>0.88994874739930818</v>
      </c>
      <c r="AD313">
        <v>0.69547983634458388</v>
      </c>
      <c r="AE313">
        <v>0.858209834196203</v>
      </c>
      <c r="AH313">
        <v>8.0237587928132181E-2</v>
      </c>
      <c r="AI313">
        <v>7.7155572979654141E-2</v>
      </c>
      <c r="AJ313">
        <v>0.15438374991426707</v>
      </c>
      <c r="AK313">
        <v>5.8501834166677424E-2</v>
      </c>
      <c r="AL313">
        <v>0.38786395386270101</v>
      </c>
      <c r="AM313">
        <v>8.2916740734574557E-2</v>
      </c>
      <c r="AN313">
        <v>8.261677515750665E-2</v>
      </c>
      <c r="AO313">
        <v>0.11031297852707567</v>
      </c>
      <c r="AR313">
        <v>1.0439497295708922E-3</v>
      </c>
      <c r="AS313">
        <v>4.4808879445590128E-3</v>
      </c>
      <c r="AT313">
        <v>4.8836489563782283E-3</v>
      </c>
      <c r="AU313">
        <v>2.0416346337651659E-3</v>
      </c>
      <c r="AV313">
        <v>1.8862172388389312E-3</v>
      </c>
      <c r="AW313">
        <v>3.4168327025527745E-3</v>
      </c>
      <c r="AX313">
        <v>4.3581832661454545E-4</v>
      </c>
      <c r="AY313">
        <v>4.9665337187621006E-4</v>
      </c>
      <c r="BB313">
        <v>4.8380213440721159E-2</v>
      </c>
      <c r="BC313">
        <v>4.2506873195740966E-2</v>
      </c>
      <c r="BE313">
        <v>69896.48470258445</v>
      </c>
      <c r="BF313">
        <v>16.760026549579138</v>
      </c>
      <c r="BG313">
        <v>70985.778232509227</v>
      </c>
      <c r="BH313">
        <v>16.63656058161283</v>
      </c>
      <c r="BI313">
        <v>-1089.2935299247765</v>
      </c>
      <c r="BJ313">
        <v>0.12346596796630749</v>
      </c>
    </row>
    <row r="314" spans="3:62" x14ac:dyDescent="0.2">
      <c r="C314" s="121">
        <v>67116.938999054633</v>
      </c>
      <c r="D314" s="121">
        <v>16.92526196742666</v>
      </c>
      <c r="E314" s="121">
        <v>68842.945836128274</v>
      </c>
      <c r="F314" s="121">
        <v>16.779346961367782</v>
      </c>
      <c r="G314" s="121">
        <v>-1726.0068370736408</v>
      </c>
      <c r="H314" s="121">
        <v>0.1459150060588783</v>
      </c>
      <c r="N314" s="121"/>
      <c r="O314" s="121"/>
      <c r="P314" s="121"/>
      <c r="R314">
        <v>260.35957361763087</v>
      </c>
      <c r="S314">
        <v>49.724210961379114</v>
      </c>
      <c r="T314">
        <v>240.99622647046198</v>
      </c>
      <c r="U314">
        <v>75.044114822288222</v>
      </c>
      <c r="X314">
        <v>0.75102604667096262</v>
      </c>
      <c r="Y314">
        <v>0.59137407572640155</v>
      </c>
      <c r="Z314">
        <v>0.68560829871146745</v>
      </c>
      <c r="AA314">
        <v>0.49288821092968527</v>
      </c>
      <c r="AB314">
        <v>0.79556002036327922</v>
      </c>
      <c r="AC314">
        <v>0.83131404878911375</v>
      </c>
      <c r="AD314">
        <v>0.66884022897759299</v>
      </c>
      <c r="AE314">
        <v>0.8617130815292221</v>
      </c>
      <c r="AH314">
        <v>5.6609602240043522E-2</v>
      </c>
      <c r="AI314">
        <v>0.11304421204019255</v>
      </c>
      <c r="AJ314">
        <v>4.7990501356672266E-2</v>
      </c>
      <c r="AK314">
        <v>0.13314204585356337</v>
      </c>
      <c r="AL314">
        <v>0.23621978863673998</v>
      </c>
      <c r="AM314">
        <v>7.7045581234989169E-2</v>
      </c>
      <c r="AN314">
        <v>6.4744083458958102E-2</v>
      </c>
      <c r="AO314">
        <v>0.26791745316709004</v>
      </c>
      <c r="AR314">
        <v>1.0595491214031583E-3</v>
      </c>
      <c r="AS314">
        <v>4.5168271354552036E-3</v>
      </c>
      <c r="AT314">
        <v>4.845931774803104E-3</v>
      </c>
      <c r="AU314">
        <v>2.0296776423068819E-3</v>
      </c>
      <c r="AV314">
        <v>2.2972563017977787E-3</v>
      </c>
      <c r="AW314">
        <v>3.4063109847383391E-3</v>
      </c>
      <c r="AX314">
        <v>4.2484423946986816E-4</v>
      </c>
      <c r="AY314">
        <v>4.6251923382167881E-4</v>
      </c>
      <c r="BB314">
        <v>5.1022234157536817E-2</v>
      </c>
      <c r="BC314">
        <v>9.3295304631981324E-2</v>
      </c>
      <c r="BE314">
        <v>67116.938999054633</v>
      </c>
      <c r="BF314">
        <v>16.92526196742666</v>
      </c>
      <c r="BG314">
        <v>68842.945836128274</v>
      </c>
      <c r="BH314">
        <v>16.779346961367782</v>
      </c>
      <c r="BI314">
        <v>-1726.0068370736408</v>
      </c>
      <c r="BJ314">
        <v>0.1459150060588783</v>
      </c>
    </row>
    <row r="315" spans="3:62" x14ac:dyDescent="0.2">
      <c r="C315" s="121">
        <v>75396.656221114332</v>
      </c>
      <c r="D315" s="121">
        <v>15.490197051326927</v>
      </c>
      <c r="E315" s="121">
        <v>77002.331785879767</v>
      </c>
      <c r="F315" s="121">
        <v>15.38747964600676</v>
      </c>
      <c r="G315" s="121">
        <v>-1605.6755647654354</v>
      </c>
      <c r="H315" s="121">
        <v>0.10271740532016693</v>
      </c>
      <c r="N315" s="121"/>
      <c r="O315" s="121"/>
      <c r="P315" s="121"/>
      <c r="R315">
        <v>270.10967642838267</v>
      </c>
      <c r="S315">
        <v>69.248561332944703</v>
      </c>
      <c r="T315">
        <v>246.2458905304515</v>
      </c>
      <c r="U315">
        <v>107.15374128538687</v>
      </c>
      <c r="X315">
        <v>0.56475566685790857</v>
      </c>
      <c r="Y315">
        <v>0.61414563015377954</v>
      </c>
      <c r="Z315">
        <v>0.9292788965085883</v>
      </c>
      <c r="AA315">
        <v>0.54165344858449427</v>
      </c>
      <c r="AB315">
        <v>0.64047709314262202</v>
      </c>
      <c r="AC315">
        <v>0.80562604582038178</v>
      </c>
      <c r="AD315">
        <v>0.62969667514022531</v>
      </c>
      <c r="AE315">
        <v>0.78269436961348715</v>
      </c>
      <c r="AH315">
        <v>0.4554925791276242</v>
      </c>
      <c r="AI315">
        <v>3.0621541881693082E-2</v>
      </c>
      <c r="AJ315">
        <v>0.17650691074055125</v>
      </c>
      <c r="AK315">
        <v>0.23813960584523486</v>
      </c>
      <c r="AL315">
        <v>0.23620458462269323</v>
      </c>
      <c r="AM315">
        <v>0.13722902667846337</v>
      </c>
      <c r="AN315">
        <v>0.12306244761183016</v>
      </c>
      <c r="AO315">
        <v>0.2265556621077921</v>
      </c>
      <c r="AR315">
        <v>7.101610375543063E-4</v>
      </c>
      <c r="AS315">
        <v>4.6438328260558492E-3</v>
      </c>
      <c r="AT315">
        <v>4.7811896392552476E-3</v>
      </c>
      <c r="AU315">
        <v>2.0021213991411324E-3</v>
      </c>
      <c r="AV315">
        <v>2.1875873654557676E-3</v>
      </c>
      <c r="AW315">
        <v>3.388453728647765E-3</v>
      </c>
      <c r="AX315">
        <v>4.2510937948125882E-4</v>
      </c>
      <c r="AY315">
        <v>5.5813171621255098E-4</v>
      </c>
      <c r="BB315">
        <v>5.3105194076832896E-2</v>
      </c>
      <c r="BC315">
        <v>0.12765294425489748</v>
      </c>
      <c r="BE315">
        <v>75396.656221114332</v>
      </c>
      <c r="BF315">
        <v>15.490197051326927</v>
      </c>
      <c r="BG315">
        <v>77002.331785879767</v>
      </c>
      <c r="BH315">
        <v>15.38747964600676</v>
      </c>
      <c r="BI315">
        <v>-1605.6755647654354</v>
      </c>
      <c r="BJ315">
        <v>0.10271740532016693</v>
      </c>
    </row>
    <row r="316" spans="3:62" x14ac:dyDescent="0.2">
      <c r="C316" s="121">
        <v>60323.566920402249</v>
      </c>
      <c r="D316" s="121">
        <v>17.91717671026591</v>
      </c>
      <c r="E316" s="121">
        <v>61674.460380754048</v>
      </c>
      <c r="F316" s="121">
        <v>17.814675397190399</v>
      </c>
      <c r="G316" s="121">
        <v>-1350.8934603517991</v>
      </c>
      <c r="H316" s="121">
        <v>0.10250131307551058</v>
      </c>
      <c r="N316" s="121"/>
      <c r="O316" s="121"/>
      <c r="P316" s="121"/>
      <c r="R316">
        <v>110.53660358862533</v>
      </c>
      <c r="S316">
        <v>71.16051642178499</v>
      </c>
      <c r="T316">
        <v>284.82893165834849</v>
      </c>
      <c r="U316">
        <v>104.2171735067563</v>
      </c>
      <c r="X316">
        <v>0.77567046011048468</v>
      </c>
      <c r="Y316">
        <v>0.86451261968825799</v>
      </c>
      <c r="Z316">
        <v>0.72599294972942807</v>
      </c>
      <c r="AA316">
        <v>0.81493766395173717</v>
      </c>
      <c r="AB316">
        <v>0.906794922670486</v>
      </c>
      <c r="AC316">
        <v>0.84253693938051089</v>
      </c>
      <c r="AD316">
        <v>0.7340927195827841</v>
      </c>
      <c r="AE316">
        <v>0.84651713288243902</v>
      </c>
      <c r="AH316">
        <v>7.4360988480872137E-2</v>
      </c>
      <c r="AI316">
        <v>3.8871825711348285E-2</v>
      </c>
      <c r="AJ316">
        <v>6.1475325770561029E-2</v>
      </c>
      <c r="AK316">
        <v>9.5864874945176037E-2</v>
      </c>
      <c r="AL316">
        <v>0.32473255884798513</v>
      </c>
      <c r="AM316">
        <v>2.1355816641509096E-2</v>
      </c>
      <c r="AN316">
        <v>0.16199890941528772</v>
      </c>
      <c r="AO316">
        <v>8.5724113917502232E-2</v>
      </c>
      <c r="AR316">
        <v>8.1870888084767141E-4</v>
      </c>
      <c r="AS316">
        <v>4.7212457657488383E-3</v>
      </c>
      <c r="AT316">
        <v>4.9752862270311393E-3</v>
      </c>
      <c r="AU316">
        <v>1.886113735939548E-3</v>
      </c>
      <c r="AV316">
        <v>1.8726131437715992E-3</v>
      </c>
      <c r="AW316">
        <v>3.5852915979702749E-3</v>
      </c>
      <c r="AX316">
        <v>4.4524338826712473E-4</v>
      </c>
      <c r="AY316">
        <v>4.64412730301067E-4</v>
      </c>
      <c r="BB316">
        <v>4.6637943965177363E-2</v>
      </c>
      <c r="BC316">
        <v>7.6040870600805888E-2</v>
      </c>
      <c r="BE316">
        <v>60323.566920402249</v>
      </c>
      <c r="BF316">
        <v>17.91717671026591</v>
      </c>
      <c r="BG316">
        <v>61674.460380754048</v>
      </c>
      <c r="BH316">
        <v>17.814675397190399</v>
      </c>
      <c r="BI316">
        <v>-1350.8934603517991</v>
      </c>
      <c r="BJ316">
        <v>0.10250131307551058</v>
      </c>
    </row>
    <row r="317" spans="3:62" x14ac:dyDescent="0.2">
      <c r="C317" s="121">
        <v>68033.27222608884</v>
      </c>
      <c r="D317" s="121">
        <v>17.55276401080263</v>
      </c>
      <c r="E317" s="121">
        <v>69511.716518931455</v>
      </c>
      <c r="F317" s="121">
        <v>17.486045624949103</v>
      </c>
      <c r="G317" s="121">
        <v>-1478.4442928426142</v>
      </c>
      <c r="H317" s="121">
        <v>6.671838585352674E-2</v>
      </c>
      <c r="N317" s="121"/>
      <c r="O317" s="121"/>
      <c r="P317" s="121"/>
      <c r="R317">
        <v>245.31104983881625</v>
      </c>
      <c r="S317">
        <v>58.724443683264326</v>
      </c>
      <c r="T317">
        <v>264.93404422914574</v>
      </c>
      <c r="U317">
        <v>92.376451946211745</v>
      </c>
      <c r="X317">
        <v>0.84904648595209053</v>
      </c>
      <c r="Y317">
        <v>0.78331139745389078</v>
      </c>
      <c r="Z317">
        <v>0.9787221559591881</v>
      </c>
      <c r="AA317">
        <v>0.53960916728690811</v>
      </c>
      <c r="AB317">
        <v>0.72366347891710103</v>
      </c>
      <c r="AC317">
        <v>0.65936376283083653</v>
      </c>
      <c r="AD317">
        <v>0.92110475703108363</v>
      </c>
      <c r="AE317">
        <v>0.58991770620246908</v>
      </c>
      <c r="AH317">
        <v>0.11852678367023295</v>
      </c>
      <c r="AI317">
        <v>9.180511988778961E-2</v>
      </c>
      <c r="AJ317">
        <v>0.26043996641274514</v>
      </c>
      <c r="AK317">
        <v>4.3995358469912205E-2</v>
      </c>
      <c r="AL317">
        <v>0.24831204485092384</v>
      </c>
      <c r="AM317">
        <v>0.26215803671168392</v>
      </c>
      <c r="AN317">
        <v>3.1110338917572089E-2</v>
      </c>
      <c r="AO317">
        <v>0.13772246675342292</v>
      </c>
      <c r="AR317">
        <v>8.8631747712904392E-4</v>
      </c>
      <c r="AS317">
        <v>4.5433836535953009E-3</v>
      </c>
      <c r="AT317">
        <v>4.9050619924126612E-3</v>
      </c>
      <c r="AU317">
        <v>1.9001911511833012E-3</v>
      </c>
      <c r="AV317">
        <v>2.1648512072395265E-3</v>
      </c>
      <c r="AW317">
        <v>3.6396973018123502E-3</v>
      </c>
      <c r="AX317">
        <v>2.5818537070534421E-4</v>
      </c>
      <c r="AY317">
        <v>4.9964288509196653E-4</v>
      </c>
      <c r="BB317">
        <v>5.207017906425282E-2</v>
      </c>
      <c r="BC317">
        <v>8.5769362247392955E-2</v>
      </c>
      <c r="BE317">
        <v>68033.27222608884</v>
      </c>
      <c r="BF317">
        <v>17.55276401080263</v>
      </c>
      <c r="BG317">
        <v>69511.716518931455</v>
      </c>
      <c r="BH317">
        <v>17.486045624949103</v>
      </c>
      <c r="BI317">
        <v>-1478.4442928426142</v>
      </c>
      <c r="BJ317">
        <v>6.671838585352674E-2</v>
      </c>
    </row>
    <row r="318" spans="3:62" x14ac:dyDescent="0.2">
      <c r="C318" s="121">
        <v>74608.605592726162</v>
      </c>
      <c r="D318" s="121">
        <v>16.391545155207069</v>
      </c>
      <c r="E318" s="121">
        <v>75900.531380064946</v>
      </c>
      <c r="F318" s="121">
        <v>16.271254379327491</v>
      </c>
      <c r="G318" s="121">
        <v>-1291.9257873387833</v>
      </c>
      <c r="H318" s="121">
        <v>0.12029077587957815</v>
      </c>
      <c r="N318" s="121"/>
      <c r="O318" s="121"/>
      <c r="P318" s="121"/>
      <c r="R318">
        <v>369.48917873200253</v>
      </c>
      <c r="S318">
        <v>63.120353271851577</v>
      </c>
      <c r="T318">
        <v>245.71234976442577</v>
      </c>
      <c r="U318">
        <v>96.603113304861409</v>
      </c>
      <c r="X318">
        <v>0.80374175711483964</v>
      </c>
      <c r="Y318">
        <v>0.63549077337836357</v>
      </c>
      <c r="Z318">
        <v>0.81843995512562884</v>
      </c>
      <c r="AA318">
        <v>0.69021485511419556</v>
      </c>
      <c r="AB318">
        <v>0.67870285108901607</v>
      </c>
      <c r="AC318">
        <v>0.73764036478009243</v>
      </c>
      <c r="AD318">
        <v>0.81397124390120079</v>
      </c>
      <c r="AE318">
        <v>0.67698982442951161</v>
      </c>
      <c r="AH318">
        <v>0.14456321002990735</v>
      </c>
      <c r="AI318">
        <v>5.3714555224777083E-2</v>
      </c>
      <c r="AJ318">
        <v>4.2541252754520698E-2</v>
      </c>
      <c r="AK318">
        <v>0.14165903955080217</v>
      </c>
      <c r="AL318">
        <v>8.7851572002864309E-2</v>
      </c>
      <c r="AM318">
        <v>0.10302715115697192</v>
      </c>
      <c r="AN318">
        <v>2.8688730273535246E-2</v>
      </c>
      <c r="AO318">
        <v>0.3122304915514682</v>
      </c>
      <c r="AR318">
        <v>8.5721380505010016E-4</v>
      </c>
      <c r="AS318">
        <v>4.5788183800017368E-3</v>
      </c>
      <c r="AT318">
        <v>5.0026283869969435E-3</v>
      </c>
      <c r="AU318">
        <v>2.1264354075811731E-3</v>
      </c>
      <c r="AV318">
        <v>1.7944777198832639E-3</v>
      </c>
      <c r="AW318">
        <v>3.2692898689904415E-3</v>
      </c>
      <c r="AX318">
        <v>3.7619258914729553E-4</v>
      </c>
      <c r="AY318">
        <v>5.5198848551574198E-4</v>
      </c>
      <c r="BB318">
        <v>5.3511401211812637E-2</v>
      </c>
      <c r="BC318">
        <v>3.1317019699512103E-2</v>
      </c>
      <c r="BE318">
        <v>74608.605592726162</v>
      </c>
      <c r="BF318">
        <v>16.391545155207069</v>
      </c>
      <c r="BG318">
        <v>75900.531380064946</v>
      </c>
      <c r="BH318">
        <v>16.271254379327491</v>
      </c>
      <c r="BI318">
        <v>-1291.9257873387833</v>
      </c>
      <c r="BJ318">
        <v>0.12029077587957815</v>
      </c>
    </row>
    <row r="319" spans="3:62" x14ac:dyDescent="0.2">
      <c r="C319" s="121">
        <v>68036.223783170877</v>
      </c>
      <c r="D319" s="121">
        <v>16.662449099535763</v>
      </c>
      <c r="E319" s="121">
        <v>70054.511607522858</v>
      </c>
      <c r="F319" s="121">
        <v>16.53795941688356</v>
      </c>
      <c r="G319" s="121">
        <v>-2018.2878243519808</v>
      </c>
      <c r="H319" s="121">
        <v>0.12448968265220373</v>
      </c>
      <c r="N319" s="121"/>
      <c r="O319" s="121"/>
      <c r="P319" s="121"/>
      <c r="R319">
        <v>170.8205597394832</v>
      </c>
      <c r="S319">
        <v>54.117869793002882</v>
      </c>
      <c r="T319">
        <v>271.43860815843709</v>
      </c>
      <c r="U319">
        <v>102.29097743986064</v>
      </c>
      <c r="X319">
        <v>0.68691297295033416</v>
      </c>
      <c r="Y319">
        <v>0.78725643727154293</v>
      </c>
      <c r="Z319">
        <v>0.5678488696657763</v>
      </c>
      <c r="AA319">
        <v>0.82094554225918659</v>
      </c>
      <c r="AB319">
        <v>0.65187947630536114</v>
      </c>
      <c r="AC319">
        <v>0.88894737492391551</v>
      </c>
      <c r="AD319">
        <v>0.46297698706537693</v>
      </c>
      <c r="AE319">
        <v>0.82651060969381707</v>
      </c>
      <c r="AH319">
        <v>4.7554007552734312E-2</v>
      </c>
      <c r="AI319">
        <v>0.16653815219457913</v>
      </c>
      <c r="AJ319">
        <v>0.11633158506831287</v>
      </c>
      <c r="AK319">
        <v>0.50996467045590055</v>
      </c>
      <c r="AL319">
        <v>5.7349928429303643E-2</v>
      </c>
      <c r="AM319">
        <v>0.11365227082151219</v>
      </c>
      <c r="AN319">
        <v>0.14961221449792461</v>
      </c>
      <c r="AO319">
        <v>0.25413655379393596</v>
      </c>
      <c r="AR319">
        <v>7.7535315933547342E-4</v>
      </c>
      <c r="AS319">
        <v>4.1418808853938499E-3</v>
      </c>
      <c r="AT319">
        <v>5.2509734609504921E-3</v>
      </c>
      <c r="AU319">
        <v>2.0039256550558049E-3</v>
      </c>
      <c r="AV319">
        <v>1.9612200943286517E-3</v>
      </c>
      <c r="AW319">
        <v>3.0549950646448823E-3</v>
      </c>
      <c r="AX319">
        <v>3.5963293629718256E-4</v>
      </c>
      <c r="AY319">
        <v>5.2824958229336083E-4</v>
      </c>
      <c r="BB319">
        <v>5.2201162190383399E-2</v>
      </c>
      <c r="BC319">
        <v>6.8232619999044286E-2</v>
      </c>
      <c r="BE319">
        <v>68036.223783170877</v>
      </c>
      <c r="BF319">
        <v>16.662449099535763</v>
      </c>
      <c r="BG319">
        <v>70054.511607522858</v>
      </c>
      <c r="BH319">
        <v>16.53795941688356</v>
      </c>
      <c r="BI319">
        <v>-2018.2878243519808</v>
      </c>
      <c r="BJ319">
        <v>0.12448968265220373</v>
      </c>
    </row>
    <row r="320" spans="3:62" x14ac:dyDescent="0.2">
      <c r="C320" s="121">
        <v>72794.522980568974</v>
      </c>
      <c r="D320" s="121">
        <v>16.529444359972185</v>
      </c>
      <c r="E320" s="121">
        <v>74123.243818503281</v>
      </c>
      <c r="F320" s="121">
        <v>16.414970086560491</v>
      </c>
      <c r="G320" s="121">
        <v>-1328.7208379343065</v>
      </c>
      <c r="H320" s="121">
        <v>0.11447427341169458</v>
      </c>
      <c r="N320" s="121"/>
      <c r="O320" s="121"/>
      <c r="P320" s="121"/>
      <c r="R320">
        <v>192.59820296162351</v>
      </c>
      <c r="S320">
        <v>60.420236732614825</v>
      </c>
      <c r="T320">
        <v>258.12677490421197</v>
      </c>
      <c r="U320">
        <v>91.67446267962255</v>
      </c>
      <c r="X320">
        <v>0.70815146923630945</v>
      </c>
      <c r="Y320">
        <v>0.77649696633220278</v>
      </c>
      <c r="Z320">
        <v>0.73709088183694726</v>
      </c>
      <c r="AA320">
        <v>0.61551900875741017</v>
      </c>
      <c r="AB320">
        <v>0.87662104222188086</v>
      </c>
      <c r="AC320">
        <v>0.64651895777568935</v>
      </c>
      <c r="AD320">
        <v>0.65677538433805649</v>
      </c>
      <c r="AE320">
        <v>0.939192925087875</v>
      </c>
      <c r="AH320">
        <v>0.12540247411083982</v>
      </c>
      <c r="AI320">
        <v>0.13062231866337903</v>
      </c>
      <c r="AJ320">
        <v>0.19309043735453146</v>
      </c>
      <c r="AK320">
        <v>0.29795683382440619</v>
      </c>
      <c r="AL320">
        <v>0.13811775976473384</v>
      </c>
      <c r="AM320">
        <v>6.7796325590262274E-2</v>
      </c>
      <c r="AN320">
        <v>2.5694190839345543E-2</v>
      </c>
      <c r="AO320">
        <v>0.18484403092126811</v>
      </c>
      <c r="AR320">
        <v>9.574749544145611E-4</v>
      </c>
      <c r="AS320">
        <v>4.6114299265784808E-3</v>
      </c>
      <c r="AT320">
        <v>5.1459934083040171E-3</v>
      </c>
      <c r="AU320">
        <v>1.8016026255167851E-3</v>
      </c>
      <c r="AV320">
        <v>2.1671268107323893E-3</v>
      </c>
      <c r="AW320">
        <v>2.9716684949061727E-3</v>
      </c>
      <c r="AX320">
        <v>3.9780385742960167E-4</v>
      </c>
      <c r="AY320">
        <v>5.4457882309921768E-4</v>
      </c>
      <c r="BB320">
        <v>5.0298604635081623E-2</v>
      </c>
      <c r="BC320">
        <v>3.6220958083568934E-2</v>
      </c>
      <c r="BE320">
        <v>72794.522980568974</v>
      </c>
      <c r="BF320">
        <v>16.529444359972185</v>
      </c>
      <c r="BG320">
        <v>74123.243818503281</v>
      </c>
      <c r="BH320">
        <v>16.414970086560491</v>
      </c>
      <c r="BI320">
        <v>-1328.7208379343065</v>
      </c>
      <c r="BJ320">
        <v>0.11447427341169458</v>
      </c>
    </row>
    <row r="321" spans="3:62" x14ac:dyDescent="0.2">
      <c r="C321" s="121">
        <v>72208.233983073384</v>
      </c>
      <c r="D321" s="121">
        <v>14.798330054701967</v>
      </c>
      <c r="E321" s="121">
        <v>73380.577855394513</v>
      </c>
      <c r="F321" s="121">
        <v>14.726534715077076</v>
      </c>
      <c r="G321" s="121">
        <v>-1172.3438723211293</v>
      </c>
      <c r="H321" s="121">
        <v>7.1795339624891596E-2</v>
      </c>
      <c r="N321" s="121"/>
      <c r="O321" s="121"/>
      <c r="P321" s="121"/>
      <c r="R321">
        <v>334.60060425274696</v>
      </c>
      <c r="S321">
        <v>57.398038194255406</v>
      </c>
      <c r="T321">
        <v>281.36216371582634</v>
      </c>
      <c r="U321">
        <v>99.349391459904709</v>
      </c>
      <c r="X321">
        <v>0.91463983308244012</v>
      </c>
      <c r="Y321">
        <v>0.90982868578879328</v>
      </c>
      <c r="Z321">
        <v>0.84627717013139803</v>
      </c>
      <c r="AA321">
        <v>0.93402838722591275</v>
      </c>
      <c r="AB321">
        <v>0.78480667911577673</v>
      </c>
      <c r="AC321">
        <v>0.73195577126169209</v>
      </c>
      <c r="AD321">
        <v>0.55095929317870351</v>
      </c>
      <c r="AE321">
        <v>0.76699392084925422</v>
      </c>
      <c r="AH321">
        <v>5.5070482891425021E-2</v>
      </c>
      <c r="AI321">
        <v>8.153984596695607E-2</v>
      </c>
      <c r="AJ321">
        <v>0.14350006955709937</v>
      </c>
      <c r="AK321">
        <v>0.12061913876960473</v>
      </c>
      <c r="AL321">
        <v>0.11200014580992423</v>
      </c>
      <c r="AM321">
        <v>0.31403198774607921</v>
      </c>
      <c r="AN321">
        <v>0.12256067496331791</v>
      </c>
      <c r="AO321">
        <v>9.1458984044666014E-2</v>
      </c>
      <c r="AR321">
        <v>9.9971969740475508E-4</v>
      </c>
      <c r="AS321">
        <v>5.0421603559041017E-3</v>
      </c>
      <c r="AT321">
        <v>4.8060094346158702E-3</v>
      </c>
      <c r="AU321">
        <v>1.7627729252224352E-3</v>
      </c>
      <c r="AV321">
        <v>2.1399377568869227E-3</v>
      </c>
      <c r="AW321">
        <v>3.5694307892718546E-3</v>
      </c>
      <c r="AX321">
        <v>3.4772644891873641E-4</v>
      </c>
      <c r="AY321">
        <v>4.7387110790686471E-4</v>
      </c>
      <c r="BB321">
        <v>5.3775204203492133E-2</v>
      </c>
      <c r="BC321">
        <v>3.7201942841017653E-2</v>
      </c>
      <c r="BE321">
        <v>72208.233983073384</v>
      </c>
      <c r="BF321">
        <v>14.798330054701967</v>
      </c>
      <c r="BG321">
        <v>73380.577855394513</v>
      </c>
      <c r="BH321">
        <v>14.726534715077076</v>
      </c>
      <c r="BI321">
        <v>-1172.3438723211293</v>
      </c>
      <c r="BJ321">
        <v>7.1795339624891596E-2</v>
      </c>
    </row>
    <row r="322" spans="3:62" x14ac:dyDescent="0.2">
      <c r="C322" s="121">
        <v>72349.826315202459</v>
      </c>
      <c r="D322" s="121">
        <v>16.224751688157447</v>
      </c>
      <c r="E322" s="121">
        <v>73553.608529693476</v>
      </c>
      <c r="F322" s="121">
        <v>16.093268972142333</v>
      </c>
      <c r="G322" s="121">
        <v>-1203.7822144910169</v>
      </c>
      <c r="H322" s="121">
        <v>0.13148271601511397</v>
      </c>
      <c r="N322" s="121"/>
      <c r="O322" s="121"/>
      <c r="P322" s="121"/>
      <c r="R322">
        <v>191.7055065060199</v>
      </c>
      <c r="S322">
        <v>66.213939298033736</v>
      </c>
      <c r="T322">
        <v>250.33121035288724</v>
      </c>
      <c r="U322">
        <v>66.448595892205873</v>
      </c>
      <c r="X322">
        <v>0.78308651184786049</v>
      </c>
      <c r="Y322">
        <v>0.92093874613366389</v>
      </c>
      <c r="Z322">
        <v>0.80730760766718213</v>
      </c>
      <c r="AA322">
        <v>0.77694953725410443</v>
      </c>
      <c r="AB322">
        <v>0.61700765350864106</v>
      </c>
      <c r="AC322">
        <v>0.79825754693479667</v>
      </c>
      <c r="AD322">
        <v>0.53369538602569455</v>
      </c>
      <c r="AE322">
        <v>0.55288098193935453</v>
      </c>
      <c r="AH322">
        <v>0.1153874800679191</v>
      </c>
      <c r="AI322">
        <v>7.7166833466127405E-2</v>
      </c>
      <c r="AJ322">
        <v>3.0896384335268756E-2</v>
      </c>
      <c r="AK322">
        <v>0.20871124602893754</v>
      </c>
      <c r="AL322">
        <v>0.20220329322518926</v>
      </c>
      <c r="AM322">
        <v>0.12246566201221543</v>
      </c>
      <c r="AN322">
        <v>6.3922630111572953E-2</v>
      </c>
      <c r="AO322">
        <v>0.15352002206490067</v>
      </c>
      <c r="AR322">
        <v>8.7751002896135726E-4</v>
      </c>
      <c r="AS322">
        <v>4.8102407545571602E-3</v>
      </c>
      <c r="AT322">
        <v>5.0217782602871575E-3</v>
      </c>
      <c r="AU322">
        <v>1.8041209822051627E-3</v>
      </c>
      <c r="AV322">
        <v>2.1081233702656688E-3</v>
      </c>
      <c r="AW322">
        <v>3.1618588710365493E-3</v>
      </c>
      <c r="AX322">
        <v>4.065297164945747E-4</v>
      </c>
      <c r="AY322">
        <v>3.9018315756097403E-4</v>
      </c>
      <c r="BB322">
        <v>4.77780833624196E-2</v>
      </c>
      <c r="BC322">
        <v>4.2830274459990686E-2</v>
      </c>
      <c r="BE322">
        <v>72349.826315202459</v>
      </c>
      <c r="BF322">
        <v>16.224751688157447</v>
      </c>
      <c r="BG322">
        <v>73553.608529693476</v>
      </c>
      <c r="BH322">
        <v>16.093268972142333</v>
      </c>
      <c r="BI322">
        <v>-1203.7822144910169</v>
      </c>
      <c r="BJ322">
        <v>0.13148271601511397</v>
      </c>
    </row>
    <row r="323" spans="3:62" x14ac:dyDescent="0.2">
      <c r="C323" s="121">
        <v>75998.188977633006</v>
      </c>
      <c r="D323" s="121">
        <v>15.617714224324082</v>
      </c>
      <c r="E323" s="121">
        <v>77768.103666409472</v>
      </c>
      <c r="F323" s="121">
        <v>15.476345997536059</v>
      </c>
      <c r="G323" s="121">
        <v>-1769.9146887764655</v>
      </c>
      <c r="H323" s="121">
        <v>0.14136822678802297</v>
      </c>
      <c r="N323" s="121"/>
      <c r="O323" s="121"/>
      <c r="P323" s="121"/>
      <c r="R323">
        <v>219.84754283752838</v>
      </c>
      <c r="S323">
        <v>64.906338537064016</v>
      </c>
      <c r="T323">
        <v>258.32074920704912</v>
      </c>
      <c r="U323">
        <v>97.289182398511954</v>
      </c>
      <c r="X323">
        <v>0.91031526840167221</v>
      </c>
      <c r="Y323">
        <v>0.86082307020526527</v>
      </c>
      <c r="Z323">
        <v>0.75761425595281739</v>
      </c>
      <c r="AA323">
        <v>0.87805209127766803</v>
      </c>
      <c r="AB323">
        <v>0.77134256857891426</v>
      </c>
      <c r="AC323">
        <v>0.68052750375873405</v>
      </c>
      <c r="AD323">
        <v>0.87944032878859357</v>
      </c>
      <c r="AE323">
        <v>0.81995916158636994</v>
      </c>
      <c r="AH323">
        <v>9.9105544651389765E-2</v>
      </c>
      <c r="AI323">
        <v>8.5026137847824534E-2</v>
      </c>
      <c r="AJ323">
        <v>6.570100227910225E-2</v>
      </c>
      <c r="AK323">
        <v>0.17312417931152524</v>
      </c>
      <c r="AL323">
        <v>4.201175280195224E-2</v>
      </c>
      <c r="AM323">
        <v>0.2314000559369348</v>
      </c>
      <c r="AN323">
        <v>0.11315439577585051</v>
      </c>
      <c r="AO323">
        <v>0.16808348755193103</v>
      </c>
      <c r="AR323">
        <v>9.0216501855111542E-4</v>
      </c>
      <c r="AS323">
        <v>4.3958584171236012E-3</v>
      </c>
      <c r="AT323">
        <v>4.8530644586411952E-3</v>
      </c>
      <c r="AU323">
        <v>1.8712172319995295E-3</v>
      </c>
      <c r="AV323">
        <v>2.01038855050506E-3</v>
      </c>
      <c r="AW323">
        <v>3.6645324685941061E-3</v>
      </c>
      <c r="AX323">
        <v>3.9348836339587399E-4</v>
      </c>
      <c r="AY323">
        <v>4.6007395099034731E-4</v>
      </c>
      <c r="BB323">
        <v>5.3047907076598788E-2</v>
      </c>
      <c r="BC323">
        <v>5.4339461483483675E-2</v>
      </c>
      <c r="BE323">
        <v>75998.188977633006</v>
      </c>
      <c r="BF323">
        <v>15.617714224324082</v>
      </c>
      <c r="BG323">
        <v>77768.103666409472</v>
      </c>
      <c r="BH323">
        <v>15.476345997536059</v>
      </c>
      <c r="BI323">
        <v>-1769.9146887764655</v>
      </c>
      <c r="BJ323">
        <v>0.14136822678802297</v>
      </c>
    </row>
    <row r="324" spans="3:62" x14ac:dyDescent="0.2">
      <c r="C324" s="121">
        <v>66197.992346337502</v>
      </c>
      <c r="D324" s="121">
        <v>14.572432615784537</v>
      </c>
      <c r="E324" s="121">
        <v>67757.226481945763</v>
      </c>
      <c r="F324" s="121">
        <v>14.469322832188825</v>
      </c>
      <c r="G324" s="121">
        <v>-1559.2341356082616</v>
      </c>
      <c r="H324" s="121">
        <v>0.10310978359571266</v>
      </c>
      <c r="N324" s="121"/>
      <c r="O324" s="121"/>
      <c r="P324" s="121"/>
      <c r="R324">
        <v>286.58968152921256</v>
      </c>
      <c r="S324">
        <v>61.046487021041266</v>
      </c>
      <c r="T324">
        <v>194.76205067843631</v>
      </c>
      <c r="U324">
        <v>100.9226561456276</v>
      </c>
      <c r="X324">
        <v>0.55085977016169407</v>
      </c>
      <c r="Y324">
        <v>0.50487725764988656</v>
      </c>
      <c r="Z324">
        <v>0.71350040437406492</v>
      </c>
      <c r="AA324">
        <v>0.62044266334505871</v>
      </c>
      <c r="AB324">
        <v>0.63602092055242987</v>
      </c>
      <c r="AC324">
        <v>0.90176295044217403</v>
      </c>
      <c r="AD324">
        <v>0.58710333770860668</v>
      </c>
      <c r="AE324">
        <v>0.68411206345909104</v>
      </c>
      <c r="AH324">
        <v>0.11937434032976502</v>
      </c>
      <c r="AI324">
        <v>0.10755114139397659</v>
      </c>
      <c r="AJ324">
        <v>7.6738985108247171E-2</v>
      </c>
      <c r="AK324">
        <v>8.4723034949922171E-2</v>
      </c>
      <c r="AL324">
        <v>5.3698114459888036E-2</v>
      </c>
      <c r="AM324">
        <v>4.8148269183636794E-2</v>
      </c>
      <c r="AN324">
        <v>3.0096124647468914E-2</v>
      </c>
      <c r="AO324">
        <v>1.6137719316877908E-2</v>
      </c>
      <c r="AR324">
        <v>8.3754143341213379E-4</v>
      </c>
      <c r="AS324">
        <v>4.3377173616818638E-3</v>
      </c>
      <c r="AT324">
        <v>5.0795682195188263E-3</v>
      </c>
      <c r="AU324">
        <v>1.9418475836380272E-3</v>
      </c>
      <c r="AV324">
        <v>2.1151330682798175E-3</v>
      </c>
      <c r="AW324">
        <v>3.3204363723129782E-3</v>
      </c>
      <c r="AX324">
        <v>3.0846605428174151E-4</v>
      </c>
      <c r="AY324">
        <v>4.7800570624101368E-4</v>
      </c>
      <c r="BB324">
        <v>4.9850935957079678E-2</v>
      </c>
      <c r="BC324">
        <v>1.2540733596689916E-2</v>
      </c>
      <c r="BE324">
        <v>66197.992346337502</v>
      </c>
      <c r="BF324">
        <v>14.572432615784537</v>
      </c>
      <c r="BG324">
        <v>67757.226481945763</v>
      </c>
      <c r="BH324">
        <v>14.469322832188825</v>
      </c>
      <c r="BI324">
        <v>-1559.2341356082616</v>
      </c>
      <c r="BJ324">
        <v>0.10310978359571266</v>
      </c>
    </row>
    <row r="325" spans="3:62" x14ac:dyDescent="0.2">
      <c r="C325" s="121">
        <v>73681.552801122991</v>
      </c>
      <c r="D325" s="121">
        <v>15.770923972210866</v>
      </c>
      <c r="E325" s="121">
        <v>75582.566444991142</v>
      </c>
      <c r="F325" s="121">
        <v>15.626402232083192</v>
      </c>
      <c r="G325" s="121">
        <v>-1901.0136438681511</v>
      </c>
      <c r="H325" s="121">
        <v>0.14452174012767394</v>
      </c>
      <c r="N325" s="121"/>
      <c r="O325" s="121"/>
      <c r="P325" s="121"/>
      <c r="R325">
        <v>212.64913876126934</v>
      </c>
      <c r="S325">
        <v>59.326608329405708</v>
      </c>
      <c r="T325">
        <v>261.91256202282233</v>
      </c>
      <c r="U325">
        <v>86.055967646434354</v>
      </c>
      <c r="X325">
        <v>0.84184592512986989</v>
      </c>
      <c r="Y325">
        <v>0.86130073754131486</v>
      </c>
      <c r="Z325">
        <v>0.79271177337473175</v>
      </c>
      <c r="AA325">
        <v>0.7053563793737353</v>
      </c>
      <c r="AB325">
        <v>0.81548200339246568</v>
      </c>
      <c r="AC325">
        <v>0.73909238604268557</v>
      </c>
      <c r="AD325">
        <v>0.6374590041078686</v>
      </c>
      <c r="AE325">
        <v>0.89606337659557656</v>
      </c>
      <c r="AH325">
        <v>5.5369009143974024E-3</v>
      </c>
      <c r="AI325">
        <v>0.20861892148287708</v>
      </c>
      <c r="AJ325">
        <v>0.14279035719047961</v>
      </c>
      <c r="AK325">
        <v>1.4352667162687016E-2</v>
      </c>
      <c r="AL325">
        <v>3.792169514389343E-2</v>
      </c>
      <c r="AM325">
        <v>0.13091478606534923</v>
      </c>
      <c r="AN325">
        <v>8.9817912713991088E-2</v>
      </c>
      <c r="AO325">
        <v>5.2873691528171562E-2</v>
      </c>
      <c r="AR325">
        <v>8.7111156117806868E-4</v>
      </c>
      <c r="AS325">
        <v>4.3082370294696033E-3</v>
      </c>
      <c r="AT325">
        <v>5.0423070472267462E-3</v>
      </c>
      <c r="AU325">
        <v>2.0506035335745576E-3</v>
      </c>
      <c r="AV325">
        <v>2.1790065260030023E-3</v>
      </c>
      <c r="AW325">
        <v>3.3032889933806088E-3</v>
      </c>
      <c r="AX325">
        <v>3.5217283971602478E-4</v>
      </c>
      <c r="AY325">
        <v>4.5932184425434563E-4</v>
      </c>
      <c r="BB325">
        <v>4.7067378199804909E-2</v>
      </c>
      <c r="BC325">
        <v>3.5246817755600228E-2</v>
      </c>
      <c r="BE325">
        <v>73681.552801122991</v>
      </c>
      <c r="BF325">
        <v>15.770923972210866</v>
      </c>
      <c r="BG325">
        <v>75582.566444991142</v>
      </c>
      <c r="BH325">
        <v>15.626402232083192</v>
      </c>
      <c r="BI325">
        <v>-1901.0136438681511</v>
      </c>
      <c r="BJ325">
        <v>0.14452174012767394</v>
      </c>
    </row>
    <row r="326" spans="3:62" x14ac:dyDescent="0.2">
      <c r="C326" s="121">
        <v>73381.881494816451</v>
      </c>
      <c r="D326" s="121">
        <v>16.843555855092582</v>
      </c>
      <c r="E326" s="121">
        <v>75572.084286142897</v>
      </c>
      <c r="F326" s="121">
        <v>16.690702962179248</v>
      </c>
      <c r="G326" s="121">
        <v>-2190.2027913264465</v>
      </c>
      <c r="H326" s="121">
        <v>0.1528528929133337</v>
      </c>
      <c r="N326" s="121"/>
      <c r="O326" s="121"/>
      <c r="P326" s="121"/>
      <c r="R326">
        <v>261.15532384462563</v>
      </c>
      <c r="S326">
        <v>70.012394217451288</v>
      </c>
      <c r="T326">
        <v>244.22469328002492</v>
      </c>
      <c r="U326">
        <v>83.347465911202818</v>
      </c>
      <c r="X326">
        <v>0.58164529974798274</v>
      </c>
      <c r="Y326">
        <v>0.8267056707473579</v>
      </c>
      <c r="Z326">
        <v>0.63472343303076517</v>
      </c>
      <c r="AA326">
        <v>0.85850182079543891</v>
      </c>
      <c r="AB326">
        <v>0.69974707236549372</v>
      </c>
      <c r="AC326">
        <v>0.80346625178286279</v>
      </c>
      <c r="AD326">
        <v>0.63174044786097283</v>
      </c>
      <c r="AE326">
        <v>0.87077538500327711</v>
      </c>
      <c r="AH326">
        <v>0.24153185200292826</v>
      </c>
      <c r="AI326">
        <v>6.9475555792343657E-2</v>
      </c>
      <c r="AJ326">
        <v>0.12557782375164639</v>
      </c>
      <c r="AK326">
        <v>4.5450427089801626E-2</v>
      </c>
      <c r="AL326">
        <v>9.5683733362867951E-3</v>
      </c>
      <c r="AM326">
        <v>0.29950601288220335</v>
      </c>
      <c r="AN326">
        <v>5.7303190434636164E-2</v>
      </c>
      <c r="AO326">
        <v>9.5017925123205726E-2</v>
      </c>
      <c r="AR326">
        <v>8.5164499535541954E-4</v>
      </c>
      <c r="AS326">
        <v>4.6966477492689229E-3</v>
      </c>
      <c r="AT326">
        <v>4.8763170319392531E-3</v>
      </c>
      <c r="AU326">
        <v>2.1202165511391424E-3</v>
      </c>
      <c r="AV326">
        <v>1.8965353231011803E-3</v>
      </c>
      <c r="AW326">
        <v>3.3921708499744093E-3</v>
      </c>
      <c r="AX326">
        <v>3.8321573871098242E-4</v>
      </c>
      <c r="AY326">
        <v>4.7617793106791151E-4</v>
      </c>
      <c r="BB326">
        <v>4.7763186285550492E-2</v>
      </c>
      <c r="BC326">
        <v>3.7417451588709572E-2</v>
      </c>
      <c r="BE326">
        <v>73381.881494816451</v>
      </c>
      <c r="BF326">
        <v>16.843555855092582</v>
      </c>
      <c r="BG326">
        <v>75572.084286142897</v>
      </c>
      <c r="BH326">
        <v>16.690702962179248</v>
      </c>
      <c r="BI326">
        <v>-2190.2027913264465</v>
      </c>
      <c r="BJ326">
        <v>0.1528528929133337</v>
      </c>
    </row>
    <row r="327" spans="3:62" x14ac:dyDescent="0.2">
      <c r="C327" s="121">
        <v>68087.665502644406</v>
      </c>
      <c r="D327" s="121">
        <v>19.152207455560102</v>
      </c>
      <c r="E327" s="121">
        <v>70450.83180175157</v>
      </c>
      <c r="F327" s="121">
        <v>19.043274751846234</v>
      </c>
      <c r="G327" s="121">
        <v>-2363.1662991071644</v>
      </c>
      <c r="H327" s="121">
        <v>0.10893270371386876</v>
      </c>
      <c r="N327" s="121"/>
      <c r="O327" s="121"/>
      <c r="P327" s="121"/>
      <c r="R327">
        <v>304.13438706057013</v>
      </c>
      <c r="S327">
        <v>67.733543550896002</v>
      </c>
      <c r="T327">
        <v>233.55553629241967</v>
      </c>
      <c r="U327">
        <v>88.898846332277131</v>
      </c>
      <c r="X327">
        <v>0.57563590435800938</v>
      </c>
      <c r="Y327">
        <v>0.83567681150889284</v>
      </c>
      <c r="Z327">
        <v>0.65819988670219209</v>
      </c>
      <c r="AA327">
        <v>0.79947795300809488</v>
      </c>
      <c r="AB327">
        <v>0.94207234980346954</v>
      </c>
      <c r="AC327">
        <v>0.45705351686971402</v>
      </c>
      <c r="AD327">
        <v>0.7683477507271842</v>
      </c>
      <c r="AE327">
        <v>0.78430962842215379</v>
      </c>
      <c r="AH327">
        <v>7.653441876670608E-2</v>
      </c>
      <c r="AI327">
        <v>0.15698231001657725</v>
      </c>
      <c r="AJ327">
        <v>0.21265682390317564</v>
      </c>
      <c r="AK327">
        <v>1.4566610292843896E-2</v>
      </c>
      <c r="AL327">
        <v>0.24745001789125154</v>
      </c>
      <c r="AM327">
        <v>0.1202174924353987</v>
      </c>
      <c r="AN327">
        <v>2.5319471511873637E-2</v>
      </c>
      <c r="AO327">
        <v>0.25599514827039138</v>
      </c>
      <c r="AR327">
        <v>9.9176214689045139E-4</v>
      </c>
      <c r="AS327">
        <v>4.2947856060839111E-3</v>
      </c>
      <c r="AT327">
        <v>5.0938628920117468E-3</v>
      </c>
      <c r="AU327">
        <v>1.7615175290014904E-3</v>
      </c>
      <c r="AV327">
        <v>2.0708673620468687E-3</v>
      </c>
      <c r="AW327">
        <v>3.3975711477429458E-3</v>
      </c>
      <c r="AX327">
        <v>2.9312107985340349E-4</v>
      </c>
      <c r="AY327">
        <v>4.5937186511701977E-4</v>
      </c>
      <c r="BB327">
        <v>5.5601854488311675E-2</v>
      </c>
      <c r="BC327">
        <v>7.5497249212884809E-2</v>
      </c>
      <c r="BE327">
        <v>68087.665502644406</v>
      </c>
      <c r="BF327">
        <v>19.152207455560102</v>
      </c>
      <c r="BG327">
        <v>70450.83180175157</v>
      </c>
      <c r="BH327">
        <v>19.043274751846234</v>
      </c>
      <c r="BI327">
        <v>-2363.1662991071644</v>
      </c>
      <c r="BJ327">
        <v>0.10893270371386876</v>
      </c>
    </row>
    <row r="328" spans="3:62" x14ac:dyDescent="0.2">
      <c r="C328" s="121">
        <v>69334.076150264576</v>
      </c>
      <c r="D328" s="121">
        <v>17.738107211641413</v>
      </c>
      <c r="E328" s="121">
        <v>71374.416944501019</v>
      </c>
      <c r="F328" s="121">
        <v>17.624648407599487</v>
      </c>
      <c r="G328" s="121">
        <v>-2040.3407942364429</v>
      </c>
      <c r="H328" s="121">
        <v>0.11345880404192599</v>
      </c>
      <c r="N328" s="121"/>
      <c r="O328" s="121"/>
      <c r="P328" s="121"/>
      <c r="R328">
        <v>259.70324075166718</v>
      </c>
      <c r="S328">
        <v>66.080695722605313</v>
      </c>
      <c r="T328">
        <v>272.43662701595014</v>
      </c>
      <c r="U328">
        <v>103.51243097823109</v>
      </c>
      <c r="X328">
        <v>0.65294316916583195</v>
      </c>
      <c r="Y328">
        <v>0.81824321243313347</v>
      </c>
      <c r="Z328">
        <v>0.80633041302881214</v>
      </c>
      <c r="AA328">
        <v>0.37758854289289723</v>
      </c>
      <c r="AB328">
        <v>0.79407989204476959</v>
      </c>
      <c r="AC328">
        <v>0.96230367938207584</v>
      </c>
      <c r="AD328">
        <v>0.48624016315046581</v>
      </c>
      <c r="AE328">
        <v>0.77558080816685349</v>
      </c>
      <c r="AH328">
        <v>0.15446288512788298</v>
      </c>
      <c r="AI328">
        <v>3.2469137306468721E-2</v>
      </c>
      <c r="AJ328">
        <v>6.3782540839496193E-2</v>
      </c>
      <c r="AK328">
        <v>5.3523791334430637E-2</v>
      </c>
      <c r="AL328">
        <v>7.0175447027140403E-2</v>
      </c>
      <c r="AM328">
        <v>3.5059761082741336E-2</v>
      </c>
      <c r="AN328">
        <v>0.19387618896125469</v>
      </c>
      <c r="AO328">
        <v>0.11293470049339904</v>
      </c>
      <c r="AR328">
        <v>1.0138706643623152E-3</v>
      </c>
      <c r="AS328">
        <v>4.5534924453622949E-3</v>
      </c>
      <c r="AT328">
        <v>4.9456976487037424E-3</v>
      </c>
      <c r="AU328">
        <v>2.3011522829196052E-3</v>
      </c>
      <c r="AV328">
        <v>1.956929508114877E-3</v>
      </c>
      <c r="AW328">
        <v>3.4608308461679949E-3</v>
      </c>
      <c r="AX328">
        <v>3.8573978576653351E-4</v>
      </c>
      <c r="AY328">
        <v>5.2704299644690256E-4</v>
      </c>
      <c r="BB328">
        <v>4.4228837384404855E-2</v>
      </c>
      <c r="BC328">
        <v>4.8011330165280031E-2</v>
      </c>
      <c r="BE328">
        <v>69334.076150264576</v>
      </c>
      <c r="BF328">
        <v>17.738107211641413</v>
      </c>
      <c r="BG328">
        <v>71374.416944501019</v>
      </c>
      <c r="BH328">
        <v>17.624648407599487</v>
      </c>
      <c r="BI328">
        <v>-2040.3407942364429</v>
      </c>
      <c r="BJ328">
        <v>0.11345880404192599</v>
      </c>
    </row>
    <row r="329" spans="3:62" x14ac:dyDescent="0.2">
      <c r="C329" s="121">
        <v>70116.677186268731</v>
      </c>
      <c r="D329" s="121">
        <v>15.665056244412217</v>
      </c>
      <c r="E329" s="121">
        <v>71375.910852253233</v>
      </c>
      <c r="F329" s="121">
        <v>15.544590391734321</v>
      </c>
      <c r="G329" s="121">
        <v>-1259.2336659845023</v>
      </c>
      <c r="H329" s="121">
        <v>0.12046585267789567</v>
      </c>
      <c r="N329" s="121"/>
      <c r="O329" s="121"/>
      <c r="P329" s="121"/>
      <c r="R329">
        <v>212.08945628256387</v>
      </c>
      <c r="S329">
        <v>66.929908693836381</v>
      </c>
      <c r="T329">
        <v>275.10885439961771</v>
      </c>
      <c r="U329">
        <v>87.088002430553573</v>
      </c>
      <c r="X329">
        <v>0.79728058856090689</v>
      </c>
      <c r="Y329">
        <v>0.72230256210535271</v>
      </c>
      <c r="Z329">
        <v>0.79794187514421344</v>
      </c>
      <c r="AA329">
        <v>0.72966638510371196</v>
      </c>
      <c r="AB329">
        <v>0.71434705550327193</v>
      </c>
      <c r="AC329">
        <v>0.64173524781081459</v>
      </c>
      <c r="AD329">
        <v>0.78231315883676822</v>
      </c>
      <c r="AE329">
        <v>0.86531726186073232</v>
      </c>
      <c r="AH329">
        <v>0.22476581512074745</v>
      </c>
      <c r="AI329">
        <v>7.9801192023854162E-2</v>
      </c>
      <c r="AJ329">
        <v>3.014307417361306E-2</v>
      </c>
      <c r="AK329">
        <v>6.0560312565678398E-2</v>
      </c>
      <c r="AL329">
        <v>0.16454999920981828</v>
      </c>
      <c r="AM329">
        <v>0.1024989820668728</v>
      </c>
      <c r="AN329">
        <v>9.3244955549641739E-2</v>
      </c>
      <c r="AO329">
        <v>0.20005892006258508</v>
      </c>
      <c r="AR329">
        <v>8.2490534476326852E-4</v>
      </c>
      <c r="AS329">
        <v>4.9266608489110242E-3</v>
      </c>
      <c r="AT329">
        <v>4.5785665615266039E-3</v>
      </c>
      <c r="AU329">
        <v>2.0249200541371248E-3</v>
      </c>
      <c r="AV329">
        <v>2.0468597057312632E-3</v>
      </c>
      <c r="AW329">
        <v>3.3551121221428361E-3</v>
      </c>
      <c r="AX329">
        <v>3.850920359551885E-4</v>
      </c>
      <c r="AY329">
        <v>4.4271541624153711E-4</v>
      </c>
      <c r="BB329">
        <v>4.4750756418829904E-2</v>
      </c>
      <c r="BC329">
        <v>5.4940328165170693E-2</v>
      </c>
      <c r="BE329">
        <v>70116.677186268731</v>
      </c>
      <c r="BF329">
        <v>15.665056244412217</v>
      </c>
      <c r="BG329">
        <v>71375.910852253233</v>
      </c>
      <c r="BH329">
        <v>15.544590391734321</v>
      </c>
      <c r="BI329">
        <v>-1259.2336659845023</v>
      </c>
      <c r="BJ329">
        <v>0.12046585267789567</v>
      </c>
    </row>
    <row r="330" spans="3:62" x14ac:dyDescent="0.2">
      <c r="C330" s="121">
        <v>63628.44569940857</v>
      </c>
      <c r="D330" s="121">
        <v>12.189653359775477</v>
      </c>
      <c r="E330" s="121">
        <v>65545.345532549254</v>
      </c>
      <c r="F330" s="121">
        <v>12.152888861944191</v>
      </c>
      <c r="G330" s="121">
        <v>-1916.8998331406838</v>
      </c>
      <c r="H330" s="121">
        <v>3.6764497831285325E-2</v>
      </c>
      <c r="N330" s="121"/>
      <c r="O330" s="121"/>
      <c r="P330" s="121"/>
      <c r="R330">
        <v>112.33386953183853</v>
      </c>
      <c r="S330">
        <v>73.827838283295094</v>
      </c>
      <c r="T330">
        <v>259.68470457294876</v>
      </c>
      <c r="U330">
        <v>88.810825292254862</v>
      </c>
      <c r="X330">
        <v>0.76206628224877515</v>
      </c>
      <c r="Y330">
        <v>0.7781518707175028</v>
      </c>
      <c r="Z330">
        <v>0.89383580088283054</v>
      </c>
      <c r="AA330">
        <v>0.77029546756229117</v>
      </c>
      <c r="AB330">
        <v>0.84059235283999545</v>
      </c>
      <c r="AC330">
        <v>0.91380537654130933</v>
      </c>
      <c r="AD330">
        <v>0.52149711297717616</v>
      </c>
      <c r="AE330">
        <v>0.7730587376683431</v>
      </c>
      <c r="AH330">
        <v>8.521270323404162E-2</v>
      </c>
      <c r="AI330">
        <v>6.0810101022084062E-3</v>
      </c>
      <c r="AJ330">
        <v>6.3596653811087256E-2</v>
      </c>
      <c r="AK330">
        <v>0.14738845849155924</v>
      </c>
      <c r="AL330">
        <v>0.24587245166232552</v>
      </c>
      <c r="AM330">
        <v>0.10178836068255481</v>
      </c>
      <c r="AN330">
        <v>0.10048330877997247</v>
      </c>
      <c r="AO330">
        <v>0.19707688475051566</v>
      </c>
      <c r="AR330">
        <v>8.6360566869049711E-4</v>
      </c>
      <c r="AS330">
        <v>4.581805602197897E-3</v>
      </c>
      <c r="AT330">
        <v>4.6256196742697261E-3</v>
      </c>
      <c r="AU330">
        <v>2.0874561074285536E-3</v>
      </c>
      <c r="AV330">
        <v>2.247381409797411E-3</v>
      </c>
      <c r="AW330">
        <v>3.4765203338308348E-3</v>
      </c>
      <c r="AX330">
        <v>4.6621388436252076E-4</v>
      </c>
      <c r="AY330">
        <v>4.9118313941620695E-4</v>
      </c>
      <c r="BB330">
        <v>5.0768250859001607E-2</v>
      </c>
      <c r="BC330">
        <v>3.1840531653974304E-2</v>
      </c>
      <c r="BE330">
        <v>63628.44569940857</v>
      </c>
      <c r="BF330">
        <v>12.189653359775477</v>
      </c>
      <c r="BG330">
        <v>65545.345532549254</v>
      </c>
      <c r="BH330">
        <v>12.152888861944191</v>
      </c>
      <c r="BI330">
        <v>-1916.8998331406838</v>
      </c>
      <c r="BJ330">
        <v>3.6764497831285325E-2</v>
      </c>
    </row>
    <row r="331" spans="3:62" x14ac:dyDescent="0.2">
      <c r="C331" s="121">
        <v>70040.782028276488</v>
      </c>
      <c r="D331" s="121">
        <v>15.601220066825407</v>
      </c>
      <c r="E331" s="121">
        <v>72161.167276700784</v>
      </c>
      <c r="F331" s="121">
        <v>15.396851817713687</v>
      </c>
      <c r="G331" s="121">
        <v>-2120.3852484242962</v>
      </c>
      <c r="H331" s="121">
        <v>0.20436824911172025</v>
      </c>
      <c r="N331" s="121"/>
      <c r="O331" s="121"/>
      <c r="P331" s="121"/>
      <c r="R331">
        <v>268.52534437366972</v>
      </c>
      <c r="S331">
        <v>52.866034308943945</v>
      </c>
      <c r="T331">
        <v>258.67534201014013</v>
      </c>
      <c r="U331">
        <v>97.925936343826137</v>
      </c>
      <c r="X331">
        <v>0.68654090684813351</v>
      </c>
      <c r="Y331">
        <v>0.66062845443291141</v>
      </c>
      <c r="Z331">
        <v>0.91872838920474309</v>
      </c>
      <c r="AA331">
        <v>0.78977151522812739</v>
      </c>
      <c r="AB331">
        <v>0.79464628300427076</v>
      </c>
      <c r="AC331">
        <v>0.79186742838131219</v>
      </c>
      <c r="AD331">
        <v>0.74776614195656377</v>
      </c>
      <c r="AE331">
        <v>0.85284397088484165</v>
      </c>
      <c r="AH331">
        <v>1.7385782564415697E-2</v>
      </c>
      <c r="AI331">
        <v>5.9716724358484297E-2</v>
      </c>
      <c r="AJ331">
        <v>0.21071528130787787</v>
      </c>
      <c r="AK331">
        <v>0.15215273594703127</v>
      </c>
      <c r="AL331">
        <v>0.19912290330064286</v>
      </c>
      <c r="AM331">
        <v>7.883522315451974E-2</v>
      </c>
      <c r="AN331">
        <v>2.9499027144327394E-2</v>
      </c>
      <c r="AO331">
        <v>0.10914421855702017</v>
      </c>
      <c r="AR331">
        <v>7.4241969992634911E-4</v>
      </c>
      <c r="AS331">
        <v>4.3039551992966876E-3</v>
      </c>
      <c r="AT331">
        <v>4.9748087410499409E-3</v>
      </c>
      <c r="AU331">
        <v>2.0755913377153989E-3</v>
      </c>
      <c r="AV331">
        <v>1.9662231824173954E-3</v>
      </c>
      <c r="AW331">
        <v>3.6100784210274517E-3</v>
      </c>
      <c r="AX331">
        <v>3.885996729828352E-4</v>
      </c>
      <c r="AY331">
        <v>4.3011210087725676E-4</v>
      </c>
      <c r="BB331">
        <v>5.3457324370452475E-2</v>
      </c>
      <c r="BC331">
        <v>4.9256266426733752E-2</v>
      </c>
      <c r="BE331">
        <v>70040.782028276488</v>
      </c>
      <c r="BF331">
        <v>15.601220066825407</v>
      </c>
      <c r="BG331">
        <v>72161.167276700784</v>
      </c>
      <c r="BH331">
        <v>15.396851817713687</v>
      </c>
      <c r="BI331">
        <v>-2120.3852484242962</v>
      </c>
      <c r="BJ331">
        <v>0.20436824911172025</v>
      </c>
    </row>
    <row r="332" spans="3:62" x14ac:dyDescent="0.2">
      <c r="C332" s="121">
        <v>67856.322085543914</v>
      </c>
      <c r="D332" s="121">
        <v>16.022539603004638</v>
      </c>
      <c r="E332" s="121">
        <v>69311.855335518005</v>
      </c>
      <c r="F332" s="121">
        <v>15.870899776901528</v>
      </c>
      <c r="G332" s="121">
        <v>-1455.5332499740907</v>
      </c>
      <c r="H332" s="121">
        <v>0.15163982610311066</v>
      </c>
      <c r="N332" s="121"/>
      <c r="O332" s="121"/>
      <c r="P332" s="121"/>
      <c r="R332">
        <v>277.79457889113183</v>
      </c>
      <c r="S332">
        <v>57.000001200423647</v>
      </c>
      <c r="T332">
        <v>260.66209760404104</v>
      </c>
      <c r="U332">
        <v>112.61642377834654</v>
      </c>
      <c r="X332">
        <v>0.81365444222960914</v>
      </c>
      <c r="Y332">
        <v>0.56205664304816816</v>
      </c>
      <c r="Z332">
        <v>0.84874845980831048</v>
      </c>
      <c r="AA332">
        <v>0.71821093063539809</v>
      </c>
      <c r="AB332">
        <v>0.82850520835519093</v>
      </c>
      <c r="AC332">
        <v>0.86568276005779898</v>
      </c>
      <c r="AD332">
        <v>0.59826190588249506</v>
      </c>
      <c r="AE332">
        <v>0.90111931908149945</v>
      </c>
      <c r="AH332">
        <v>0.16258796278610055</v>
      </c>
      <c r="AI332">
        <v>0.16489617354592234</v>
      </c>
      <c r="AJ332">
        <v>0.17097733893998779</v>
      </c>
      <c r="AK332">
        <v>0.29946621109451199</v>
      </c>
      <c r="AL332">
        <v>4.5572796561755613E-2</v>
      </c>
      <c r="AM332">
        <v>4.4233048676391329E-2</v>
      </c>
      <c r="AN332">
        <v>9.465949769826798E-2</v>
      </c>
      <c r="AO332">
        <v>0.10557730667953535</v>
      </c>
      <c r="AR332">
        <v>7.8943547395706978E-4</v>
      </c>
      <c r="AS332">
        <v>4.347459731783008E-3</v>
      </c>
      <c r="AT332">
        <v>4.8983282711959151E-3</v>
      </c>
      <c r="AU332">
        <v>1.9381975437615844E-3</v>
      </c>
      <c r="AV332">
        <v>1.8900740920520329E-3</v>
      </c>
      <c r="AW332">
        <v>3.2339927698358524E-3</v>
      </c>
      <c r="AX332">
        <v>4.0631577119609741E-4</v>
      </c>
      <c r="AY332">
        <v>6.1765818351833257E-4</v>
      </c>
      <c r="BB332">
        <v>5.085165181777096E-2</v>
      </c>
      <c r="BC332">
        <v>3.8254576533004028E-2</v>
      </c>
      <c r="BE332">
        <v>67856.322085543914</v>
      </c>
      <c r="BF332">
        <v>16.022539603004638</v>
      </c>
      <c r="BG332">
        <v>69311.855335518005</v>
      </c>
      <c r="BH332">
        <v>15.870899776901528</v>
      </c>
      <c r="BI332">
        <v>-1455.5332499740907</v>
      </c>
      <c r="BJ332">
        <v>0.15163982610311066</v>
      </c>
    </row>
    <row r="333" spans="3:62" x14ac:dyDescent="0.2">
      <c r="C333" s="121">
        <v>69025.558155334395</v>
      </c>
      <c r="D333" s="121">
        <v>17.700746248959309</v>
      </c>
      <c r="E333" s="121">
        <v>71063.991627495168</v>
      </c>
      <c r="F333" s="121">
        <v>17.557957626217032</v>
      </c>
      <c r="G333" s="121">
        <v>-2038.4334721607738</v>
      </c>
      <c r="H333" s="121">
        <v>0.14278862274227677</v>
      </c>
      <c r="N333" s="121"/>
      <c r="O333" s="121"/>
      <c r="P333" s="121"/>
      <c r="R333">
        <v>253.28987237483</v>
      </c>
      <c r="S333">
        <v>65.948556027402844</v>
      </c>
      <c r="T333">
        <v>194.99824948759704</v>
      </c>
      <c r="U333">
        <v>89.606931680452746</v>
      </c>
      <c r="X333">
        <v>0.58040346377539243</v>
      </c>
      <c r="Y333">
        <v>0.87290522636829571</v>
      </c>
      <c r="Z333">
        <v>0.76338552299128082</v>
      </c>
      <c r="AA333">
        <v>0.77914490650437629</v>
      </c>
      <c r="AB333">
        <v>0.73910862782361741</v>
      </c>
      <c r="AC333">
        <v>0.74222406648276251</v>
      </c>
      <c r="AD333">
        <v>0.76711659936820875</v>
      </c>
      <c r="AE333">
        <v>0.81331905107361646</v>
      </c>
      <c r="AH333">
        <v>0.13841328655497398</v>
      </c>
      <c r="AI333">
        <v>7.7772372479615104E-2</v>
      </c>
      <c r="AJ333">
        <v>9.6052359768260653E-2</v>
      </c>
      <c r="AK333">
        <v>8.8788388120551121E-2</v>
      </c>
      <c r="AL333">
        <v>0.12924283204669984</v>
      </c>
      <c r="AM333">
        <v>4.8302667953885159E-2</v>
      </c>
      <c r="AN333">
        <v>0.22982944610516687</v>
      </c>
      <c r="AO333">
        <v>0.27818853029070922</v>
      </c>
      <c r="AR333">
        <v>8.8150441976491431E-4</v>
      </c>
      <c r="AS333">
        <v>4.2491359302792176E-3</v>
      </c>
      <c r="AT333">
        <v>4.9440996066245366E-3</v>
      </c>
      <c r="AU333">
        <v>2.0132858756887195E-3</v>
      </c>
      <c r="AV333">
        <v>1.8124024270578611E-3</v>
      </c>
      <c r="AW333">
        <v>3.3798746925867099E-3</v>
      </c>
      <c r="AX333">
        <v>4.0046311294961168E-4</v>
      </c>
      <c r="AY333">
        <v>5.1069235633904864E-4</v>
      </c>
      <c r="BB333">
        <v>5.6355602820145956E-2</v>
      </c>
      <c r="BC333">
        <v>3.1142638082954009E-2</v>
      </c>
      <c r="BE333">
        <v>69025.558155334395</v>
      </c>
      <c r="BF333">
        <v>17.700746248959309</v>
      </c>
      <c r="BG333">
        <v>71063.991627495168</v>
      </c>
      <c r="BH333">
        <v>17.557957626217032</v>
      </c>
      <c r="BI333">
        <v>-2038.4334721607738</v>
      </c>
      <c r="BJ333">
        <v>0.14278862274227677</v>
      </c>
    </row>
    <row r="334" spans="3:62" x14ac:dyDescent="0.2">
      <c r="C334" s="121">
        <v>70516.428570162156</v>
      </c>
      <c r="D334" s="121">
        <v>16.461946613031937</v>
      </c>
      <c r="E334" s="121">
        <v>71780.225901351558</v>
      </c>
      <c r="F334" s="121">
        <v>16.383713140802708</v>
      </c>
      <c r="G334" s="121">
        <v>-1263.797331189402</v>
      </c>
      <c r="H334" s="121">
        <v>7.8233472229229051E-2</v>
      </c>
      <c r="N334" s="121"/>
      <c r="O334" s="121"/>
      <c r="P334" s="121"/>
      <c r="R334">
        <v>263.67159864168718</v>
      </c>
      <c r="S334">
        <v>54.786267361179867</v>
      </c>
      <c r="T334">
        <v>283.02973243700353</v>
      </c>
      <c r="U334">
        <v>99.251797684965226</v>
      </c>
      <c r="X334">
        <v>0.69423436631228397</v>
      </c>
      <c r="Y334">
        <v>0.67983195515985628</v>
      </c>
      <c r="Z334">
        <v>0.87019259950783479</v>
      </c>
      <c r="AA334">
        <v>0.7309689770124701</v>
      </c>
      <c r="AB334">
        <v>0.60895188989748672</v>
      </c>
      <c r="AC334">
        <v>0.78551441141851264</v>
      </c>
      <c r="AD334">
        <v>0.68947084597934116</v>
      </c>
      <c r="AE334">
        <v>0.87830965964618435</v>
      </c>
      <c r="AH334">
        <v>2.8127318570228543E-2</v>
      </c>
      <c r="AI334">
        <v>3.7138586360185188E-2</v>
      </c>
      <c r="AJ334">
        <v>4.6434835012391984E-2</v>
      </c>
      <c r="AK334">
        <v>7.4435436281835354E-2</v>
      </c>
      <c r="AL334">
        <v>0.22456866126382724</v>
      </c>
      <c r="AM334">
        <v>5.2028848292943519E-2</v>
      </c>
      <c r="AN334">
        <v>8.5774393383611258E-2</v>
      </c>
      <c r="AO334">
        <v>0.11441608322103991</v>
      </c>
      <c r="AR334">
        <v>9.1037229971879796E-4</v>
      </c>
      <c r="AS334">
        <v>4.7109111527920966E-3</v>
      </c>
      <c r="AT334">
        <v>4.5460144026448707E-3</v>
      </c>
      <c r="AU334">
        <v>2.2039524884657213E-3</v>
      </c>
      <c r="AV334">
        <v>2.0509185886818937E-3</v>
      </c>
      <c r="AW334">
        <v>3.1611678874936726E-3</v>
      </c>
      <c r="AX334">
        <v>3.40628899518325E-4</v>
      </c>
      <c r="AY334">
        <v>3.2268176844220696E-4</v>
      </c>
      <c r="BB334">
        <v>3.8858890654325087E-2</v>
      </c>
      <c r="BC334">
        <v>2.093127320684925E-2</v>
      </c>
      <c r="BE334">
        <v>70516.428570162156</v>
      </c>
      <c r="BF334">
        <v>16.461946613031937</v>
      </c>
      <c r="BG334">
        <v>71780.225901351558</v>
      </c>
      <c r="BH334">
        <v>16.383713140802708</v>
      </c>
      <c r="BI334">
        <v>-1263.797331189402</v>
      </c>
      <c r="BJ334">
        <v>7.8233472229229051E-2</v>
      </c>
    </row>
    <row r="335" spans="3:62" x14ac:dyDescent="0.2">
      <c r="C335" s="121">
        <v>73082.098013850031</v>
      </c>
      <c r="D335" s="121">
        <v>15.393444147061588</v>
      </c>
      <c r="E335" s="121">
        <v>74899.565137848112</v>
      </c>
      <c r="F335" s="121">
        <v>15.266344782307467</v>
      </c>
      <c r="G335" s="121">
        <v>-1817.4671239980817</v>
      </c>
      <c r="H335" s="121">
        <v>0.12709936475412142</v>
      </c>
      <c r="N335" s="121"/>
      <c r="O335" s="121"/>
      <c r="P335" s="121"/>
      <c r="R335">
        <v>350.31373109832356</v>
      </c>
      <c r="S335">
        <v>58.159358021302204</v>
      </c>
      <c r="T335">
        <v>234.29464397685015</v>
      </c>
      <c r="U335">
        <v>97.375914977085614</v>
      </c>
      <c r="X335">
        <v>0.69817965189272657</v>
      </c>
      <c r="Y335">
        <v>0.26838085714943716</v>
      </c>
      <c r="Z335">
        <v>0.67509837914632154</v>
      </c>
      <c r="AA335">
        <v>0.66776693168052215</v>
      </c>
      <c r="AB335">
        <v>0.98762504119275341</v>
      </c>
      <c r="AC335">
        <v>0.59635136304098169</v>
      </c>
      <c r="AD335">
        <v>0.80801043571179754</v>
      </c>
      <c r="AE335">
        <v>0.63882776157301369</v>
      </c>
      <c r="AH335">
        <v>0.11213840528220043</v>
      </c>
      <c r="AI335">
        <v>0.1323472801076393</v>
      </c>
      <c r="AJ335">
        <v>7.1128721222666336E-2</v>
      </c>
      <c r="AK335">
        <v>0.12126937530832904</v>
      </c>
      <c r="AL335">
        <v>7.8754295341923797E-2</v>
      </c>
      <c r="AM335">
        <v>0.22469661798148122</v>
      </c>
      <c r="AN335">
        <v>0.10481141937365179</v>
      </c>
      <c r="AO335">
        <v>0.10025700496005951</v>
      </c>
      <c r="AR335">
        <v>9.2238859925908301E-4</v>
      </c>
      <c r="AS335">
        <v>4.4428602442389076E-3</v>
      </c>
      <c r="AT335">
        <v>4.8764386868627267E-3</v>
      </c>
      <c r="AU335">
        <v>2.0523221072332731E-3</v>
      </c>
      <c r="AV335">
        <v>1.984397155453092E-3</v>
      </c>
      <c r="AW335">
        <v>3.4565635721428567E-3</v>
      </c>
      <c r="AX335">
        <v>4.0564767163087101E-4</v>
      </c>
      <c r="AY335">
        <v>5.6724604631963604E-4</v>
      </c>
      <c r="BB335">
        <v>4.5049338169946294E-2</v>
      </c>
      <c r="BC335">
        <v>3.2491980704606536E-2</v>
      </c>
      <c r="BE335">
        <v>73082.098013850031</v>
      </c>
      <c r="BF335">
        <v>15.393444147061588</v>
      </c>
      <c r="BG335">
        <v>74899.565137848112</v>
      </c>
      <c r="BH335">
        <v>15.266344782307467</v>
      </c>
      <c r="BI335">
        <v>-1817.4671239980817</v>
      </c>
      <c r="BJ335">
        <v>0.12709936475412142</v>
      </c>
    </row>
    <row r="336" spans="3:62" x14ac:dyDescent="0.2">
      <c r="C336" s="121">
        <v>76910.376148018346</v>
      </c>
      <c r="D336" s="121">
        <v>16.512889714054385</v>
      </c>
      <c r="E336" s="121">
        <v>79170.992490172925</v>
      </c>
      <c r="F336" s="121">
        <v>16.395011073510759</v>
      </c>
      <c r="G336" s="121">
        <v>-2260.6163421545789</v>
      </c>
      <c r="H336" s="121">
        <v>0.11787864054362629</v>
      </c>
      <c r="N336" s="121"/>
      <c r="O336" s="121"/>
      <c r="P336" s="121"/>
      <c r="R336">
        <v>21.708601492007801</v>
      </c>
      <c r="S336">
        <v>64.010013850342062</v>
      </c>
      <c r="T336">
        <v>247.76171274360502</v>
      </c>
      <c r="U336">
        <v>103.43807730851691</v>
      </c>
      <c r="X336">
        <v>0.77884953048425021</v>
      </c>
      <c r="Y336">
        <v>0.86350904496640468</v>
      </c>
      <c r="Z336">
        <v>0.75697732906760218</v>
      </c>
      <c r="AA336">
        <v>0.82472708887559554</v>
      </c>
      <c r="AB336">
        <v>0.89146671631297481</v>
      </c>
      <c r="AC336">
        <v>0.84379917905515622</v>
      </c>
      <c r="AD336">
        <v>0.80466553190429102</v>
      </c>
      <c r="AE336">
        <v>0.95275037794171391</v>
      </c>
      <c r="AH336">
        <v>0.12776804189569835</v>
      </c>
      <c r="AI336">
        <v>6.3265020743559219E-2</v>
      </c>
      <c r="AJ336">
        <v>9.2249581804617065E-2</v>
      </c>
      <c r="AK336">
        <v>0.18931467288267922</v>
      </c>
      <c r="AL336">
        <v>0.2372548931356846</v>
      </c>
      <c r="AM336">
        <v>0.16284833462222104</v>
      </c>
      <c r="AN336">
        <v>2.1403083014786106E-2</v>
      </c>
      <c r="AO336">
        <v>8.100768942988934E-2</v>
      </c>
      <c r="AR336">
        <v>9.4613539671484226E-4</v>
      </c>
      <c r="AS336">
        <v>4.7352863152567704E-3</v>
      </c>
      <c r="AT336">
        <v>4.502682161200945E-3</v>
      </c>
      <c r="AU336">
        <v>2.1575103935324025E-3</v>
      </c>
      <c r="AV336">
        <v>2.0932149096627439E-3</v>
      </c>
      <c r="AW336">
        <v>3.2456168379691006E-3</v>
      </c>
      <c r="AX336">
        <v>4.4699383846991125E-4</v>
      </c>
      <c r="AY336">
        <v>4.2488675297133163E-4</v>
      </c>
      <c r="BB336">
        <v>5.0098824735513081E-2</v>
      </c>
      <c r="BC336">
        <v>6.2936217878201806E-2</v>
      </c>
      <c r="BE336">
        <v>76910.376148018346</v>
      </c>
      <c r="BF336">
        <v>16.512889714054385</v>
      </c>
      <c r="BG336">
        <v>79170.992490172925</v>
      </c>
      <c r="BH336">
        <v>16.395011073510759</v>
      </c>
      <c r="BI336">
        <v>-2260.6163421545789</v>
      </c>
      <c r="BJ336">
        <v>0.11787864054362629</v>
      </c>
    </row>
    <row r="337" spans="3:62" x14ac:dyDescent="0.2">
      <c r="C337" s="121">
        <v>74861.10867777816</v>
      </c>
      <c r="D337" s="121">
        <v>14.815519049594329</v>
      </c>
      <c r="E337" s="121">
        <v>76143.25509460608</v>
      </c>
      <c r="F337" s="121">
        <v>14.736546374889246</v>
      </c>
      <c r="G337" s="121">
        <v>-1282.1464168279199</v>
      </c>
      <c r="H337" s="121">
        <v>7.8972674705083179E-2</v>
      </c>
      <c r="N337" s="121"/>
      <c r="O337" s="121"/>
      <c r="P337" s="121"/>
      <c r="R337">
        <v>378.38629960546791</v>
      </c>
      <c r="S337">
        <v>62.270606286300662</v>
      </c>
      <c r="T337">
        <v>232.79826047297013</v>
      </c>
      <c r="U337">
        <v>90.375999144930788</v>
      </c>
      <c r="X337">
        <v>0.63016681450714818</v>
      </c>
      <c r="Y337">
        <v>0.58507332892234498</v>
      </c>
      <c r="Z337">
        <v>0.79579890239780737</v>
      </c>
      <c r="AA337">
        <v>0.67447524073863663</v>
      </c>
      <c r="AB337">
        <v>0.69094722036490386</v>
      </c>
      <c r="AC337">
        <v>0.61619693470680548</v>
      </c>
      <c r="AD337">
        <v>0.59049825499142794</v>
      </c>
      <c r="AE337">
        <v>0.68274016657264069</v>
      </c>
      <c r="AH337">
        <v>0.11511952919519663</v>
      </c>
      <c r="AI337">
        <v>0.22394642921359531</v>
      </c>
      <c r="AJ337">
        <v>2.9477715324585541E-2</v>
      </c>
      <c r="AK337">
        <v>5.756322964744931E-2</v>
      </c>
      <c r="AL337">
        <v>1.7730382528445388E-2</v>
      </c>
      <c r="AM337">
        <v>7.4400502219839071E-2</v>
      </c>
      <c r="AN337">
        <v>0.12887823681942967</v>
      </c>
      <c r="AO337">
        <v>2.3684906015486673E-2</v>
      </c>
      <c r="AR337">
        <v>8.4430159012232502E-4</v>
      </c>
      <c r="AS337">
        <v>4.5244130136412597E-3</v>
      </c>
      <c r="AT337">
        <v>4.8273166102022428E-3</v>
      </c>
      <c r="AU337">
        <v>1.8915287245327584E-3</v>
      </c>
      <c r="AV337">
        <v>1.8768255952960849E-3</v>
      </c>
      <c r="AW337">
        <v>3.4296817110467392E-3</v>
      </c>
      <c r="AX337">
        <v>3.5441562469965958E-4</v>
      </c>
      <c r="AY337">
        <v>4.0612343566818825E-4</v>
      </c>
      <c r="BB337">
        <v>5.789642519092042E-2</v>
      </c>
      <c r="BC337">
        <v>5.7536395060621692E-2</v>
      </c>
      <c r="BE337">
        <v>74861.10867777816</v>
      </c>
      <c r="BF337">
        <v>14.815519049594329</v>
      </c>
      <c r="BG337">
        <v>76143.25509460608</v>
      </c>
      <c r="BH337">
        <v>14.736546374889246</v>
      </c>
      <c r="BI337">
        <v>-1282.1464168279199</v>
      </c>
      <c r="BJ337">
        <v>7.8972674705083179E-2</v>
      </c>
    </row>
    <row r="338" spans="3:62" x14ac:dyDescent="0.2">
      <c r="C338" s="121">
        <v>74863.375757866495</v>
      </c>
      <c r="D338" s="121">
        <v>17.202802976220386</v>
      </c>
      <c r="E338" s="121">
        <v>77130.553421464603</v>
      </c>
      <c r="F338" s="121">
        <v>17.056102927573626</v>
      </c>
      <c r="G338" s="121">
        <v>-2267.1776635981078</v>
      </c>
      <c r="H338" s="121">
        <v>0.14670004864676045</v>
      </c>
      <c r="N338" s="121"/>
      <c r="O338" s="121"/>
      <c r="P338" s="121"/>
      <c r="R338">
        <v>151.16447635674925</v>
      </c>
      <c r="S338">
        <v>62.649184944504157</v>
      </c>
      <c r="T338">
        <v>236.32027216612352</v>
      </c>
      <c r="U338">
        <v>94.49045831399134</v>
      </c>
      <c r="X338">
        <v>0.71501787770711123</v>
      </c>
      <c r="Y338">
        <v>0.71640437325899264</v>
      </c>
      <c r="Z338">
        <v>0.61391649226536971</v>
      </c>
      <c r="AA338">
        <v>0.73489909328515635</v>
      </c>
      <c r="AB338">
        <v>0.68153183105600446</v>
      </c>
      <c r="AC338">
        <v>0.78953777206962128</v>
      </c>
      <c r="AD338">
        <v>0.81924681217281858</v>
      </c>
      <c r="AE338">
        <v>0.79881623757570797</v>
      </c>
      <c r="AH338">
        <v>7.3407520046978592E-2</v>
      </c>
      <c r="AI338">
        <v>4.0777527428484062E-2</v>
      </c>
      <c r="AJ338">
        <v>4.6932340600197353E-2</v>
      </c>
      <c r="AK338">
        <v>0.12992096941805431</v>
      </c>
      <c r="AL338">
        <v>8.7249365958923519E-2</v>
      </c>
      <c r="AM338">
        <v>0.11922259549357572</v>
      </c>
      <c r="AN338">
        <v>1.8531310781958021E-2</v>
      </c>
      <c r="AO338">
        <v>4.9051334257659951E-2</v>
      </c>
      <c r="AR338">
        <v>8.5402892737199338E-4</v>
      </c>
      <c r="AS338">
        <v>4.8391638785646451E-3</v>
      </c>
      <c r="AT338">
        <v>5.1331364338143004E-3</v>
      </c>
      <c r="AU338">
        <v>1.9030979815046892E-3</v>
      </c>
      <c r="AV338">
        <v>2.2314231135572848E-3</v>
      </c>
      <c r="AW338">
        <v>3.8343371699796069E-3</v>
      </c>
      <c r="AX338">
        <v>3.6047025338575676E-4</v>
      </c>
      <c r="AY338">
        <v>3.5905189452888916E-4</v>
      </c>
      <c r="BB338">
        <v>5.0191168799281538E-2</v>
      </c>
      <c r="BC338">
        <v>3.8289785168938016E-2</v>
      </c>
      <c r="BE338">
        <v>74863.375757866495</v>
      </c>
      <c r="BF338">
        <v>17.202802976220386</v>
      </c>
      <c r="BG338">
        <v>77130.553421464603</v>
      </c>
      <c r="BH338">
        <v>17.056102927573626</v>
      </c>
      <c r="BI338">
        <v>-2267.1776635981078</v>
      </c>
      <c r="BJ338">
        <v>0.14670004864676045</v>
      </c>
    </row>
    <row r="339" spans="3:62" x14ac:dyDescent="0.2">
      <c r="C339" s="121">
        <v>80373.785825186264</v>
      </c>
      <c r="D339" s="121">
        <v>16.101585663650788</v>
      </c>
      <c r="E339" s="121">
        <v>82373.173300944458</v>
      </c>
      <c r="F339" s="121">
        <v>15.960768960700097</v>
      </c>
      <c r="G339" s="121">
        <v>-1999.3874757581943</v>
      </c>
      <c r="H339" s="121">
        <v>0.1408167029506906</v>
      </c>
      <c r="N339" s="121"/>
      <c r="O339" s="121"/>
      <c r="P339" s="121"/>
      <c r="R339">
        <v>260.39730589266208</v>
      </c>
      <c r="S339">
        <v>65.89811638623172</v>
      </c>
      <c r="T339">
        <v>220.05850795819902</v>
      </c>
      <c r="U339">
        <v>97.54366345760171</v>
      </c>
      <c r="X339">
        <v>0.77904159233417447</v>
      </c>
      <c r="Y339">
        <v>0.6914923114900362</v>
      </c>
      <c r="Z339">
        <v>0.66438459441767983</v>
      </c>
      <c r="AA339">
        <v>0.92023800107234521</v>
      </c>
      <c r="AB339">
        <v>0.67294172444311318</v>
      </c>
      <c r="AC339">
        <v>0.69343201278701372</v>
      </c>
      <c r="AD339">
        <v>0.8980355223910188</v>
      </c>
      <c r="AE339">
        <v>0.55267787068978447</v>
      </c>
      <c r="AH339">
        <v>0.13849802317489612</v>
      </c>
      <c r="AI339">
        <v>5.0713796908959496E-2</v>
      </c>
      <c r="AJ339">
        <v>3.8968063077980397E-2</v>
      </c>
      <c r="AK339">
        <v>3.075807507095818E-2</v>
      </c>
      <c r="AL339">
        <v>0.12079450224695942</v>
      </c>
      <c r="AM339">
        <v>0.13411233261924427</v>
      </c>
      <c r="AN339">
        <v>7.2736961987250659E-2</v>
      </c>
      <c r="AO339">
        <v>6.1008839567831097E-2</v>
      </c>
      <c r="AR339">
        <v>8.5735080082335218E-4</v>
      </c>
      <c r="AS339">
        <v>4.7246510553878851E-3</v>
      </c>
      <c r="AT339">
        <v>4.871900629857563E-3</v>
      </c>
      <c r="AU339">
        <v>2.1353715964236297E-3</v>
      </c>
      <c r="AV339">
        <v>1.8094734949561035E-3</v>
      </c>
      <c r="AW339">
        <v>3.4898475709790322E-3</v>
      </c>
      <c r="AX339">
        <v>3.7472605556386528E-4</v>
      </c>
      <c r="AY339">
        <v>3.5911248274872172E-4</v>
      </c>
      <c r="BB339">
        <v>4.8852858170054338E-2</v>
      </c>
      <c r="BC339">
        <v>2.485128755909705E-2</v>
      </c>
      <c r="BE339">
        <v>80373.785825186264</v>
      </c>
      <c r="BF339">
        <v>16.101585663650788</v>
      </c>
      <c r="BG339">
        <v>82373.173300944458</v>
      </c>
      <c r="BH339">
        <v>15.960768960700097</v>
      </c>
      <c r="BI339">
        <v>-1999.3874757581943</v>
      </c>
      <c r="BJ339">
        <v>0.1408167029506906</v>
      </c>
    </row>
    <row r="340" spans="3:62" x14ac:dyDescent="0.2">
      <c r="C340" s="121">
        <v>62745.526979183858</v>
      </c>
      <c r="D340" s="121">
        <v>16.784268789214494</v>
      </c>
      <c r="E340" s="121">
        <v>63963.128556867763</v>
      </c>
      <c r="F340" s="121">
        <v>16.705192896446931</v>
      </c>
      <c r="G340" s="121">
        <v>-1217.6015776839049</v>
      </c>
      <c r="H340" s="121">
        <v>7.907589276756255E-2</v>
      </c>
      <c r="N340" s="121"/>
      <c r="O340" s="121"/>
      <c r="P340" s="121"/>
      <c r="R340">
        <v>49.039839787087089</v>
      </c>
      <c r="S340">
        <v>72.247921077189659</v>
      </c>
      <c r="T340">
        <v>296.44299542907811</v>
      </c>
      <c r="U340">
        <v>100.31942747229019</v>
      </c>
      <c r="X340">
        <v>0.7819636474277919</v>
      </c>
      <c r="Y340">
        <v>0.88754432827462137</v>
      </c>
      <c r="Z340">
        <v>0.80675930882750135</v>
      </c>
      <c r="AA340">
        <v>0.66584872406273599</v>
      </c>
      <c r="AB340">
        <v>0.79549383516878325</v>
      </c>
      <c r="AC340">
        <v>0.6871537822812257</v>
      </c>
      <c r="AD340">
        <v>0.83477219203097819</v>
      </c>
      <c r="AE340">
        <v>0.68840293952667475</v>
      </c>
      <c r="AH340">
        <v>4.3611585833904343E-2</v>
      </c>
      <c r="AI340">
        <v>0.11316020781037983</v>
      </c>
      <c r="AJ340">
        <v>4.1970319491248187E-2</v>
      </c>
      <c r="AK340">
        <v>0.25349813544465394</v>
      </c>
      <c r="AL340">
        <v>0.14685924076768198</v>
      </c>
      <c r="AM340">
        <v>0.16793200214455528</v>
      </c>
      <c r="AN340">
        <v>0.13617290434765539</v>
      </c>
      <c r="AO340">
        <v>0.14227821613940639</v>
      </c>
      <c r="AR340">
        <v>9.1693550313987071E-4</v>
      </c>
      <c r="AS340">
        <v>4.066682248977686E-3</v>
      </c>
      <c r="AT340">
        <v>5.0316206029291655E-3</v>
      </c>
      <c r="AU340">
        <v>1.783529654600138E-3</v>
      </c>
      <c r="AV340">
        <v>2.1822274368658023E-3</v>
      </c>
      <c r="AW340">
        <v>3.4770635877897638E-3</v>
      </c>
      <c r="AX340">
        <v>3.9752678961335608E-4</v>
      </c>
      <c r="AY340">
        <v>4.5372212168315329E-4</v>
      </c>
      <c r="BB340">
        <v>5.1005067759254952E-2</v>
      </c>
      <c r="BC340">
        <v>1.8366365964833476E-2</v>
      </c>
      <c r="BE340">
        <v>62745.526979183858</v>
      </c>
      <c r="BF340">
        <v>16.784268789214494</v>
      </c>
      <c r="BG340">
        <v>63963.128556867763</v>
      </c>
      <c r="BH340">
        <v>16.705192896446931</v>
      </c>
      <c r="BI340">
        <v>-1217.6015776839049</v>
      </c>
      <c r="BJ340">
        <v>7.907589276756255E-2</v>
      </c>
    </row>
    <row r="341" spans="3:62" x14ac:dyDescent="0.2">
      <c r="C341" s="121">
        <v>75463.070988707128</v>
      </c>
      <c r="D341" s="121">
        <v>14.930751868567343</v>
      </c>
      <c r="E341" s="121">
        <v>77428.698192764321</v>
      </c>
      <c r="F341" s="121">
        <v>14.865384477418123</v>
      </c>
      <c r="G341" s="121">
        <v>-1965.627204057193</v>
      </c>
      <c r="H341" s="121">
        <v>6.5367391149219856E-2</v>
      </c>
      <c r="N341" s="121"/>
      <c r="O341" s="121"/>
      <c r="P341" s="121"/>
      <c r="R341">
        <v>257.9742422060346</v>
      </c>
      <c r="S341">
        <v>59.937596697125308</v>
      </c>
      <c r="T341">
        <v>259.18910249357151</v>
      </c>
      <c r="U341">
        <v>89.267475905405476</v>
      </c>
      <c r="X341">
        <v>0.7029442746675113</v>
      </c>
      <c r="Y341">
        <v>0.50901397449813746</v>
      </c>
      <c r="Z341">
        <v>0.69840591482590098</v>
      </c>
      <c r="AA341">
        <v>0.77085981470841847</v>
      </c>
      <c r="AB341">
        <v>0.92327112744691808</v>
      </c>
      <c r="AC341">
        <v>0.68755320350882221</v>
      </c>
      <c r="AD341">
        <v>0.63532966479849129</v>
      </c>
      <c r="AE341">
        <v>0.75469759591517038</v>
      </c>
      <c r="AH341">
        <v>0.14692749977664288</v>
      </c>
      <c r="AI341">
        <v>7.2147232279810014E-2</v>
      </c>
      <c r="AJ341">
        <v>5.332930952498538E-2</v>
      </c>
      <c r="AK341">
        <v>4.6935953054836554E-2</v>
      </c>
      <c r="AL341">
        <v>2.4576834181819329E-2</v>
      </c>
      <c r="AM341">
        <v>0.18856643048809973</v>
      </c>
      <c r="AN341">
        <v>0.13842189662901894</v>
      </c>
      <c r="AO341">
        <v>4.1808247139243138E-2</v>
      </c>
      <c r="AR341">
        <v>8.7875837446742082E-4</v>
      </c>
      <c r="AS341">
        <v>4.5950465319798406E-3</v>
      </c>
      <c r="AT341">
        <v>4.9678681688691828E-3</v>
      </c>
      <c r="AU341">
        <v>2.2098236011870442E-3</v>
      </c>
      <c r="AV341">
        <v>1.9890293085242593E-3</v>
      </c>
      <c r="AW341">
        <v>3.4116706975495514E-3</v>
      </c>
      <c r="AX341">
        <v>3.4952153670122479E-4</v>
      </c>
      <c r="AY341">
        <v>4.3230393355857629E-4</v>
      </c>
      <c r="BB341">
        <v>5.346032423654612E-2</v>
      </c>
      <c r="BC341">
        <v>3.1593241130493735E-2</v>
      </c>
      <c r="BE341">
        <v>75463.070988707128</v>
      </c>
      <c r="BF341">
        <v>14.930751868567343</v>
      </c>
      <c r="BG341">
        <v>77428.698192764321</v>
      </c>
      <c r="BH341">
        <v>14.865384477418123</v>
      </c>
      <c r="BI341">
        <v>-1965.627204057193</v>
      </c>
      <c r="BJ341">
        <v>6.5367391149219856E-2</v>
      </c>
    </row>
    <row r="342" spans="3:62" x14ac:dyDescent="0.2">
      <c r="C342" s="121">
        <v>72703.498002400607</v>
      </c>
      <c r="D342" s="121">
        <v>15.77943812749268</v>
      </c>
      <c r="E342" s="121">
        <v>74859.046128301925</v>
      </c>
      <c r="F342" s="121">
        <v>15.591681297321598</v>
      </c>
      <c r="G342" s="121">
        <v>-2155.5481259013177</v>
      </c>
      <c r="H342" s="121">
        <v>0.18775683017108236</v>
      </c>
      <c r="N342" s="121"/>
      <c r="O342" s="121"/>
      <c r="P342" s="121"/>
      <c r="R342">
        <v>54.978375302680945</v>
      </c>
      <c r="S342">
        <v>62.933822823018232</v>
      </c>
      <c r="T342">
        <v>252.77869223822003</v>
      </c>
      <c r="U342">
        <v>97.633973460944276</v>
      </c>
      <c r="X342">
        <v>0.42425040218677673</v>
      </c>
      <c r="Y342">
        <v>0.86413455453065968</v>
      </c>
      <c r="Z342">
        <v>0.57171136610244022</v>
      </c>
      <c r="AA342">
        <v>0.89232234728837467</v>
      </c>
      <c r="AB342">
        <v>0.76272835445962595</v>
      </c>
      <c r="AC342">
        <v>0.96715164938417386</v>
      </c>
      <c r="AD342">
        <v>0.79145058124850909</v>
      </c>
      <c r="AE342">
        <v>0.78456563642079402</v>
      </c>
      <c r="AH342">
        <v>0.13097481527545796</v>
      </c>
      <c r="AI342">
        <v>4.8497910651746801E-2</v>
      </c>
      <c r="AJ342">
        <v>8.9967040439402624E-3</v>
      </c>
      <c r="AK342">
        <v>0.2586516230667284</v>
      </c>
      <c r="AL342">
        <v>0.37800035854957714</v>
      </c>
      <c r="AM342">
        <v>0.30544935320525135</v>
      </c>
      <c r="AN342">
        <v>8.9079636548892283E-2</v>
      </c>
      <c r="AO342">
        <v>0.13995771183283667</v>
      </c>
      <c r="AR342">
        <v>8.3748491026126436E-4</v>
      </c>
      <c r="AS342">
        <v>4.6370465199840893E-3</v>
      </c>
      <c r="AT342">
        <v>5.009756192533299E-3</v>
      </c>
      <c r="AU342">
        <v>2.1584517620664156E-3</v>
      </c>
      <c r="AV342">
        <v>2.0631355291944597E-3</v>
      </c>
      <c r="AW342">
        <v>3.3142671858377563E-3</v>
      </c>
      <c r="AX342">
        <v>4.2416630961639168E-4</v>
      </c>
      <c r="AY342">
        <v>5.3000898565680465E-4</v>
      </c>
      <c r="BB342">
        <v>5.079738824389135E-2</v>
      </c>
      <c r="BC342">
        <v>8.3566212342047308E-2</v>
      </c>
      <c r="BE342">
        <v>72703.498002400607</v>
      </c>
      <c r="BF342">
        <v>15.77943812749268</v>
      </c>
      <c r="BG342">
        <v>74859.046128301925</v>
      </c>
      <c r="BH342">
        <v>15.591681297321598</v>
      </c>
      <c r="BI342">
        <v>-2155.5481259013177</v>
      </c>
      <c r="BJ342">
        <v>0.18775683017108236</v>
      </c>
    </row>
    <row r="343" spans="3:62" x14ac:dyDescent="0.2">
      <c r="C343" s="121">
        <v>70894.031433025448</v>
      </c>
      <c r="D343" s="121">
        <v>15.790366585174761</v>
      </c>
      <c r="E343" s="121">
        <v>71978.574547078737</v>
      </c>
      <c r="F343" s="121">
        <v>15.684559885359421</v>
      </c>
      <c r="G343" s="121">
        <v>-1084.5431140532892</v>
      </c>
      <c r="H343" s="121">
        <v>0.1058066998153393</v>
      </c>
      <c r="N343" s="121"/>
      <c r="O343" s="121"/>
      <c r="P343" s="121"/>
      <c r="R343">
        <v>495.87792234356994</v>
      </c>
      <c r="S343">
        <v>54.59752311270762</v>
      </c>
      <c r="T343">
        <v>286.7286973600747</v>
      </c>
      <c r="U343">
        <v>94.67195698229915</v>
      </c>
      <c r="X343">
        <v>0.68400453335377331</v>
      </c>
      <c r="Y343">
        <v>0.58939459993397514</v>
      </c>
      <c r="Z343">
        <v>0.72433907222484606</v>
      </c>
      <c r="AA343">
        <v>0.7574097228988339</v>
      </c>
      <c r="AB343">
        <v>0.81405924250101913</v>
      </c>
      <c r="AC343">
        <v>0.71503676816126216</v>
      </c>
      <c r="AD343">
        <v>0.67140426637933137</v>
      </c>
      <c r="AE343">
        <v>0.69194000211336126</v>
      </c>
      <c r="AH343">
        <v>0.15350035474969259</v>
      </c>
      <c r="AI343">
        <v>0.14645842137898102</v>
      </c>
      <c r="AJ343">
        <v>0.19599802799010679</v>
      </c>
      <c r="AK343">
        <v>0.1642884148344278</v>
      </c>
      <c r="AL343">
        <v>7.1668433356868455E-3</v>
      </c>
      <c r="AM343">
        <v>7.3585975066606024E-2</v>
      </c>
      <c r="AN343">
        <v>3.9696715335659105E-2</v>
      </c>
      <c r="AO343">
        <v>9.4173737757293097E-2</v>
      </c>
      <c r="AR343">
        <v>8.563458507511374E-4</v>
      </c>
      <c r="AS343">
        <v>4.4598285762254015E-3</v>
      </c>
      <c r="AT343">
        <v>4.9814647975425785E-3</v>
      </c>
      <c r="AU343">
        <v>1.9950629564985558E-3</v>
      </c>
      <c r="AV343">
        <v>2.1363756849087645E-3</v>
      </c>
      <c r="AW343">
        <v>3.341497165128748E-3</v>
      </c>
      <c r="AX343">
        <v>3.3309887415479406E-4</v>
      </c>
      <c r="AY343">
        <v>3.9409693783418848E-4</v>
      </c>
      <c r="BB343">
        <v>4.7027504955862116E-2</v>
      </c>
      <c r="BC343">
        <v>4.3820766551922484E-2</v>
      </c>
      <c r="BE343">
        <v>70894.031433025448</v>
      </c>
      <c r="BF343">
        <v>15.790366585174761</v>
      </c>
      <c r="BG343">
        <v>71978.574547078737</v>
      </c>
      <c r="BH343">
        <v>15.684559885359421</v>
      </c>
      <c r="BI343">
        <v>-1084.5431140532892</v>
      </c>
      <c r="BJ343">
        <v>0.1058066998153393</v>
      </c>
    </row>
    <row r="344" spans="3:62" x14ac:dyDescent="0.2">
      <c r="C344" s="121">
        <v>71495.577269521993</v>
      </c>
      <c r="D344" s="121">
        <v>16.642472936216663</v>
      </c>
      <c r="E344" s="121">
        <v>73842.138711875392</v>
      </c>
      <c r="F344" s="121">
        <v>16.462981424325179</v>
      </c>
      <c r="G344" s="121">
        <v>-2346.5614423533989</v>
      </c>
      <c r="H344" s="121">
        <v>0.17949151189148438</v>
      </c>
      <c r="N344" s="121"/>
      <c r="O344" s="121"/>
      <c r="P344" s="121"/>
      <c r="R344">
        <v>24.737663184703194</v>
      </c>
      <c r="S344">
        <v>69.736815801190204</v>
      </c>
      <c r="T344">
        <v>219.57672909926842</v>
      </c>
      <c r="U344">
        <v>107.30890767088225</v>
      </c>
      <c r="X344">
        <v>0.76297747423092743</v>
      </c>
      <c r="Y344">
        <v>0.70130353865541162</v>
      </c>
      <c r="Z344">
        <v>0.80924531308253023</v>
      </c>
      <c r="AA344">
        <v>0.72257214460037911</v>
      </c>
      <c r="AB344">
        <v>0.92206243919871556</v>
      </c>
      <c r="AC344">
        <v>0.62874087025084846</v>
      </c>
      <c r="AD344">
        <v>0.75609091267236117</v>
      </c>
      <c r="AE344">
        <v>0.67503191668300422</v>
      </c>
      <c r="AH344">
        <v>2.9464412033070486E-2</v>
      </c>
      <c r="AI344">
        <v>7.9762677120633896E-2</v>
      </c>
      <c r="AJ344">
        <v>7.0714554690562648E-2</v>
      </c>
      <c r="AK344">
        <v>0.2614217436994819</v>
      </c>
      <c r="AL344">
        <v>5.1290283155218885E-2</v>
      </c>
      <c r="AM344">
        <v>3.2090652989164026E-2</v>
      </c>
      <c r="AN344">
        <v>0.14218228395041677</v>
      </c>
      <c r="AO344">
        <v>3.7387107612366188E-2</v>
      </c>
      <c r="AR344">
        <v>8.9516979966586252E-4</v>
      </c>
      <c r="AS344">
        <v>4.4696311571164561E-3</v>
      </c>
      <c r="AT344">
        <v>5.0504693614523699E-3</v>
      </c>
      <c r="AU344">
        <v>2.1985965925460649E-3</v>
      </c>
      <c r="AV344">
        <v>1.9728870830272838E-3</v>
      </c>
      <c r="AW344">
        <v>3.5443713817768785E-3</v>
      </c>
      <c r="AX344">
        <v>4.94256399702242E-4</v>
      </c>
      <c r="AY344">
        <v>4.6295820336583748E-4</v>
      </c>
      <c r="BB344">
        <v>4.8369046557012102E-2</v>
      </c>
      <c r="BC344">
        <v>3.0217444591656116E-2</v>
      </c>
      <c r="BE344">
        <v>71495.577269521993</v>
      </c>
      <c r="BF344">
        <v>16.642472936216663</v>
      </c>
      <c r="BG344">
        <v>73842.138711875392</v>
      </c>
      <c r="BH344">
        <v>16.462981424325179</v>
      </c>
      <c r="BI344">
        <v>-2346.5614423533989</v>
      </c>
      <c r="BJ344">
        <v>0.17949151189148438</v>
      </c>
    </row>
    <row r="345" spans="3:62" x14ac:dyDescent="0.2">
      <c r="C345" s="121">
        <v>69833.880124942356</v>
      </c>
      <c r="D345" s="121">
        <v>16.575758403921618</v>
      </c>
      <c r="E345" s="121">
        <v>72147.254894408718</v>
      </c>
      <c r="F345" s="121">
        <v>16.382783325776476</v>
      </c>
      <c r="G345" s="121">
        <v>-2313.3747694663616</v>
      </c>
      <c r="H345" s="121">
        <v>0.19297507814514248</v>
      </c>
      <c r="N345" s="121"/>
      <c r="O345" s="121"/>
      <c r="P345" s="121"/>
      <c r="R345">
        <v>515.78892919426289</v>
      </c>
      <c r="S345">
        <v>57.308273243848888</v>
      </c>
      <c r="T345">
        <v>235.75893904015251</v>
      </c>
      <c r="U345">
        <v>103.62948260833303</v>
      </c>
      <c r="X345">
        <v>0.6128060917632675</v>
      </c>
      <c r="Y345">
        <v>0.8200966262022884</v>
      </c>
      <c r="Z345">
        <v>0.71000137542574948</v>
      </c>
      <c r="AA345">
        <v>0.84741705847111604</v>
      </c>
      <c r="AB345">
        <v>0.85351545637046977</v>
      </c>
      <c r="AC345">
        <v>0.90602170569132379</v>
      </c>
      <c r="AD345">
        <v>0.67442284361595484</v>
      </c>
      <c r="AE345">
        <v>0.71244021670070601</v>
      </c>
      <c r="AH345">
        <v>8.8431554287222047E-2</v>
      </c>
      <c r="AI345">
        <v>0.11934709856984049</v>
      </c>
      <c r="AJ345">
        <v>0.12722651482383307</v>
      </c>
      <c r="AK345">
        <v>2.8570656889437052E-2</v>
      </c>
      <c r="AL345">
        <v>0.13758767316140108</v>
      </c>
      <c r="AM345">
        <v>0.10872499715926554</v>
      </c>
      <c r="AN345">
        <v>0.15880012674738431</v>
      </c>
      <c r="AO345">
        <v>0.10311247119922273</v>
      </c>
      <c r="AR345">
        <v>8.904810293891563E-4</v>
      </c>
      <c r="AS345">
        <v>4.5954813274667883E-3</v>
      </c>
      <c r="AT345">
        <v>4.8616995961352303E-3</v>
      </c>
      <c r="AU345">
        <v>1.9499415263378153E-3</v>
      </c>
      <c r="AV345">
        <v>1.8467993575359278E-3</v>
      </c>
      <c r="AW345">
        <v>3.1599261442025336E-3</v>
      </c>
      <c r="AX345">
        <v>3.94340957611155E-4</v>
      </c>
      <c r="AY345">
        <v>5.4426766107906754E-4</v>
      </c>
      <c r="BB345">
        <v>5.2189533551762146E-2</v>
      </c>
      <c r="BC345">
        <v>3.7635278332612022E-2</v>
      </c>
      <c r="BE345">
        <v>69833.880124942356</v>
      </c>
      <c r="BF345">
        <v>16.575758403921618</v>
      </c>
      <c r="BG345">
        <v>72147.254894408718</v>
      </c>
      <c r="BH345">
        <v>16.382783325776476</v>
      </c>
      <c r="BI345">
        <v>-2313.3747694663616</v>
      </c>
      <c r="BJ345">
        <v>0.19297507814514248</v>
      </c>
    </row>
    <row r="346" spans="3:62" x14ac:dyDescent="0.2">
      <c r="C346" s="121">
        <v>62995.047004976703</v>
      </c>
      <c r="D346" s="121">
        <v>17.166664654388633</v>
      </c>
      <c r="E346" s="121">
        <v>64512.590702922484</v>
      </c>
      <c r="F346" s="121">
        <v>17.054847716310018</v>
      </c>
      <c r="G346" s="121">
        <v>-1517.5436979457809</v>
      </c>
      <c r="H346" s="121">
        <v>0.11181693807861492</v>
      </c>
      <c r="N346" s="121"/>
      <c r="O346" s="121"/>
      <c r="P346" s="121"/>
      <c r="R346">
        <v>230.96878330459899</v>
      </c>
      <c r="S346">
        <v>47.911093484423695</v>
      </c>
      <c r="T346">
        <v>251.27966081645454</v>
      </c>
      <c r="U346">
        <v>83.302105435013729</v>
      </c>
      <c r="X346">
        <v>0.75330632631526406</v>
      </c>
      <c r="Y346">
        <v>0.88276764912030026</v>
      </c>
      <c r="Z346">
        <v>0.57794131808004823</v>
      </c>
      <c r="AA346">
        <v>0.60882804213043973</v>
      </c>
      <c r="AB346">
        <v>0.61907319030152508</v>
      </c>
      <c r="AC346">
        <v>0.74537880905159315</v>
      </c>
      <c r="AD346">
        <v>0.62848882970316478</v>
      </c>
      <c r="AE346">
        <v>0.71608450817714442</v>
      </c>
      <c r="AH346">
        <v>0.13195972918665244</v>
      </c>
      <c r="AI346">
        <v>1.876183789736241E-2</v>
      </c>
      <c r="AJ346">
        <v>0.21753747799587919</v>
      </c>
      <c r="AK346">
        <v>5.3094147068701192E-2</v>
      </c>
      <c r="AL346">
        <v>0.20793840564821553</v>
      </c>
      <c r="AM346">
        <v>0.12636155429062845</v>
      </c>
      <c r="AN346">
        <v>5.0386898773941979E-2</v>
      </c>
      <c r="AO346">
        <v>0.17273126138762374</v>
      </c>
      <c r="AR346">
        <v>7.6548821918971416E-4</v>
      </c>
      <c r="AS346">
        <v>4.5649707366348657E-3</v>
      </c>
      <c r="AT346">
        <v>4.6245672631673469E-3</v>
      </c>
      <c r="AU346">
        <v>2.1317093705451873E-3</v>
      </c>
      <c r="AV346">
        <v>2.4654918573948637E-3</v>
      </c>
      <c r="AW346">
        <v>3.637950528776468E-3</v>
      </c>
      <c r="AX346">
        <v>3.2599014483291212E-4</v>
      </c>
      <c r="AY346">
        <v>5.1248099289691318E-4</v>
      </c>
      <c r="BB346">
        <v>5.5068142802112252E-2</v>
      </c>
      <c r="BC346">
        <v>4.2757302602377111E-2</v>
      </c>
      <c r="BE346">
        <v>62995.047004976703</v>
      </c>
      <c r="BF346">
        <v>17.166664654388633</v>
      </c>
      <c r="BG346">
        <v>64512.590702922484</v>
      </c>
      <c r="BH346">
        <v>17.054847716310018</v>
      </c>
      <c r="BI346">
        <v>-1517.5436979457809</v>
      </c>
      <c r="BJ346">
        <v>0.11181693807861492</v>
      </c>
    </row>
    <row r="347" spans="3:62" x14ac:dyDescent="0.2">
      <c r="C347" s="121">
        <v>72594.634522087494</v>
      </c>
      <c r="D347" s="121">
        <v>17.512741949598396</v>
      </c>
      <c r="E347" s="121">
        <v>74584.400075436468</v>
      </c>
      <c r="F347" s="121">
        <v>17.422437019467033</v>
      </c>
      <c r="G347" s="121">
        <v>-1989.7655533489742</v>
      </c>
      <c r="H347" s="121">
        <v>9.0304930131363648E-2</v>
      </c>
      <c r="N347" s="121"/>
      <c r="O347" s="121"/>
      <c r="P347" s="121"/>
      <c r="R347">
        <v>308.35278330958573</v>
      </c>
      <c r="S347">
        <v>57.147248687795475</v>
      </c>
      <c r="T347">
        <v>264.13755034525684</v>
      </c>
      <c r="U347">
        <v>99.650496576485693</v>
      </c>
      <c r="X347">
        <v>0.74787102226296431</v>
      </c>
      <c r="Y347">
        <v>0.85524098657074499</v>
      </c>
      <c r="Z347">
        <v>0.74314400757473764</v>
      </c>
      <c r="AA347">
        <v>0.90764688156036588</v>
      </c>
      <c r="AB347">
        <v>0.6705018179395773</v>
      </c>
      <c r="AC347">
        <v>0.926339079492007</v>
      </c>
      <c r="AD347">
        <v>0.67570410302098094</v>
      </c>
      <c r="AE347">
        <v>0.73999932727342643</v>
      </c>
      <c r="AH347">
        <v>8.0383101997557049E-2</v>
      </c>
      <c r="AI347">
        <v>0.24746643247817846</v>
      </c>
      <c r="AJ347">
        <v>8.2527415887559963E-2</v>
      </c>
      <c r="AK347">
        <v>2.081763128975056E-2</v>
      </c>
      <c r="AL347">
        <v>9.6827002278547902E-2</v>
      </c>
      <c r="AM347">
        <v>0.1652261560873497</v>
      </c>
      <c r="AN347">
        <v>0.39596107256678359</v>
      </c>
      <c r="AO347">
        <v>0.11386855931779472</v>
      </c>
      <c r="AR347">
        <v>8.1963876315126704E-4</v>
      </c>
      <c r="AS347">
        <v>4.6372391628912712E-3</v>
      </c>
      <c r="AT347">
        <v>5.039934747457453E-3</v>
      </c>
      <c r="AU347">
        <v>1.7698946840127622E-3</v>
      </c>
      <c r="AV347">
        <v>1.8534706535417295E-3</v>
      </c>
      <c r="AW347">
        <v>3.4419748635959868E-3</v>
      </c>
      <c r="AX347">
        <v>3.0290753649913152E-4</v>
      </c>
      <c r="AY347">
        <v>4.616182447210182E-4</v>
      </c>
      <c r="BB347">
        <v>5.2694683116229157E-2</v>
      </c>
      <c r="BC347">
        <v>3.2965382805273488E-2</v>
      </c>
      <c r="BE347">
        <v>72594.634522087494</v>
      </c>
      <c r="BF347">
        <v>17.512741949598396</v>
      </c>
      <c r="BG347">
        <v>74584.400075436468</v>
      </c>
      <c r="BH347">
        <v>17.422437019467033</v>
      </c>
      <c r="BI347">
        <v>-1989.7655533489742</v>
      </c>
      <c r="BJ347">
        <v>9.0304930131363648E-2</v>
      </c>
    </row>
    <row r="348" spans="3:62" x14ac:dyDescent="0.2">
      <c r="C348" s="121">
        <v>72758.412110663136</v>
      </c>
      <c r="D348" s="121">
        <v>15.325607547840919</v>
      </c>
      <c r="E348" s="121">
        <v>75123.370029071055</v>
      </c>
      <c r="F348" s="121">
        <v>15.149622256565117</v>
      </c>
      <c r="G348" s="121">
        <v>-2364.9579184079194</v>
      </c>
      <c r="H348" s="121">
        <v>0.17598529127580242</v>
      </c>
      <c r="N348" s="121"/>
      <c r="O348" s="121"/>
      <c r="P348" s="121"/>
      <c r="R348">
        <v>240.69642447407878</v>
      </c>
      <c r="S348">
        <v>63.770728743004874</v>
      </c>
      <c r="T348">
        <v>260.75361481360636</v>
      </c>
      <c r="U348">
        <v>99.550643446265227</v>
      </c>
      <c r="X348">
        <v>0.68784085925200189</v>
      </c>
      <c r="Y348">
        <v>0.78211327532422859</v>
      </c>
      <c r="Z348">
        <v>0.55990257085109019</v>
      </c>
      <c r="AA348">
        <v>0.68601374758845945</v>
      </c>
      <c r="AB348">
        <v>0.77426677355883688</v>
      </c>
      <c r="AC348">
        <v>0.67957785405043192</v>
      </c>
      <c r="AD348">
        <v>0.54492967201977582</v>
      </c>
      <c r="AE348">
        <v>0.86546607312436463</v>
      </c>
      <c r="AH348">
        <v>0.1608541578453645</v>
      </c>
      <c r="AI348">
        <v>0.17121382659210704</v>
      </c>
      <c r="AJ348">
        <v>5.0668469783253789E-2</v>
      </c>
      <c r="AK348">
        <v>0.19423431655231305</v>
      </c>
      <c r="AL348">
        <v>6.7647656969925918E-2</v>
      </c>
      <c r="AM348">
        <v>0.24610769078804229</v>
      </c>
      <c r="AN348">
        <v>0.16332271165318335</v>
      </c>
      <c r="AO348">
        <v>9.0850076525373025E-2</v>
      </c>
      <c r="AR348">
        <v>8.682813531988347E-4</v>
      </c>
      <c r="AS348">
        <v>4.8057240837381388E-3</v>
      </c>
      <c r="AT348">
        <v>5.2985459124802459E-3</v>
      </c>
      <c r="AU348">
        <v>2.0139259494990069E-3</v>
      </c>
      <c r="AV348">
        <v>1.9478020857231163E-3</v>
      </c>
      <c r="AW348">
        <v>3.7392789040274765E-3</v>
      </c>
      <c r="AX348">
        <v>2.8595862224305532E-4</v>
      </c>
      <c r="AY348">
        <v>4.0743291900765524E-4</v>
      </c>
      <c r="BB348">
        <v>4.4318945014203422E-2</v>
      </c>
      <c r="BC348">
        <v>8.6725034211561636E-2</v>
      </c>
      <c r="BE348">
        <v>72758.412110663136</v>
      </c>
      <c r="BF348">
        <v>15.325607547840919</v>
      </c>
      <c r="BG348">
        <v>75123.370029071055</v>
      </c>
      <c r="BH348">
        <v>15.149622256565117</v>
      </c>
      <c r="BI348">
        <v>-2364.9579184079194</v>
      </c>
      <c r="BJ348">
        <v>0.17598529127580242</v>
      </c>
    </row>
    <row r="349" spans="3:62" x14ac:dyDescent="0.2">
      <c r="C349" s="121">
        <v>69829.128267545413</v>
      </c>
      <c r="D349" s="121">
        <v>17.033929725016542</v>
      </c>
      <c r="E349" s="121">
        <v>71659.309918752799</v>
      </c>
      <c r="F349" s="121">
        <v>16.900530797642318</v>
      </c>
      <c r="G349" s="121">
        <v>-1830.1816512073856</v>
      </c>
      <c r="H349" s="121">
        <v>0.13339892737422332</v>
      </c>
      <c r="N349" s="121"/>
      <c r="O349" s="121"/>
      <c r="P349" s="121"/>
      <c r="R349">
        <v>278.09312068162546</v>
      </c>
      <c r="S349">
        <v>51.449108529896051</v>
      </c>
      <c r="T349">
        <v>269.00523237817259</v>
      </c>
      <c r="U349">
        <v>66.843672859439408</v>
      </c>
      <c r="X349">
        <v>0.77371317997937994</v>
      </c>
      <c r="Y349">
        <v>0.82127598489393439</v>
      </c>
      <c r="Z349">
        <v>0.71563115936558819</v>
      </c>
      <c r="AA349">
        <v>0.51742466371862572</v>
      </c>
      <c r="AB349">
        <v>0.72347224916006514</v>
      </c>
      <c r="AC349">
        <v>0.85579372213639626</v>
      </c>
      <c r="AD349">
        <v>0.68509766662891258</v>
      </c>
      <c r="AE349">
        <v>0.678558452693384</v>
      </c>
      <c r="AH349">
        <v>0.20713246947685127</v>
      </c>
      <c r="AI349">
        <v>7.5778926038208017E-2</v>
      </c>
      <c r="AJ349">
        <v>0.34493568156061138</v>
      </c>
      <c r="AK349">
        <v>7.7014049616621394E-2</v>
      </c>
      <c r="AL349">
        <v>0.14960956317419416</v>
      </c>
      <c r="AM349">
        <v>2.5075679578609789E-2</v>
      </c>
      <c r="AN349">
        <v>7.0858825559351968E-2</v>
      </c>
      <c r="AO349">
        <v>9.9501139690451046E-2</v>
      </c>
      <c r="AR349">
        <v>7.5572488961999425E-4</v>
      </c>
      <c r="AS349">
        <v>4.6362326372888507E-3</v>
      </c>
      <c r="AT349">
        <v>4.5886101333329201E-3</v>
      </c>
      <c r="AU349">
        <v>1.7594389703883E-3</v>
      </c>
      <c r="AV349">
        <v>2.0285136165391071E-3</v>
      </c>
      <c r="AW349">
        <v>3.7419492000257959E-3</v>
      </c>
      <c r="AX349">
        <v>4.0872495826127508E-4</v>
      </c>
      <c r="AY349">
        <v>4.2102157353614793E-4</v>
      </c>
      <c r="BB349">
        <v>4.1913712981463819E-2</v>
      </c>
      <c r="BC349">
        <v>5.571749081271149E-2</v>
      </c>
      <c r="BE349">
        <v>69829.128267545413</v>
      </c>
      <c r="BF349">
        <v>17.033929725016542</v>
      </c>
      <c r="BG349">
        <v>71659.309918752799</v>
      </c>
      <c r="BH349">
        <v>16.900530797642318</v>
      </c>
      <c r="BI349">
        <v>-1830.1816512073856</v>
      </c>
      <c r="BJ349">
        <v>0.13339892737422332</v>
      </c>
    </row>
    <row r="350" spans="3:62" x14ac:dyDescent="0.2">
      <c r="C350" s="121">
        <v>64818.200870829074</v>
      </c>
      <c r="D350" s="121">
        <v>17.235781473531741</v>
      </c>
      <c r="E350" s="121">
        <v>66293.546952238918</v>
      </c>
      <c r="F350" s="121">
        <v>17.099100638247283</v>
      </c>
      <c r="G350" s="121">
        <v>-1475.3460814098435</v>
      </c>
      <c r="H350" s="121">
        <v>0.13668083528445862</v>
      </c>
      <c r="N350" s="121"/>
      <c r="O350" s="121"/>
      <c r="P350" s="121"/>
      <c r="R350">
        <v>373.42593468703285</v>
      </c>
      <c r="S350">
        <v>55.588655435389398</v>
      </c>
      <c r="T350">
        <v>251.57338690517622</v>
      </c>
      <c r="U350">
        <v>101.19699631869916</v>
      </c>
      <c r="X350">
        <v>0.67852698018542601</v>
      </c>
      <c r="Y350">
        <v>0.77598284590013222</v>
      </c>
      <c r="Z350">
        <v>0.74018803006251943</v>
      </c>
      <c r="AA350">
        <v>0.89716694446805234</v>
      </c>
      <c r="AB350">
        <v>0.78493748744854508</v>
      </c>
      <c r="AC350">
        <v>0.82551984226762642</v>
      </c>
      <c r="AD350">
        <v>0.87712159731543982</v>
      </c>
      <c r="AE350">
        <v>0.66244584741815637</v>
      </c>
      <c r="AH350">
        <v>0.20695083482989496</v>
      </c>
      <c r="AI350">
        <v>9.2519852483709974E-2</v>
      </c>
      <c r="AJ350">
        <v>0.25051884370556121</v>
      </c>
      <c r="AK350">
        <v>0.13884399077862131</v>
      </c>
      <c r="AL350">
        <v>0.19486042169011164</v>
      </c>
      <c r="AM350">
        <v>0.18003859025226643</v>
      </c>
      <c r="AN350">
        <v>3.7325055879057545E-2</v>
      </c>
      <c r="AO350">
        <v>4.6076516089522013E-2</v>
      </c>
      <c r="AR350">
        <v>7.4427801255338619E-4</v>
      </c>
      <c r="AS350">
        <v>5.1147406534709505E-3</v>
      </c>
      <c r="AT350">
        <v>5.1531644516114028E-3</v>
      </c>
      <c r="AU350">
        <v>1.9260826998077317E-3</v>
      </c>
      <c r="AV350">
        <v>1.9734977596228154E-3</v>
      </c>
      <c r="AW350">
        <v>3.5216497270391667E-3</v>
      </c>
      <c r="AX350">
        <v>4.3151972442989628E-4</v>
      </c>
      <c r="AY350">
        <v>3.2071461969184395E-4</v>
      </c>
      <c r="BB350">
        <v>4.693508102938794E-2</v>
      </c>
      <c r="BC350">
        <v>4.5940082853171804E-2</v>
      </c>
      <c r="BE350">
        <v>64818.200870829074</v>
      </c>
      <c r="BF350">
        <v>17.235781473531741</v>
      </c>
      <c r="BG350">
        <v>66293.546952238918</v>
      </c>
      <c r="BH350">
        <v>17.099100638247283</v>
      </c>
      <c r="BI350">
        <v>-1475.3460814098435</v>
      </c>
      <c r="BJ350">
        <v>0.13668083528445862</v>
      </c>
    </row>
    <row r="351" spans="3:62" x14ac:dyDescent="0.2">
      <c r="C351" s="121">
        <v>70747.676824182709</v>
      </c>
      <c r="D351" s="121">
        <v>15.929497125527194</v>
      </c>
      <c r="E351" s="121">
        <v>72997.175903900599</v>
      </c>
      <c r="F351" s="121">
        <v>15.7342410603333</v>
      </c>
      <c r="G351" s="121">
        <v>-2249.4990797178907</v>
      </c>
      <c r="H351" s="121">
        <v>0.19525606519389349</v>
      </c>
      <c r="N351" s="121"/>
      <c r="O351" s="121"/>
      <c r="P351" s="121"/>
      <c r="R351">
        <v>409.976828538326</v>
      </c>
      <c r="S351">
        <v>61.345632600462224</v>
      </c>
      <c r="T351">
        <v>229.67733983986432</v>
      </c>
      <c r="U351">
        <v>85.543538512476829</v>
      </c>
      <c r="X351">
        <v>0.90212975928558725</v>
      </c>
      <c r="Y351">
        <v>0.78780035262451453</v>
      </c>
      <c r="Z351">
        <v>0.45825580469634131</v>
      </c>
      <c r="AA351">
        <v>0.75193660215400571</v>
      </c>
      <c r="AB351">
        <v>0.84330327611195188</v>
      </c>
      <c r="AC351">
        <v>0.94684185908297658</v>
      </c>
      <c r="AD351">
        <v>0.88553223621051247</v>
      </c>
      <c r="AE351">
        <v>0.84416747292131245</v>
      </c>
      <c r="AH351">
        <v>3.8441100394648431E-2</v>
      </c>
      <c r="AI351">
        <v>0.18199285561696044</v>
      </c>
      <c r="AJ351">
        <v>2.2945627317490169E-2</v>
      </c>
      <c r="AK351">
        <v>3.6668026627844075E-2</v>
      </c>
      <c r="AL351">
        <v>0.12681125620237232</v>
      </c>
      <c r="AM351">
        <v>2.8248948141084362E-2</v>
      </c>
      <c r="AN351">
        <v>0.1242564881263486</v>
      </c>
      <c r="AO351">
        <v>6.2384547986091721E-2</v>
      </c>
      <c r="AR351">
        <v>9.4997688546194503E-4</v>
      </c>
      <c r="AS351">
        <v>4.3351807654112692E-3</v>
      </c>
      <c r="AT351">
        <v>4.6838994644119638E-3</v>
      </c>
      <c r="AU351">
        <v>1.9313616379286766E-3</v>
      </c>
      <c r="AV351">
        <v>2.3085707869493488E-3</v>
      </c>
      <c r="AW351">
        <v>3.5265098459824618E-3</v>
      </c>
      <c r="AX351">
        <v>4.6548143101199368E-4</v>
      </c>
      <c r="AY351">
        <v>5.6322609004599844E-4</v>
      </c>
      <c r="BB351">
        <v>5.5071264897672112E-2</v>
      </c>
      <c r="BC351">
        <v>1.9063054258958254E-2</v>
      </c>
      <c r="BE351">
        <v>70747.676824182709</v>
      </c>
      <c r="BF351">
        <v>15.929497125527194</v>
      </c>
      <c r="BG351">
        <v>72997.175903900599</v>
      </c>
      <c r="BH351">
        <v>15.7342410603333</v>
      </c>
      <c r="BI351">
        <v>-2249.4990797178907</v>
      </c>
      <c r="BJ351">
        <v>0.19525606519389349</v>
      </c>
    </row>
    <row r="352" spans="3:62" x14ac:dyDescent="0.2">
      <c r="C352" s="121">
        <v>70619.21360654739</v>
      </c>
      <c r="D352" s="121">
        <v>17.863164079242356</v>
      </c>
      <c r="E352" s="121">
        <v>72409.831203594527</v>
      </c>
      <c r="F352" s="121">
        <v>17.743911023488735</v>
      </c>
      <c r="G352" s="121">
        <v>-1790.6175970471377</v>
      </c>
      <c r="H352" s="121">
        <v>0.11925305575362088</v>
      </c>
      <c r="N352" s="121"/>
      <c r="O352" s="121"/>
      <c r="P352" s="121"/>
      <c r="R352">
        <v>182.31764830500205</v>
      </c>
      <c r="S352">
        <v>56.799339270744234</v>
      </c>
      <c r="T352">
        <v>250.33602916257601</v>
      </c>
      <c r="U352">
        <v>84.50555381527839</v>
      </c>
      <c r="X352">
        <v>0.44454693173978616</v>
      </c>
      <c r="Y352">
        <v>0.57033143986006452</v>
      </c>
      <c r="Z352">
        <v>0.82744253341726781</v>
      </c>
      <c r="AA352">
        <v>0.94414672370181529</v>
      </c>
      <c r="AB352">
        <v>0.74618747404793218</v>
      </c>
      <c r="AC352">
        <v>0.90479122755602104</v>
      </c>
      <c r="AD352">
        <v>0.76153506796603243</v>
      </c>
      <c r="AE352">
        <v>0.70123096606435786</v>
      </c>
      <c r="AH352">
        <v>6.829756830186029E-2</v>
      </c>
      <c r="AI352">
        <v>0.11769937219526594</v>
      </c>
      <c r="AJ352">
        <v>0.35485444213781903</v>
      </c>
      <c r="AK352">
        <v>0.11109664563214161</v>
      </c>
      <c r="AL352">
        <v>5.5978186939876218E-2</v>
      </c>
      <c r="AM352">
        <v>7.1265517221282382E-2</v>
      </c>
      <c r="AN352">
        <v>0.11235601907277859</v>
      </c>
      <c r="AO352">
        <v>0.16558072487778863</v>
      </c>
      <c r="AR352">
        <v>6.1738313047810076E-4</v>
      </c>
      <c r="AS352">
        <v>4.5680864152468637E-3</v>
      </c>
      <c r="AT352">
        <v>4.9406137332654509E-3</v>
      </c>
      <c r="AU352">
        <v>1.949588265795594E-3</v>
      </c>
      <c r="AV352">
        <v>2.0915961502965263E-3</v>
      </c>
      <c r="AW352">
        <v>3.4049537237730229E-3</v>
      </c>
      <c r="AX352">
        <v>4.8980045743463041E-4</v>
      </c>
      <c r="AY352">
        <v>4.4792317376163293E-4</v>
      </c>
      <c r="BB352">
        <v>5.2333503646696977E-2</v>
      </c>
      <c r="BC352">
        <v>5.5639994766381262E-2</v>
      </c>
      <c r="BE352">
        <v>70619.21360654739</v>
      </c>
      <c r="BF352">
        <v>17.863164079242356</v>
      </c>
      <c r="BG352">
        <v>72409.831203594527</v>
      </c>
      <c r="BH352">
        <v>17.743911023488735</v>
      </c>
      <c r="BI352">
        <v>-1790.6175970471377</v>
      </c>
      <c r="BJ352">
        <v>0.11925305575362088</v>
      </c>
    </row>
    <row r="353" spans="3:62" x14ac:dyDescent="0.2">
      <c r="C353" s="121">
        <v>64380.527128995673</v>
      </c>
      <c r="D353" s="121">
        <v>17.242986789071075</v>
      </c>
      <c r="E353" s="121">
        <v>66213.720061167842</v>
      </c>
      <c r="F353" s="121">
        <v>17.116930802225223</v>
      </c>
      <c r="G353" s="121">
        <v>-1833.1929321721691</v>
      </c>
      <c r="H353" s="121">
        <v>0.12605598684585217</v>
      </c>
      <c r="N353" s="121"/>
      <c r="O353" s="121"/>
      <c r="P353" s="121"/>
      <c r="R353">
        <v>63.580212248215844</v>
      </c>
      <c r="S353">
        <v>66.533943628317246</v>
      </c>
      <c r="T353">
        <v>228.76322248633113</v>
      </c>
      <c r="U353">
        <v>98.637059938998647</v>
      </c>
      <c r="X353">
        <v>0.90516077635665693</v>
      </c>
      <c r="Y353">
        <v>0.52383238494840634</v>
      </c>
      <c r="Z353">
        <v>0.78239282678327338</v>
      </c>
      <c r="AA353">
        <v>0.84222605065966316</v>
      </c>
      <c r="AB353">
        <v>0.70712283573731194</v>
      </c>
      <c r="AC353">
        <v>0.67277197642334519</v>
      </c>
      <c r="AD353">
        <v>0.92524700589096565</v>
      </c>
      <c r="AE353">
        <v>0.77508270119529321</v>
      </c>
      <c r="AH353">
        <v>0.36543256583056749</v>
      </c>
      <c r="AI353">
        <v>2.6781807382701528E-2</v>
      </c>
      <c r="AJ353">
        <v>5.8194627094391604E-2</v>
      </c>
      <c r="AK353">
        <v>0.14801272847616087</v>
      </c>
      <c r="AL353">
        <v>0.15565521001542937</v>
      </c>
      <c r="AM353">
        <v>0.11335423719502391</v>
      </c>
      <c r="AN353">
        <v>0.2214359930813049</v>
      </c>
      <c r="AO353">
        <v>7.5847606876620954E-2</v>
      </c>
      <c r="AR353">
        <v>8.7540671812316078E-4</v>
      </c>
      <c r="AS353">
        <v>4.270882040050228E-3</v>
      </c>
      <c r="AT353">
        <v>4.8176877802785642E-3</v>
      </c>
      <c r="AU353">
        <v>2.1190525025448492E-3</v>
      </c>
      <c r="AV353">
        <v>1.927788576950893E-3</v>
      </c>
      <c r="AW353">
        <v>3.3399031011650667E-3</v>
      </c>
      <c r="AX353">
        <v>4.6835997578020816E-4</v>
      </c>
      <c r="AY353">
        <v>4.1082911855134499E-4</v>
      </c>
      <c r="BB353">
        <v>4.6919901919183264E-2</v>
      </c>
      <c r="BC353">
        <v>3.7481947587593718E-2</v>
      </c>
      <c r="BE353">
        <v>64380.527128995673</v>
      </c>
      <c r="BF353">
        <v>17.242986789071075</v>
      </c>
      <c r="BG353">
        <v>66213.720061167842</v>
      </c>
      <c r="BH353">
        <v>17.116930802225223</v>
      </c>
      <c r="BI353">
        <v>-1833.1929321721691</v>
      </c>
      <c r="BJ353">
        <v>0.12605598684585217</v>
      </c>
    </row>
    <row r="354" spans="3:62" x14ac:dyDescent="0.2">
      <c r="C354" s="121">
        <v>63794.918194363818</v>
      </c>
      <c r="D354" s="121">
        <v>15.743364697418444</v>
      </c>
      <c r="E354" s="121">
        <v>65242.601016479399</v>
      </c>
      <c r="F354" s="121">
        <v>15.636258782084088</v>
      </c>
      <c r="G354" s="121">
        <v>-1447.6828221155811</v>
      </c>
      <c r="H354" s="121">
        <v>0.10710591533435654</v>
      </c>
      <c r="N354" s="121"/>
      <c r="O354" s="121"/>
      <c r="P354" s="121"/>
      <c r="R354">
        <v>305.64389157297114</v>
      </c>
      <c r="S354">
        <v>61.203911034456532</v>
      </c>
      <c r="T354">
        <v>248.08342082609002</v>
      </c>
      <c r="U354">
        <v>101.26555750423643</v>
      </c>
      <c r="X354">
        <v>0.74034347476683049</v>
      </c>
      <c r="Y354">
        <v>0.59749565057886245</v>
      </c>
      <c r="Z354">
        <v>0.33325777591476508</v>
      </c>
      <c r="AA354">
        <v>0.50459529009808091</v>
      </c>
      <c r="AB354">
        <v>0.91353513325014979</v>
      </c>
      <c r="AC354">
        <v>0.79369461941909747</v>
      </c>
      <c r="AD354">
        <v>0.88717685569961979</v>
      </c>
      <c r="AE354">
        <v>0.88660623818254769</v>
      </c>
      <c r="AH354">
        <v>4.9838790397067623E-2</v>
      </c>
      <c r="AI354">
        <v>3.1786821447315372E-2</v>
      </c>
      <c r="AJ354">
        <v>2.6267292800577824E-2</v>
      </c>
      <c r="AK354">
        <v>0.11570634660238044</v>
      </c>
      <c r="AL354">
        <v>0.38896167377724877</v>
      </c>
      <c r="AM354">
        <v>1.9823915156232719E-2</v>
      </c>
      <c r="AN354">
        <v>8.8712675469732272E-2</v>
      </c>
      <c r="AO354">
        <v>2.8729533046353506E-2</v>
      </c>
      <c r="AR354">
        <v>8.1096682920826443E-4</v>
      </c>
      <c r="AS354">
        <v>4.789057810186792E-3</v>
      </c>
      <c r="AT354">
        <v>4.8927438487114316E-3</v>
      </c>
      <c r="AU354">
        <v>1.8028518500130975E-3</v>
      </c>
      <c r="AV354">
        <v>1.9629435140738694E-3</v>
      </c>
      <c r="AW354">
        <v>3.7464358906779127E-3</v>
      </c>
      <c r="AX354">
        <v>4.7968690032806904E-4</v>
      </c>
      <c r="AY354">
        <v>4.7110826081231405E-4</v>
      </c>
      <c r="BB354">
        <v>4.6414004979619429E-2</v>
      </c>
      <c r="BC354">
        <v>4.5129521430980812E-2</v>
      </c>
      <c r="BE354">
        <v>63794.918194363818</v>
      </c>
      <c r="BF354">
        <v>15.743364697418444</v>
      </c>
      <c r="BG354">
        <v>65242.601016479399</v>
      </c>
      <c r="BH354">
        <v>15.636258782084088</v>
      </c>
      <c r="BI354">
        <v>-1447.6828221155811</v>
      </c>
      <c r="BJ354">
        <v>0.10710591533435654</v>
      </c>
    </row>
    <row r="355" spans="3:62" x14ac:dyDescent="0.2">
      <c r="C355" s="121">
        <v>73653.327190727126</v>
      </c>
      <c r="D355" s="121">
        <v>16.648655137177492</v>
      </c>
      <c r="E355" s="121">
        <v>74777.05959169603</v>
      </c>
      <c r="F355" s="121">
        <v>16.562812362696295</v>
      </c>
      <c r="G355" s="121">
        <v>-1123.7324009689037</v>
      </c>
      <c r="H355" s="121">
        <v>8.5842774481196926E-2</v>
      </c>
      <c r="N355" s="121"/>
      <c r="O355" s="121"/>
      <c r="P355" s="121"/>
      <c r="R355">
        <v>158.97582341094275</v>
      </c>
      <c r="S355">
        <v>70.469810696062822</v>
      </c>
      <c r="T355">
        <v>280.49379659561259</v>
      </c>
      <c r="U355">
        <v>84.587402171035507</v>
      </c>
      <c r="X355">
        <v>0.67270074868958873</v>
      </c>
      <c r="Y355">
        <v>0.58386416220455806</v>
      </c>
      <c r="Z355">
        <v>0.77167123601788612</v>
      </c>
      <c r="AA355">
        <v>0.76015786281758446</v>
      </c>
      <c r="AB355">
        <v>0.73070953820314855</v>
      </c>
      <c r="AC355">
        <v>0.64145564075357953</v>
      </c>
      <c r="AD355">
        <v>0.71621647019712065</v>
      </c>
      <c r="AE355">
        <v>0.84299928237624444</v>
      </c>
      <c r="AH355">
        <v>0.1633559820744297</v>
      </c>
      <c r="AI355">
        <v>5.9494506076268383E-2</v>
      </c>
      <c r="AJ355">
        <v>0.20442039788316957</v>
      </c>
      <c r="AK355">
        <v>0.12120275976892625</v>
      </c>
      <c r="AL355">
        <v>0.15071721985910436</v>
      </c>
      <c r="AM355">
        <v>4.6103163945915182E-2</v>
      </c>
      <c r="AN355">
        <v>0.26048481345760977</v>
      </c>
      <c r="AO355">
        <v>0.17103578948145082</v>
      </c>
      <c r="AR355">
        <v>9.0531601018795094E-4</v>
      </c>
      <c r="AS355">
        <v>4.8789943665310531E-3</v>
      </c>
      <c r="AT355">
        <v>4.9095299344360816E-3</v>
      </c>
      <c r="AU355">
        <v>2.1162495459700059E-3</v>
      </c>
      <c r="AV355">
        <v>1.9899615793292779E-3</v>
      </c>
      <c r="AW355">
        <v>3.7172904624507286E-3</v>
      </c>
      <c r="AX355">
        <v>3.0340236964810979E-4</v>
      </c>
      <c r="AY355">
        <v>5.5400676834183038E-4</v>
      </c>
      <c r="BB355">
        <v>4.4300651382602606E-2</v>
      </c>
      <c r="BC355">
        <v>2.3531011339345202E-2</v>
      </c>
      <c r="BE355">
        <v>73653.327190727126</v>
      </c>
      <c r="BF355">
        <v>16.648655137177492</v>
      </c>
      <c r="BG355">
        <v>74777.05959169603</v>
      </c>
      <c r="BH355">
        <v>16.562812362696295</v>
      </c>
      <c r="BI355">
        <v>-1123.7324009689037</v>
      </c>
      <c r="BJ355">
        <v>8.5842774481196926E-2</v>
      </c>
    </row>
    <row r="356" spans="3:62" x14ac:dyDescent="0.2">
      <c r="C356" s="121">
        <v>76815.528573340722</v>
      </c>
      <c r="D356" s="121">
        <v>16.804538465408054</v>
      </c>
      <c r="E356" s="121">
        <v>79070.143710984339</v>
      </c>
      <c r="F356" s="121">
        <v>16.62242247355125</v>
      </c>
      <c r="G356" s="121">
        <v>-2254.6151376436173</v>
      </c>
      <c r="H356" s="121">
        <v>0.18211599185680427</v>
      </c>
      <c r="N356" s="121"/>
      <c r="O356" s="121"/>
      <c r="P356" s="121"/>
      <c r="R356">
        <v>291.98202139298053</v>
      </c>
      <c r="S356">
        <v>55.528435491837506</v>
      </c>
      <c r="T356">
        <v>256.12994439555024</v>
      </c>
      <c r="U356">
        <v>111.98997757041325</v>
      </c>
      <c r="X356">
        <v>0.78167210351396577</v>
      </c>
      <c r="Y356">
        <v>0.8635159172044371</v>
      </c>
      <c r="Z356">
        <v>0.96671744077611044</v>
      </c>
      <c r="AA356">
        <v>0.80030961350426533</v>
      </c>
      <c r="AB356">
        <v>0.68610737601897465</v>
      </c>
      <c r="AC356">
        <v>0.74601463446220073</v>
      </c>
      <c r="AD356">
        <v>0.83585840005172407</v>
      </c>
      <c r="AE356">
        <v>0.82288654305591658</v>
      </c>
      <c r="AH356">
        <v>0.21206736285910888</v>
      </c>
      <c r="AI356">
        <v>9.7950522569829612E-2</v>
      </c>
      <c r="AJ356">
        <v>0.24083118886219701</v>
      </c>
      <c r="AK356">
        <v>9.3494605579107826E-2</v>
      </c>
      <c r="AL356">
        <v>0.1303235841931577</v>
      </c>
      <c r="AM356">
        <v>9.0985833374347402E-2</v>
      </c>
      <c r="AN356">
        <v>6.1850038920874262E-2</v>
      </c>
      <c r="AO356">
        <v>0.13165811598315702</v>
      </c>
      <c r="AR356">
        <v>1.0353974586241321E-3</v>
      </c>
      <c r="AS356">
        <v>4.6917666281972581E-3</v>
      </c>
      <c r="AT356">
        <v>4.7179970321493099E-3</v>
      </c>
      <c r="AU356">
        <v>1.9564987095217284E-3</v>
      </c>
      <c r="AV356">
        <v>2.3582554763796892E-3</v>
      </c>
      <c r="AW356">
        <v>3.6580848163162427E-3</v>
      </c>
      <c r="AX356">
        <v>3.6528940584087927E-4</v>
      </c>
      <c r="AY356">
        <v>5.2380312501076887E-4</v>
      </c>
      <c r="BB356">
        <v>5.3675004370873136E-2</v>
      </c>
      <c r="BC356">
        <v>3.4039658477571559E-2</v>
      </c>
      <c r="BE356">
        <v>76815.528573340722</v>
      </c>
      <c r="BF356">
        <v>16.804538465408054</v>
      </c>
      <c r="BG356">
        <v>79070.143710984339</v>
      </c>
      <c r="BH356">
        <v>16.62242247355125</v>
      </c>
      <c r="BI356">
        <v>-2254.6151376436173</v>
      </c>
      <c r="BJ356">
        <v>0.18211599185680427</v>
      </c>
    </row>
    <row r="357" spans="3:62" x14ac:dyDescent="0.2">
      <c r="C357" s="121">
        <v>73235.847072009739</v>
      </c>
      <c r="D357" s="121">
        <v>16.235313468017143</v>
      </c>
      <c r="E357" s="121">
        <v>75412.113893390429</v>
      </c>
      <c r="F357" s="121">
        <v>16.062447589702408</v>
      </c>
      <c r="G357" s="121">
        <v>-2176.2668213806901</v>
      </c>
      <c r="H357" s="121">
        <v>0.17286587831473454</v>
      </c>
      <c r="N357" s="121"/>
      <c r="O357" s="121"/>
      <c r="P357" s="121"/>
      <c r="R357">
        <v>218.67445702137493</v>
      </c>
      <c r="S357">
        <v>59.485345595320979</v>
      </c>
      <c r="T357">
        <v>249.96131400804452</v>
      </c>
      <c r="U357">
        <v>91.319803978017305</v>
      </c>
      <c r="X357">
        <v>0.70553405642085787</v>
      </c>
      <c r="Y357">
        <v>0.6834132557377316</v>
      </c>
      <c r="Z357">
        <v>0.7037586054171141</v>
      </c>
      <c r="AA357">
        <v>0.77377388652543244</v>
      </c>
      <c r="AB357">
        <v>0.54470718264580098</v>
      </c>
      <c r="AC357">
        <v>0.65839204137003904</v>
      </c>
      <c r="AD357">
        <v>0.78080270381135031</v>
      </c>
      <c r="AE357">
        <v>0.7697527336112675</v>
      </c>
      <c r="AH357">
        <v>0.15738314214564464</v>
      </c>
      <c r="AI357">
        <v>3.9086352819270309E-2</v>
      </c>
      <c r="AJ357">
        <v>0.20506521079367013</v>
      </c>
      <c r="AK357">
        <v>1.744344107296214E-2</v>
      </c>
      <c r="AL357">
        <v>0.21929430145174256</v>
      </c>
      <c r="AM357">
        <v>5.0804852230617259E-2</v>
      </c>
      <c r="AN357">
        <v>0.12728774225485195</v>
      </c>
      <c r="AO357">
        <v>7.4182525482043848E-2</v>
      </c>
      <c r="AR357">
        <v>8.4168781410922917E-4</v>
      </c>
      <c r="AS357">
        <v>4.4329886456876176E-3</v>
      </c>
      <c r="AT357">
        <v>4.8413026581435375E-3</v>
      </c>
      <c r="AU357">
        <v>1.9721317607555525E-3</v>
      </c>
      <c r="AV357">
        <v>1.9515357594962288E-3</v>
      </c>
      <c r="AW357">
        <v>3.4321386538511689E-3</v>
      </c>
      <c r="AX357">
        <v>3.0027505694141081E-4</v>
      </c>
      <c r="AY357">
        <v>4.4560707250376324E-4</v>
      </c>
      <c r="BB357">
        <v>6.440846981750481E-2</v>
      </c>
      <c r="BC357">
        <v>3.6649046943687702E-2</v>
      </c>
      <c r="BE357">
        <v>73235.847072009739</v>
      </c>
      <c r="BF357">
        <v>16.235313468017143</v>
      </c>
      <c r="BG357">
        <v>75412.113893390429</v>
      </c>
      <c r="BH357">
        <v>16.062447589702408</v>
      </c>
      <c r="BI357">
        <v>-2176.2668213806901</v>
      </c>
      <c r="BJ357">
        <v>0.17286587831473454</v>
      </c>
    </row>
    <row r="358" spans="3:62" x14ac:dyDescent="0.2">
      <c r="C358" s="121">
        <v>71755.230335011656</v>
      </c>
      <c r="D358" s="121">
        <v>16.67974421448428</v>
      </c>
      <c r="E358" s="121">
        <v>73589.318916449352</v>
      </c>
      <c r="F358" s="121">
        <v>16.627197789367592</v>
      </c>
      <c r="G358" s="121">
        <v>-1834.0885814376961</v>
      </c>
      <c r="H358" s="121">
        <v>5.2546425116688056E-2</v>
      </c>
      <c r="N358" s="121"/>
      <c r="O358" s="121"/>
      <c r="P358" s="121"/>
      <c r="R358">
        <v>228.06190153615461</v>
      </c>
      <c r="S358">
        <v>67.228111231698705</v>
      </c>
      <c r="T358">
        <v>253.83024405199933</v>
      </c>
      <c r="U358">
        <v>90.72167799898952</v>
      </c>
      <c r="X358">
        <v>0.70895912811043049</v>
      </c>
      <c r="Y358">
        <v>0.83900177063046211</v>
      </c>
      <c r="Z358">
        <v>0.96979767072679346</v>
      </c>
      <c r="AA358">
        <v>0.56030736537838111</v>
      </c>
      <c r="AB358">
        <v>0.91273245270460002</v>
      </c>
      <c r="AC358">
        <v>0.59308786012184234</v>
      </c>
      <c r="AD358">
        <v>0.85818560556534529</v>
      </c>
      <c r="AE358">
        <v>0.96277054629400705</v>
      </c>
      <c r="AH358">
        <v>0.4051750795258936</v>
      </c>
      <c r="AI358">
        <v>1.5181308786740844E-2</v>
      </c>
      <c r="AJ358">
        <v>0.42601263810525436</v>
      </c>
      <c r="AK358">
        <v>0.15873745287752283</v>
      </c>
      <c r="AL358">
        <v>4.9910407276206215E-2</v>
      </c>
      <c r="AM358">
        <v>0.20577468345211802</v>
      </c>
      <c r="AN358">
        <v>0.11311094854100856</v>
      </c>
      <c r="AO358">
        <v>0.26301172988125965</v>
      </c>
      <c r="AR358">
        <v>9.1684959286886247E-4</v>
      </c>
      <c r="AS358">
        <v>4.622594554139603E-3</v>
      </c>
      <c r="AT358">
        <v>5.1151557351046817E-3</v>
      </c>
      <c r="AU358">
        <v>2.1963419659336569E-3</v>
      </c>
      <c r="AV358">
        <v>2.110055640298536E-3</v>
      </c>
      <c r="AW358">
        <v>3.3130168262167814E-3</v>
      </c>
      <c r="AX358">
        <v>3.9353658057159421E-4</v>
      </c>
      <c r="AY358">
        <v>5.0291381479794506E-4</v>
      </c>
      <c r="BB358">
        <v>5.8167638574915914E-2</v>
      </c>
      <c r="BC358">
        <v>8.8260112373047872E-2</v>
      </c>
      <c r="BE358">
        <v>71755.230335011656</v>
      </c>
      <c r="BF358">
        <v>16.67974421448428</v>
      </c>
      <c r="BG358">
        <v>73589.318916449352</v>
      </c>
      <c r="BH358">
        <v>16.627197789367592</v>
      </c>
      <c r="BI358">
        <v>-1834.0885814376961</v>
      </c>
      <c r="BJ358">
        <v>5.2546425116688056E-2</v>
      </c>
    </row>
    <row r="359" spans="3:62" x14ac:dyDescent="0.2">
      <c r="C359" s="121">
        <v>62506.052448328963</v>
      </c>
      <c r="D359" s="121">
        <v>16.787694915484586</v>
      </c>
      <c r="E359" s="121">
        <v>63808.148799759038</v>
      </c>
      <c r="F359" s="121">
        <v>16.672783783277183</v>
      </c>
      <c r="G359" s="121">
        <v>-1302.0963514300747</v>
      </c>
      <c r="H359" s="121">
        <v>0.11491113220740345</v>
      </c>
      <c r="N359" s="121"/>
      <c r="O359" s="121"/>
      <c r="P359" s="121"/>
      <c r="R359">
        <v>239.47443345938336</v>
      </c>
      <c r="S359">
        <v>59.530386041852026</v>
      </c>
      <c r="T359">
        <v>266.5061995288973</v>
      </c>
      <c r="U359">
        <v>94.908819437782086</v>
      </c>
      <c r="X359">
        <v>0.61235275780096876</v>
      </c>
      <c r="Y359">
        <v>0.68845467435767294</v>
      </c>
      <c r="Z359">
        <v>0.89033222144588109</v>
      </c>
      <c r="AA359">
        <v>0.63382040103733628</v>
      </c>
      <c r="AB359">
        <v>0.72231869482671363</v>
      </c>
      <c r="AC359">
        <v>0.67866786887245856</v>
      </c>
      <c r="AD359">
        <v>0.94503689034597183</v>
      </c>
      <c r="AE359">
        <v>0.86189083409120204</v>
      </c>
      <c r="AH359">
        <v>0.10471736445883073</v>
      </c>
      <c r="AI359">
        <v>0.12558517717653783</v>
      </c>
      <c r="AJ359">
        <v>0.24383020085574059</v>
      </c>
      <c r="AK359">
        <v>6.3328271038446404E-3</v>
      </c>
      <c r="AL359">
        <v>0.13330324681823613</v>
      </c>
      <c r="AM359">
        <v>0.10295940357902444</v>
      </c>
      <c r="AN359">
        <v>8.9519716584472664E-2</v>
      </c>
      <c r="AO359">
        <v>0.32683103625158405</v>
      </c>
      <c r="AR359">
        <v>8.6111386412297006E-4</v>
      </c>
      <c r="AS359">
        <v>4.2779505397481515E-3</v>
      </c>
      <c r="AT359">
        <v>5.0713733505134417E-3</v>
      </c>
      <c r="AU359">
        <v>2.2784724276923018E-3</v>
      </c>
      <c r="AV359">
        <v>1.7629422692494669E-3</v>
      </c>
      <c r="AW359">
        <v>3.4478204503082255E-3</v>
      </c>
      <c r="AX359">
        <v>4.7804733863077153E-4</v>
      </c>
      <c r="AY359">
        <v>5.1429875581177065E-4</v>
      </c>
      <c r="BB359">
        <v>4.5748219124119617E-2</v>
      </c>
      <c r="BC359">
        <v>3.1527624977346201E-2</v>
      </c>
      <c r="BE359">
        <v>62506.052448328963</v>
      </c>
      <c r="BF359">
        <v>16.787694915484586</v>
      </c>
      <c r="BG359">
        <v>63808.148799759038</v>
      </c>
      <c r="BH359">
        <v>16.672783783277183</v>
      </c>
      <c r="BI359">
        <v>-1302.0963514300747</v>
      </c>
      <c r="BJ359">
        <v>0.11491113220740345</v>
      </c>
    </row>
    <row r="360" spans="3:62" x14ac:dyDescent="0.2">
      <c r="C360" s="121">
        <v>68165.445824115697</v>
      </c>
      <c r="D360" s="121">
        <v>16.070558420339101</v>
      </c>
      <c r="E360" s="121">
        <v>70598.254398981589</v>
      </c>
      <c r="F360" s="121">
        <v>15.917187725176468</v>
      </c>
      <c r="G360" s="121">
        <v>-2432.8085748658923</v>
      </c>
      <c r="H360" s="121">
        <v>0.15337069516263213</v>
      </c>
      <c r="N360" s="121"/>
      <c r="O360" s="121"/>
      <c r="P360" s="121"/>
      <c r="R360">
        <v>183.39622408252836</v>
      </c>
      <c r="S360">
        <v>64.788524664090176</v>
      </c>
      <c r="T360">
        <v>256.89396370738194</v>
      </c>
      <c r="U360">
        <v>97.147101396319215</v>
      </c>
      <c r="X360">
        <v>0.78536465732857319</v>
      </c>
      <c r="Y360">
        <v>0.87902765756225565</v>
      </c>
      <c r="Z360">
        <v>0.45043018690922559</v>
      </c>
      <c r="AA360">
        <v>0.76849290155577399</v>
      </c>
      <c r="AB360">
        <v>0.70453581697797341</v>
      </c>
      <c r="AC360">
        <v>0.66070593268801736</v>
      </c>
      <c r="AD360">
        <v>0.48587942192575917</v>
      </c>
      <c r="AE360">
        <v>0.87029140030766483</v>
      </c>
      <c r="AH360">
        <v>0.13313163208103129</v>
      </c>
      <c r="AI360">
        <v>7.6581594865143154E-2</v>
      </c>
      <c r="AJ360">
        <v>4.3888611991843463E-2</v>
      </c>
      <c r="AK360">
        <v>3.3791174446975547E-2</v>
      </c>
      <c r="AL360">
        <v>0.25385934046698189</v>
      </c>
      <c r="AM360">
        <v>0.1049604989650168</v>
      </c>
      <c r="AN360">
        <v>6.1375733516206177E-2</v>
      </c>
      <c r="AO360">
        <v>0.21804533533034831</v>
      </c>
      <c r="AR360">
        <v>8.4787931943616866E-4</v>
      </c>
      <c r="AS360">
        <v>4.994696395117848E-3</v>
      </c>
      <c r="AT360">
        <v>4.976472593286041E-3</v>
      </c>
      <c r="AU360">
        <v>1.8600861983692283E-3</v>
      </c>
      <c r="AV360">
        <v>2.0430414255145912E-3</v>
      </c>
      <c r="AW360">
        <v>3.4514081876918512E-3</v>
      </c>
      <c r="AX360">
        <v>3.4572865169228684E-4</v>
      </c>
      <c r="AY360">
        <v>3.4347046104754369E-4</v>
      </c>
      <c r="BB360">
        <v>5.2621323197917125E-2</v>
      </c>
      <c r="BC360">
        <v>6.8845183122872911E-2</v>
      </c>
      <c r="BE360">
        <v>68165.445824115697</v>
      </c>
      <c r="BF360">
        <v>16.070558420339101</v>
      </c>
      <c r="BG360">
        <v>70598.254398981589</v>
      </c>
      <c r="BH360">
        <v>15.917187725176468</v>
      </c>
      <c r="BI360">
        <v>-2432.8085748658923</v>
      </c>
      <c r="BJ360">
        <v>0.15337069516263213</v>
      </c>
    </row>
    <row r="361" spans="3:62" x14ac:dyDescent="0.2">
      <c r="C361" s="121">
        <v>69233.800981071763</v>
      </c>
      <c r="D361" s="121">
        <v>17.442353229090305</v>
      </c>
      <c r="E361" s="121">
        <v>71547.419519173593</v>
      </c>
      <c r="F361" s="121">
        <v>17.323964193236012</v>
      </c>
      <c r="G361" s="121">
        <v>-2313.6185381018295</v>
      </c>
      <c r="H361" s="121">
        <v>0.1183890358542925</v>
      </c>
      <c r="N361" s="121"/>
      <c r="O361" s="121"/>
      <c r="P361" s="121"/>
      <c r="R361">
        <v>189.34172080946308</v>
      </c>
      <c r="S361">
        <v>71.791167401922394</v>
      </c>
      <c r="T361">
        <v>234.71572062283681</v>
      </c>
      <c r="U361">
        <v>88.210963819500691</v>
      </c>
      <c r="X361">
        <v>0.75879347213594361</v>
      </c>
      <c r="Y361">
        <v>0.7909399009928596</v>
      </c>
      <c r="Z361">
        <v>0.71777303922345337</v>
      </c>
      <c r="AA361">
        <v>0.80855329371409101</v>
      </c>
      <c r="AB361">
        <v>0.74378735519170946</v>
      </c>
      <c r="AC361">
        <v>0.73357501315017193</v>
      </c>
      <c r="AD361">
        <v>0.76967928324267387</v>
      </c>
      <c r="AE361">
        <v>0.92151716476982903</v>
      </c>
      <c r="AH361">
        <v>7.2234682403907735E-3</v>
      </c>
      <c r="AI361">
        <v>2.9835309492441175E-2</v>
      </c>
      <c r="AJ361">
        <v>4.5210417153060511E-2</v>
      </c>
      <c r="AK361">
        <v>7.301508538300483E-2</v>
      </c>
      <c r="AL361">
        <v>0.24056081878745761</v>
      </c>
      <c r="AM361">
        <v>9.9353013814605706E-2</v>
      </c>
      <c r="AN361">
        <v>4.3560348931647397E-2</v>
      </c>
      <c r="AO361">
        <v>0.14814126581766829</v>
      </c>
      <c r="AR361">
        <v>9.0668188799314375E-4</v>
      </c>
      <c r="AS361">
        <v>4.6336795991412938E-3</v>
      </c>
      <c r="AT361">
        <v>5.1171584645716139E-3</v>
      </c>
      <c r="AU361">
        <v>1.7849710452100835E-3</v>
      </c>
      <c r="AV361">
        <v>2.043954533692105E-3</v>
      </c>
      <c r="AW361">
        <v>3.4105270427653434E-3</v>
      </c>
      <c r="AX361">
        <v>4.2023201007901356E-4</v>
      </c>
      <c r="AY361">
        <v>4.50898060705196E-4</v>
      </c>
      <c r="BB361">
        <v>5.0365191008140964E-2</v>
      </c>
      <c r="BC361">
        <v>2.1424452956499477E-2</v>
      </c>
      <c r="BE361">
        <v>69233.800981071763</v>
      </c>
      <c r="BF361">
        <v>17.442353229090305</v>
      </c>
      <c r="BG361">
        <v>71547.419519173593</v>
      </c>
      <c r="BH361">
        <v>17.323964193236012</v>
      </c>
      <c r="BI361">
        <v>-2313.6185381018295</v>
      </c>
      <c r="BJ361">
        <v>0.1183890358542925</v>
      </c>
    </row>
    <row r="362" spans="3:62" x14ac:dyDescent="0.2">
      <c r="C362" s="121">
        <v>74189.216867141105</v>
      </c>
      <c r="D362" s="121">
        <v>15.785538667199107</v>
      </c>
      <c r="E362" s="121">
        <v>75631.906355579209</v>
      </c>
      <c r="F362" s="121">
        <v>15.633469509048231</v>
      </c>
      <c r="G362" s="121">
        <v>-1442.6894884381036</v>
      </c>
      <c r="H362" s="121">
        <v>0.1520691581508764</v>
      </c>
      <c r="N362" s="121"/>
      <c r="O362" s="121"/>
      <c r="P362" s="121"/>
      <c r="R362">
        <v>278.21574746034941</v>
      </c>
      <c r="S362">
        <v>54.241820397306405</v>
      </c>
      <c r="T362">
        <v>232.58067855855091</v>
      </c>
      <c r="U362">
        <v>107.4633276142652</v>
      </c>
      <c r="X362">
        <v>0.89127969394830742</v>
      </c>
      <c r="Y362">
        <v>0.97873049142974677</v>
      </c>
      <c r="Z362">
        <v>0.73091960537689138</v>
      </c>
      <c r="AA362">
        <v>0.64089249956515892</v>
      </c>
      <c r="AB362">
        <v>0.44440730892385316</v>
      </c>
      <c r="AC362">
        <v>0.77949655410268981</v>
      </c>
      <c r="AD362">
        <v>0.62218176355900878</v>
      </c>
      <c r="AE362">
        <v>0.80031227875672561</v>
      </c>
      <c r="AH362">
        <v>7.9652521614061889E-2</v>
      </c>
      <c r="AI362">
        <v>0.1026026388005048</v>
      </c>
      <c r="AJ362">
        <v>2.9312489965452659E-2</v>
      </c>
      <c r="AK362">
        <v>0.16134497254959101</v>
      </c>
      <c r="AL362">
        <v>3.6165809438205354E-2</v>
      </c>
      <c r="AM362">
        <v>0.35020015827974138</v>
      </c>
      <c r="AN362">
        <v>0.12488644710891239</v>
      </c>
      <c r="AO362">
        <v>8.2008328986654E-2</v>
      </c>
      <c r="AR362">
        <v>8.6777147500882387E-4</v>
      </c>
      <c r="AS362">
        <v>4.2004034714744299E-3</v>
      </c>
      <c r="AT362">
        <v>4.7817453064410266E-3</v>
      </c>
      <c r="AU362">
        <v>2.021626342370797E-3</v>
      </c>
      <c r="AV362">
        <v>1.9067422095396301E-3</v>
      </c>
      <c r="AW362">
        <v>3.3954202928525618E-3</v>
      </c>
      <c r="AX362">
        <v>3.3581021349622111E-4</v>
      </c>
      <c r="AY362">
        <v>4.2784308828197252E-4</v>
      </c>
      <c r="BB362">
        <v>4.3735053435538261E-2</v>
      </c>
      <c r="BC362">
        <v>7.5631198136470679E-2</v>
      </c>
      <c r="BE362">
        <v>74189.216867141105</v>
      </c>
      <c r="BF362">
        <v>15.785538667199107</v>
      </c>
      <c r="BG362">
        <v>75631.906355579209</v>
      </c>
      <c r="BH362">
        <v>15.633469509048231</v>
      </c>
      <c r="BI362">
        <v>-1442.6894884381036</v>
      </c>
      <c r="BJ362">
        <v>0.1520691581508764</v>
      </c>
    </row>
    <row r="363" spans="3:62" x14ac:dyDescent="0.2">
      <c r="C363" s="121">
        <v>65021.16283440464</v>
      </c>
      <c r="D363" s="121">
        <v>15.627198011370359</v>
      </c>
      <c r="E363" s="121">
        <v>66674.363400281276</v>
      </c>
      <c r="F363" s="121">
        <v>15.483827840749118</v>
      </c>
      <c r="G363" s="121">
        <v>-1653.2005658766357</v>
      </c>
      <c r="H363" s="121">
        <v>0.14337017062124069</v>
      </c>
      <c r="N363" s="121"/>
      <c r="O363" s="121"/>
      <c r="P363" s="121"/>
      <c r="R363">
        <v>219.09012674902999</v>
      </c>
      <c r="S363">
        <v>76.012104186554623</v>
      </c>
      <c r="T363">
        <v>258.98944164688254</v>
      </c>
      <c r="U363">
        <v>93.56161366649502</v>
      </c>
      <c r="X363">
        <v>0.62976037932686135</v>
      </c>
      <c r="Y363">
        <v>0.70869628688227515</v>
      </c>
      <c r="Z363">
        <v>0.82556473060358382</v>
      </c>
      <c r="AA363">
        <v>0.87178124787919031</v>
      </c>
      <c r="AB363">
        <v>0.78470725792517337</v>
      </c>
      <c r="AC363">
        <v>0.73168344883256731</v>
      </c>
      <c r="AD363">
        <v>0.84305618815063554</v>
      </c>
      <c r="AE363">
        <v>0.88874624257585377</v>
      </c>
      <c r="AH363">
        <v>7.2391466712905972E-2</v>
      </c>
      <c r="AI363">
        <v>3.717392801088848E-2</v>
      </c>
      <c r="AJ363">
        <v>0.10978466845199586</v>
      </c>
      <c r="AK363">
        <v>7.0042919221009581E-2</v>
      </c>
      <c r="AL363">
        <v>4.4904267925864216E-2</v>
      </c>
      <c r="AM363">
        <v>8.5793186797976317E-2</v>
      </c>
      <c r="AN363">
        <v>0.13393366467679257</v>
      </c>
      <c r="AO363">
        <v>8.6843697392256169E-2</v>
      </c>
      <c r="AR363">
        <v>8.5366201462542927E-4</v>
      </c>
      <c r="AS363">
        <v>4.6122419128070691E-3</v>
      </c>
      <c r="AT363">
        <v>4.797492913412511E-3</v>
      </c>
      <c r="AU363">
        <v>2.0141413029467481E-3</v>
      </c>
      <c r="AV363">
        <v>1.8383130196967931E-3</v>
      </c>
      <c r="AW363">
        <v>3.4391704254084221E-3</v>
      </c>
      <c r="AX363">
        <v>4.4100399842561533E-4</v>
      </c>
      <c r="AY363">
        <v>4.459319987102034E-4</v>
      </c>
      <c r="BB363">
        <v>4.7832244411619193E-2</v>
      </c>
      <c r="BC363">
        <v>3.4390581475743254E-2</v>
      </c>
      <c r="BE363">
        <v>65021.16283440464</v>
      </c>
      <c r="BF363">
        <v>15.627198011370359</v>
      </c>
      <c r="BG363">
        <v>66674.363400281276</v>
      </c>
      <c r="BH363">
        <v>15.483827840749118</v>
      </c>
      <c r="BI363">
        <v>-1653.2005658766357</v>
      </c>
      <c r="BJ363">
        <v>0.14337017062124069</v>
      </c>
    </row>
    <row r="364" spans="3:62" x14ac:dyDescent="0.2">
      <c r="C364" s="121">
        <v>75188.077303715443</v>
      </c>
      <c r="D364" s="121">
        <v>16.073519412696236</v>
      </c>
      <c r="E364" s="121">
        <v>77266.02612969224</v>
      </c>
      <c r="F364" s="121">
        <v>15.953992517689404</v>
      </c>
      <c r="G364" s="121">
        <v>-2077.9488259767968</v>
      </c>
      <c r="H364" s="121">
        <v>0.11952689500683178</v>
      </c>
      <c r="N364" s="121"/>
      <c r="O364" s="121"/>
      <c r="P364" s="121"/>
      <c r="R364">
        <v>390.75578551505623</v>
      </c>
      <c r="S364">
        <v>57.791249708658682</v>
      </c>
      <c r="T364">
        <v>332.66323909576704</v>
      </c>
      <c r="U364">
        <v>102.29758028818878</v>
      </c>
      <c r="X364">
        <v>0.84912421649482361</v>
      </c>
      <c r="Y364">
        <v>0.77086261815183654</v>
      </c>
      <c r="Z364">
        <v>0.88256198817001397</v>
      </c>
      <c r="AA364">
        <v>0.81598992757686239</v>
      </c>
      <c r="AB364">
        <v>0.95623145150976563</v>
      </c>
      <c r="AC364">
        <v>0.87052824264731865</v>
      </c>
      <c r="AD364">
        <v>0.73638109952499076</v>
      </c>
      <c r="AE364">
        <v>0.59006044458250373</v>
      </c>
      <c r="AH364">
        <v>0.12061339673331972</v>
      </c>
      <c r="AI364">
        <v>0.16352048072656233</v>
      </c>
      <c r="AJ364">
        <v>9.5470774345855158E-2</v>
      </c>
      <c r="AK364">
        <v>6.410893657989547E-2</v>
      </c>
      <c r="AL364">
        <v>6.4666926076074382E-2</v>
      </c>
      <c r="AM364">
        <v>8.9216386921714852E-2</v>
      </c>
      <c r="AN364">
        <v>4.2596583402543242E-2</v>
      </c>
      <c r="AO364">
        <v>0.10483790256494818</v>
      </c>
      <c r="AR364">
        <v>8.084375062480017E-4</v>
      </c>
      <c r="AS364">
        <v>4.607318507928615E-3</v>
      </c>
      <c r="AT364">
        <v>4.6743901558460822E-3</v>
      </c>
      <c r="AU364">
        <v>2.1297693097197534E-3</v>
      </c>
      <c r="AV364">
        <v>1.8895992460202268E-3</v>
      </c>
      <c r="AW364">
        <v>3.6643816959589515E-3</v>
      </c>
      <c r="AX364">
        <v>5.0003848922575145E-4</v>
      </c>
      <c r="AY364">
        <v>3.4779844827151514E-4</v>
      </c>
      <c r="BB364">
        <v>6.002791244875505E-2</v>
      </c>
      <c r="BC364">
        <v>5.2554376844949569E-2</v>
      </c>
      <c r="BE364">
        <v>75188.077303715443</v>
      </c>
      <c r="BF364">
        <v>16.073519412696236</v>
      </c>
      <c r="BG364">
        <v>77266.02612969224</v>
      </c>
      <c r="BH364">
        <v>15.953992517689404</v>
      </c>
      <c r="BI364">
        <v>-2077.9488259767968</v>
      </c>
      <c r="BJ364">
        <v>0.11952689500683178</v>
      </c>
    </row>
    <row r="365" spans="3:62" x14ac:dyDescent="0.2">
      <c r="C365" s="121">
        <v>65720.106997396753</v>
      </c>
      <c r="D365" s="121">
        <v>17.668626076682202</v>
      </c>
      <c r="E365" s="121">
        <v>68049.581108566083</v>
      </c>
      <c r="F365" s="121">
        <v>17.499400168465577</v>
      </c>
      <c r="G365" s="121">
        <v>-2329.4741111693293</v>
      </c>
      <c r="H365" s="121">
        <v>0.16922590821662453</v>
      </c>
      <c r="N365" s="121"/>
      <c r="O365" s="121"/>
      <c r="P365" s="121"/>
      <c r="R365">
        <v>87.264106405702307</v>
      </c>
      <c r="S365">
        <v>64.561761145898458</v>
      </c>
      <c r="T365">
        <v>200.80017504395738</v>
      </c>
      <c r="U365">
        <v>106.21562578140201</v>
      </c>
      <c r="X365">
        <v>0.81061936126566625</v>
      </c>
      <c r="Y365">
        <v>0.79905394961831455</v>
      </c>
      <c r="Z365">
        <v>0.86402876039514809</v>
      </c>
      <c r="AA365">
        <v>0.87482324078232598</v>
      </c>
      <c r="AB365">
        <v>0.92180952465890198</v>
      </c>
      <c r="AC365">
        <v>0.78996105001756634</v>
      </c>
      <c r="AD365">
        <v>0.30197401077601488</v>
      </c>
      <c r="AE365">
        <v>0.81624061603170217</v>
      </c>
      <c r="AH365">
        <v>1.8026532615935897E-2</v>
      </c>
      <c r="AI365">
        <v>3.6017500461269059E-2</v>
      </c>
      <c r="AJ365">
        <v>0.14419669828639514</v>
      </c>
      <c r="AK365">
        <v>1.0601532093982291E-2</v>
      </c>
      <c r="AL365">
        <v>0.14473608028912155</v>
      </c>
      <c r="AM365">
        <v>0.15772474644612056</v>
      </c>
      <c r="AN365">
        <v>0.18192784030381248</v>
      </c>
      <c r="AO365">
        <v>0.43178990463561062</v>
      </c>
      <c r="AR365">
        <v>1.0271139743566193E-3</v>
      </c>
      <c r="AS365">
        <v>4.509406938756122E-3</v>
      </c>
      <c r="AT365">
        <v>4.732660285083806E-3</v>
      </c>
      <c r="AU365">
        <v>2.1249233995771499E-3</v>
      </c>
      <c r="AV365">
        <v>1.9947782626735951E-3</v>
      </c>
      <c r="AW365">
        <v>3.1672125074355957E-3</v>
      </c>
      <c r="AX365">
        <v>4.1462684260751281E-4</v>
      </c>
      <c r="AY365">
        <v>3.692990235821239E-4</v>
      </c>
      <c r="BB365">
        <v>4.8219089293904546E-2</v>
      </c>
      <c r="BC365">
        <v>6.7639037059395446E-2</v>
      </c>
      <c r="BE365">
        <v>65720.106997396753</v>
      </c>
      <c r="BF365">
        <v>17.668626076682202</v>
      </c>
      <c r="BG365">
        <v>68049.581108566083</v>
      </c>
      <c r="BH365">
        <v>17.499400168465577</v>
      </c>
      <c r="BI365">
        <v>-2329.4741111693293</v>
      </c>
      <c r="BJ365">
        <v>0.16922590821662453</v>
      </c>
    </row>
    <row r="366" spans="3:62" x14ac:dyDescent="0.2">
      <c r="C366" s="121">
        <v>65600.459901962429</v>
      </c>
      <c r="D366" s="121">
        <v>15.330904319315104</v>
      </c>
      <c r="E366" s="121">
        <v>68047.538649224603</v>
      </c>
      <c r="F366" s="121">
        <v>15.228466926780722</v>
      </c>
      <c r="G366" s="121">
        <v>-2447.0787472621741</v>
      </c>
      <c r="H366" s="121">
        <v>0.102437392534382</v>
      </c>
      <c r="N366" s="121"/>
      <c r="O366" s="121"/>
      <c r="P366" s="121"/>
      <c r="R366">
        <v>291.90479383941408</v>
      </c>
      <c r="S366">
        <v>58.767291888219084</v>
      </c>
      <c r="T366">
        <v>228.44001101917033</v>
      </c>
      <c r="U366">
        <v>120.96570066083019</v>
      </c>
      <c r="X366">
        <v>0.94442968416108419</v>
      </c>
      <c r="Y366">
        <v>0.66818405402247749</v>
      </c>
      <c r="Z366">
        <v>0.57124223785305261</v>
      </c>
      <c r="AA366">
        <v>0.70366050372599187</v>
      </c>
      <c r="AB366">
        <v>0.60401607816696334</v>
      </c>
      <c r="AC366">
        <v>0.66811820510238706</v>
      </c>
      <c r="AD366">
        <v>0.47974432350090818</v>
      </c>
      <c r="AE366">
        <v>0.76052559432732969</v>
      </c>
      <c r="AH366">
        <v>0.17615559324914065</v>
      </c>
      <c r="AI366">
        <v>0.1693798818483514</v>
      </c>
      <c r="AJ366">
        <v>0.10793881965692664</v>
      </c>
      <c r="AK366">
        <v>2.3310366559938012E-2</v>
      </c>
      <c r="AL366">
        <v>6.353717912359369E-2</v>
      </c>
      <c r="AM366">
        <v>0.11017306344774291</v>
      </c>
      <c r="AN366">
        <v>6.1678548359372587E-2</v>
      </c>
      <c r="AO366">
        <v>0.23394005749068936</v>
      </c>
      <c r="AR366">
        <v>8.1916903445135585E-4</v>
      </c>
      <c r="AS366">
        <v>4.5082164106124978E-3</v>
      </c>
      <c r="AT366">
        <v>5.0723557995008273E-3</v>
      </c>
      <c r="AU366">
        <v>1.9884203715525317E-3</v>
      </c>
      <c r="AV366">
        <v>2.1765866989759131E-3</v>
      </c>
      <c r="AW366">
        <v>3.1438117535778436E-3</v>
      </c>
      <c r="AX366">
        <v>4.3761765006322673E-4</v>
      </c>
      <c r="AY366">
        <v>4.3357062364594618E-4</v>
      </c>
      <c r="BB366">
        <v>4.5534509253758855E-2</v>
      </c>
      <c r="BC366">
        <v>1.7296044234160767E-2</v>
      </c>
      <c r="BE366">
        <v>65600.459901962429</v>
      </c>
      <c r="BF366">
        <v>15.330904319315104</v>
      </c>
      <c r="BG366">
        <v>68047.538649224603</v>
      </c>
      <c r="BH366">
        <v>15.228466926780722</v>
      </c>
      <c r="BI366">
        <v>-2447.0787472621741</v>
      </c>
      <c r="BJ366">
        <v>0.102437392534382</v>
      </c>
    </row>
    <row r="367" spans="3:62" x14ac:dyDescent="0.2">
      <c r="C367" s="121">
        <v>65845.213868339328</v>
      </c>
      <c r="D367" s="121">
        <v>18.135690797508921</v>
      </c>
      <c r="E367" s="121">
        <v>67168.573136820327</v>
      </c>
      <c r="F367" s="121">
        <v>18.032513276611805</v>
      </c>
      <c r="G367" s="121">
        <v>-1323.3592684809992</v>
      </c>
      <c r="H367" s="121">
        <v>0.10317752089711618</v>
      </c>
      <c r="N367" s="121"/>
      <c r="O367" s="121"/>
      <c r="P367" s="121"/>
      <c r="R367">
        <v>401.0961518675266</v>
      </c>
      <c r="S367">
        <v>59.061307996362565</v>
      </c>
      <c r="T367">
        <v>249.34620108577201</v>
      </c>
      <c r="U367">
        <v>116.25779220000612</v>
      </c>
      <c r="X367">
        <v>0.97170060246115364</v>
      </c>
      <c r="Y367">
        <v>0.53450097594936252</v>
      </c>
      <c r="Z367">
        <v>0.69579910217280549</v>
      </c>
      <c r="AA367">
        <v>0.7621672609209631</v>
      </c>
      <c r="AB367">
        <v>0.70608248595196388</v>
      </c>
      <c r="AC367">
        <v>0.72244584881006213</v>
      </c>
      <c r="AD367">
        <v>0.71767117636655875</v>
      </c>
      <c r="AE367">
        <v>0.8523106799844592</v>
      </c>
      <c r="AH367">
        <v>7.0040333224294593E-2</v>
      </c>
      <c r="AI367">
        <v>5.3706875321074543E-2</v>
      </c>
      <c r="AJ367">
        <v>0.11858201298280258</v>
      </c>
      <c r="AK367">
        <v>0.13665414118494756</v>
      </c>
      <c r="AL367">
        <v>5.2727888323463978E-2</v>
      </c>
      <c r="AM367">
        <v>6.9511889216415379E-2</v>
      </c>
      <c r="AN367">
        <v>3.3236537833964297E-2</v>
      </c>
      <c r="AO367">
        <v>0.10261734669228817</v>
      </c>
      <c r="AR367">
        <v>1.0119758296002201E-3</v>
      </c>
      <c r="AS367">
        <v>4.5250527209418356E-3</v>
      </c>
      <c r="AT367">
        <v>4.8354669697676924E-3</v>
      </c>
      <c r="AU367">
        <v>2.0830220646885778E-3</v>
      </c>
      <c r="AV367">
        <v>2.150922469963068E-3</v>
      </c>
      <c r="AW367">
        <v>3.565277383557941E-3</v>
      </c>
      <c r="AX367">
        <v>3.7213605126594723E-4</v>
      </c>
      <c r="AY367">
        <v>4.9835408108622747E-4</v>
      </c>
      <c r="BB367">
        <v>5.2988656683317092E-2</v>
      </c>
      <c r="BC367">
        <v>6.7501930072041527E-2</v>
      </c>
      <c r="BE367">
        <v>65845.213868339328</v>
      </c>
      <c r="BF367">
        <v>18.135690797508921</v>
      </c>
      <c r="BG367">
        <v>67168.573136820327</v>
      </c>
      <c r="BH367">
        <v>18.032513276611805</v>
      </c>
      <c r="BI367">
        <v>-1323.3592684809992</v>
      </c>
      <c r="BJ367">
        <v>0.10317752089711618</v>
      </c>
    </row>
    <row r="368" spans="3:62" x14ac:dyDescent="0.2">
      <c r="C368" s="121">
        <v>75200.460851052208</v>
      </c>
      <c r="D368" s="121">
        <v>16.786114928092108</v>
      </c>
      <c r="E368" s="121">
        <v>76679.002517426547</v>
      </c>
      <c r="F368" s="121">
        <v>16.670019652192892</v>
      </c>
      <c r="G368" s="121">
        <v>-1478.5416663743381</v>
      </c>
      <c r="H368" s="121">
        <v>0.11609527589921598</v>
      </c>
      <c r="N368" s="121"/>
      <c r="O368" s="121"/>
      <c r="P368" s="121"/>
      <c r="R368">
        <v>288.4469550677133</v>
      </c>
      <c r="S368">
        <v>59.671904931488569</v>
      </c>
      <c r="T368">
        <v>250.46989830417121</v>
      </c>
      <c r="U368">
        <v>111.91773050944172</v>
      </c>
      <c r="X368">
        <v>0.88885611571609791</v>
      </c>
      <c r="Y368">
        <v>0.83228636015099144</v>
      </c>
      <c r="Z368">
        <v>0.57054862123752936</v>
      </c>
      <c r="AA368">
        <v>0.69602907406492487</v>
      </c>
      <c r="AB368">
        <v>0.8848163958387647</v>
      </c>
      <c r="AC368">
        <v>0.73952138187945793</v>
      </c>
      <c r="AD368">
        <v>0.73847118061562134</v>
      </c>
      <c r="AE368">
        <v>0.66221856885126706</v>
      </c>
      <c r="AH368">
        <v>0.11561561352091332</v>
      </c>
      <c r="AI368">
        <v>0.35536563839764135</v>
      </c>
      <c r="AJ368">
        <v>0.2712471413388946</v>
      </c>
      <c r="AK368">
        <v>0.12341868530606481</v>
      </c>
      <c r="AL368">
        <v>7.85579931923025E-2</v>
      </c>
      <c r="AM368">
        <v>0.24507483575996247</v>
      </c>
      <c r="AN368">
        <v>0.10449666750173114</v>
      </c>
      <c r="AO368">
        <v>0.1125017374832068</v>
      </c>
      <c r="AR368">
        <v>1.0961290948791058E-3</v>
      </c>
      <c r="AS368">
        <v>4.3471559497739974E-3</v>
      </c>
      <c r="AT368">
        <v>4.9811227770395483E-3</v>
      </c>
      <c r="AU368">
        <v>1.8487451197429093E-3</v>
      </c>
      <c r="AV368">
        <v>1.9770781228547396E-3</v>
      </c>
      <c r="AW368">
        <v>3.6213413919206072E-3</v>
      </c>
      <c r="AX368">
        <v>3.5441640806831658E-4</v>
      </c>
      <c r="AY368">
        <v>4.7026006009276422E-4</v>
      </c>
      <c r="BB368">
        <v>4.3217304358098417E-2</v>
      </c>
      <c r="BC368">
        <v>7.1517833503382144E-2</v>
      </c>
      <c r="BE368">
        <v>75200.460851052208</v>
      </c>
      <c r="BF368">
        <v>16.786114928092108</v>
      </c>
      <c r="BG368">
        <v>76679.002517426547</v>
      </c>
      <c r="BH368">
        <v>16.670019652192892</v>
      </c>
      <c r="BI368">
        <v>-1478.5416663743381</v>
      </c>
      <c r="BJ368">
        <v>0.11609527589921598</v>
      </c>
    </row>
    <row r="369" spans="3:62" x14ac:dyDescent="0.2">
      <c r="C369" s="121">
        <v>70457.641535788149</v>
      </c>
      <c r="D369" s="121">
        <v>17.169999531288127</v>
      </c>
      <c r="E369" s="121">
        <v>72892.925217420183</v>
      </c>
      <c r="F369" s="121">
        <v>17.023029172236726</v>
      </c>
      <c r="G369" s="121">
        <v>-2435.2836816320341</v>
      </c>
      <c r="H369" s="121">
        <v>0.14697035905140154</v>
      </c>
      <c r="N369" s="121"/>
      <c r="O369" s="121"/>
      <c r="P369" s="121"/>
      <c r="R369">
        <v>241.84499116601972</v>
      </c>
      <c r="S369">
        <v>63.362823551379961</v>
      </c>
      <c r="T369">
        <v>295.37193394708879</v>
      </c>
      <c r="U369">
        <v>104.01457545958191</v>
      </c>
      <c r="X369">
        <v>0.8245019927472319</v>
      </c>
      <c r="Y369">
        <v>0.80930799613432403</v>
      </c>
      <c r="Z369">
        <v>0.87676966089727992</v>
      </c>
      <c r="AA369">
        <v>0.74423366772933686</v>
      </c>
      <c r="AB369">
        <v>0.71004242374752247</v>
      </c>
      <c r="AC369">
        <v>0.89217485787473527</v>
      </c>
      <c r="AD369">
        <v>0.47859002327649952</v>
      </c>
      <c r="AE369">
        <v>0.42797993251883359</v>
      </c>
      <c r="AH369">
        <v>5.5945043815412987E-2</v>
      </c>
      <c r="AI369">
        <v>7.0813452775168817E-2</v>
      </c>
      <c r="AJ369">
        <v>9.7336192010392342E-2</v>
      </c>
      <c r="AK369">
        <v>7.5322334271562319E-2</v>
      </c>
      <c r="AL369">
        <v>0.37647238010376172</v>
      </c>
      <c r="AM369">
        <v>5.458656295257458E-2</v>
      </c>
      <c r="AN369">
        <v>8.1129023952946966E-2</v>
      </c>
      <c r="AO369">
        <v>0.19466871139326047</v>
      </c>
      <c r="AR369">
        <v>8.7437477660176112E-4</v>
      </c>
      <c r="AS369">
        <v>4.3928248369482815E-3</v>
      </c>
      <c r="AT369">
        <v>4.7632021447983905E-3</v>
      </c>
      <c r="AU369">
        <v>2.0606882474023536E-3</v>
      </c>
      <c r="AV369">
        <v>2.0732431341798918E-3</v>
      </c>
      <c r="AW369">
        <v>3.4958634351348605E-3</v>
      </c>
      <c r="AX369">
        <v>3.8914726282722359E-4</v>
      </c>
      <c r="AY369">
        <v>3.8409193098194847E-4</v>
      </c>
      <c r="BB369">
        <v>5.1763452425984569E-2</v>
      </c>
      <c r="BC369">
        <v>4.1057449660953642E-2</v>
      </c>
      <c r="BE369">
        <v>70457.641535788149</v>
      </c>
      <c r="BF369">
        <v>17.169999531288127</v>
      </c>
      <c r="BG369">
        <v>72892.925217420183</v>
      </c>
      <c r="BH369">
        <v>17.023029172236726</v>
      </c>
      <c r="BI369">
        <v>-2435.2836816320341</v>
      </c>
      <c r="BJ369">
        <v>0.14697035905140154</v>
      </c>
    </row>
    <row r="370" spans="3:62" x14ac:dyDescent="0.2">
      <c r="C370" s="121">
        <v>67610.293743718998</v>
      </c>
      <c r="D370" s="121">
        <v>17.093140439483182</v>
      </c>
      <c r="E370" s="121">
        <v>68547.79713174171</v>
      </c>
      <c r="F370" s="121">
        <v>16.972380073745999</v>
      </c>
      <c r="G370" s="121">
        <v>-937.5033880227129</v>
      </c>
      <c r="H370" s="121">
        <v>0.12076036573718341</v>
      </c>
      <c r="N370" s="121"/>
      <c r="O370" s="121"/>
      <c r="P370" s="121"/>
      <c r="R370">
        <v>349.74095935029573</v>
      </c>
      <c r="S370">
        <v>58.62483564196414</v>
      </c>
      <c r="T370">
        <v>269.56258088292844</v>
      </c>
      <c r="U370">
        <v>93.999374183578226</v>
      </c>
      <c r="X370">
        <v>0.92352918589243549</v>
      </c>
      <c r="Y370">
        <v>0.81135111858348796</v>
      </c>
      <c r="Z370">
        <v>0.7929147238122638</v>
      </c>
      <c r="AA370">
        <v>0.67661462786919402</v>
      </c>
      <c r="AB370">
        <v>0.85378924397215905</v>
      </c>
      <c r="AC370">
        <v>0.88576776132833879</v>
      </c>
      <c r="AD370">
        <v>0.69017905290552239</v>
      </c>
      <c r="AE370">
        <v>0.86600659209204145</v>
      </c>
      <c r="AH370">
        <v>0.33553940367236013</v>
      </c>
      <c r="AI370">
        <v>0.23635982039800774</v>
      </c>
      <c r="AJ370">
        <v>6.3477358594724476E-2</v>
      </c>
      <c r="AK370">
        <v>0.21265889229285273</v>
      </c>
      <c r="AL370">
        <v>0.22846105565719677</v>
      </c>
      <c r="AM370">
        <v>5.9830074869387628E-2</v>
      </c>
      <c r="AN370">
        <v>0.22321267421245372</v>
      </c>
      <c r="AO370">
        <v>0.13128504639057459</v>
      </c>
      <c r="AR370">
        <v>9.5675384704096977E-4</v>
      </c>
      <c r="AS370">
        <v>4.1987006304268527E-3</v>
      </c>
      <c r="AT370">
        <v>5.0205182142299964E-3</v>
      </c>
      <c r="AU370">
        <v>2.0526869297143868E-3</v>
      </c>
      <c r="AV370">
        <v>1.7096902976491291E-3</v>
      </c>
      <c r="AW370">
        <v>3.3179343089557384E-3</v>
      </c>
      <c r="AX370">
        <v>4.5719823034595652E-4</v>
      </c>
      <c r="AY370">
        <v>5.1756627067522931E-4</v>
      </c>
      <c r="BB370">
        <v>4.5886496254088985E-2</v>
      </c>
      <c r="BC370">
        <v>4.9586726116833346E-2</v>
      </c>
      <c r="BE370">
        <v>67610.293743718998</v>
      </c>
      <c r="BF370">
        <v>17.093140439483182</v>
      </c>
      <c r="BG370">
        <v>68547.79713174171</v>
      </c>
      <c r="BH370">
        <v>16.972380073745999</v>
      </c>
      <c r="BI370">
        <v>-937.5033880227129</v>
      </c>
      <c r="BJ370">
        <v>0.12076036573718341</v>
      </c>
    </row>
    <row r="371" spans="3:62" x14ac:dyDescent="0.2">
      <c r="C371" s="121">
        <v>72132.699003118512</v>
      </c>
      <c r="D371" s="121">
        <v>16.002269499336503</v>
      </c>
      <c r="E371" s="121">
        <v>74041.273000111018</v>
      </c>
      <c r="F371" s="121">
        <v>15.853893475419168</v>
      </c>
      <c r="G371" s="121">
        <v>-1908.5739969925053</v>
      </c>
      <c r="H371" s="121">
        <v>0.14837602391733462</v>
      </c>
      <c r="N371" s="121"/>
      <c r="O371" s="121"/>
      <c r="P371" s="121"/>
      <c r="R371">
        <v>96.243522650114841</v>
      </c>
      <c r="S371">
        <v>57.29098549863933</v>
      </c>
      <c r="T371">
        <v>235.42834767793153</v>
      </c>
      <c r="U371">
        <v>81.752254041878956</v>
      </c>
      <c r="X371">
        <v>0.81797030003191751</v>
      </c>
      <c r="Y371">
        <v>0.88418583996576916</v>
      </c>
      <c r="Z371">
        <v>0.61772140345698601</v>
      </c>
      <c r="AA371">
        <v>0.6689232027350428</v>
      </c>
      <c r="AB371">
        <v>0.79939975131904384</v>
      </c>
      <c r="AC371">
        <v>0.86033030862912341</v>
      </c>
      <c r="AD371">
        <v>0.68807088343900891</v>
      </c>
      <c r="AE371">
        <v>0.65794687327307422</v>
      </c>
      <c r="AH371">
        <v>0.16174073405125255</v>
      </c>
      <c r="AI371">
        <v>0.14907330518106321</v>
      </c>
      <c r="AJ371">
        <v>8.019560162813999E-2</v>
      </c>
      <c r="AK371">
        <v>0.13000009997468887</v>
      </c>
      <c r="AL371">
        <v>0.11909695652336838</v>
      </c>
      <c r="AM371">
        <v>0.19758805109502897</v>
      </c>
      <c r="AN371">
        <v>0.25005942678098958</v>
      </c>
      <c r="AO371">
        <v>9.6417444418256504E-2</v>
      </c>
      <c r="AR371">
        <v>8.667059962933093E-4</v>
      </c>
      <c r="AS371">
        <v>4.4526026972774215E-3</v>
      </c>
      <c r="AT371">
        <v>5.0232672749178642E-3</v>
      </c>
      <c r="AU371">
        <v>1.8527485779226925E-3</v>
      </c>
      <c r="AV371">
        <v>1.9078491894593183E-3</v>
      </c>
      <c r="AW371">
        <v>3.6104754929258132E-3</v>
      </c>
      <c r="AX371">
        <v>2.7336643583663538E-4</v>
      </c>
      <c r="AY371">
        <v>4.0029666732734878E-4</v>
      </c>
      <c r="BB371">
        <v>5.1743471131383334E-2</v>
      </c>
      <c r="BC371">
        <v>2.9063281944386395E-2</v>
      </c>
      <c r="BE371">
        <v>72132.699003118512</v>
      </c>
      <c r="BF371">
        <v>16.002269499336503</v>
      </c>
      <c r="BG371">
        <v>74041.273000111018</v>
      </c>
      <c r="BH371">
        <v>15.853893475419168</v>
      </c>
      <c r="BI371">
        <v>-1908.5739969925053</v>
      </c>
      <c r="BJ371">
        <v>0.14837602391733462</v>
      </c>
    </row>
    <row r="372" spans="3:62" x14ac:dyDescent="0.2">
      <c r="C372" s="121">
        <v>66809.983098142169</v>
      </c>
      <c r="D372" s="121">
        <v>16.89890608974644</v>
      </c>
      <c r="E372" s="121">
        <v>68062.50176075488</v>
      </c>
      <c r="F372" s="121">
        <v>16.788961714695379</v>
      </c>
      <c r="G372" s="121">
        <v>-1252.5186626127106</v>
      </c>
      <c r="H372" s="121">
        <v>0.10994437505106092</v>
      </c>
      <c r="N372" s="121"/>
      <c r="O372" s="121"/>
      <c r="P372" s="121"/>
      <c r="R372">
        <v>337.92113069264951</v>
      </c>
      <c r="S372">
        <v>57.788805267337139</v>
      </c>
      <c r="T372">
        <v>229.42430953672533</v>
      </c>
      <c r="U372">
        <v>106.20197094916452</v>
      </c>
      <c r="X372">
        <v>0.78703686452177446</v>
      </c>
      <c r="Y372">
        <v>0.79286230016199299</v>
      </c>
      <c r="Z372">
        <v>0.877412021990159</v>
      </c>
      <c r="AA372">
        <v>0.46064709184859759</v>
      </c>
      <c r="AB372">
        <v>0.80963676404908258</v>
      </c>
      <c r="AC372">
        <v>0.77399682533069825</v>
      </c>
      <c r="AD372">
        <v>0.8897578038724876</v>
      </c>
      <c r="AE372">
        <v>0.7928747125308454</v>
      </c>
      <c r="AH372">
        <v>0.2235772752507279</v>
      </c>
      <c r="AI372">
        <v>6.8244799547099833E-2</v>
      </c>
      <c r="AJ372">
        <v>0.23033185275299339</v>
      </c>
      <c r="AK372">
        <v>5.810415152426418E-2</v>
      </c>
      <c r="AL372">
        <v>0.21628154790077891</v>
      </c>
      <c r="AM372">
        <v>7.269615521243411E-2</v>
      </c>
      <c r="AN372">
        <v>0.12538614602554565</v>
      </c>
      <c r="AO372">
        <v>4.3475573042951687E-2</v>
      </c>
      <c r="AR372">
        <v>8.7028957988665974E-4</v>
      </c>
      <c r="AS372">
        <v>4.7983682126572225E-3</v>
      </c>
      <c r="AT372">
        <v>5.2646115469955346E-3</v>
      </c>
      <c r="AU372">
        <v>1.9948919653963132E-3</v>
      </c>
      <c r="AV372">
        <v>2.0489979969786631E-3</v>
      </c>
      <c r="AW372">
        <v>3.5951306067956157E-3</v>
      </c>
      <c r="AX372">
        <v>4.1279414884232146E-4</v>
      </c>
      <c r="AY372">
        <v>4.9370666036852029E-4</v>
      </c>
      <c r="BB372">
        <v>5.5234678743338983E-2</v>
      </c>
      <c r="BC372">
        <v>3.0531430222024699E-2</v>
      </c>
      <c r="BE372">
        <v>66809.983098142169</v>
      </c>
      <c r="BF372">
        <v>16.89890608974644</v>
      </c>
      <c r="BG372">
        <v>68062.50176075488</v>
      </c>
      <c r="BH372">
        <v>16.788961714695379</v>
      </c>
      <c r="BI372">
        <v>-1252.5186626127106</v>
      </c>
      <c r="BJ372">
        <v>0.10994437505106092</v>
      </c>
    </row>
    <row r="373" spans="3:62" x14ac:dyDescent="0.2">
      <c r="C373" s="121">
        <v>74119.230684341237</v>
      </c>
      <c r="D373" s="121">
        <v>16.453513355333513</v>
      </c>
      <c r="E373" s="121">
        <v>75791.641088771881</v>
      </c>
      <c r="F373" s="121">
        <v>16.325443393274078</v>
      </c>
      <c r="G373" s="121">
        <v>-1672.4104044306441</v>
      </c>
      <c r="H373" s="121">
        <v>0.12806996205943477</v>
      </c>
      <c r="N373" s="121"/>
      <c r="O373" s="121"/>
      <c r="P373" s="121"/>
      <c r="R373">
        <v>87.526894843884321</v>
      </c>
      <c r="S373">
        <v>56.271810908354169</v>
      </c>
      <c r="T373">
        <v>243.08346208360794</v>
      </c>
      <c r="U373">
        <v>81.748261062470092</v>
      </c>
      <c r="X373">
        <v>0.72507246268483549</v>
      </c>
      <c r="Y373">
        <v>0.66901745926510447</v>
      </c>
      <c r="Z373">
        <v>0.65360860319379344</v>
      </c>
      <c r="AA373">
        <v>0.8097738581134124</v>
      </c>
      <c r="AB373">
        <v>0.62629489906692726</v>
      </c>
      <c r="AC373">
        <v>0.97045633065763481</v>
      </c>
      <c r="AD373">
        <v>0.8170037138050521</v>
      </c>
      <c r="AE373">
        <v>0.7161070251371674</v>
      </c>
      <c r="AH373">
        <v>0.25279659963525214</v>
      </c>
      <c r="AI373">
        <v>8.5451871834528403E-2</v>
      </c>
      <c r="AJ373">
        <v>7.8937051985451312E-2</v>
      </c>
      <c r="AK373">
        <v>0.11710768138581029</v>
      </c>
      <c r="AL373">
        <v>5.8573020737270776E-2</v>
      </c>
      <c r="AM373">
        <v>0.19895229875467513</v>
      </c>
      <c r="AN373">
        <v>7.5867840627840355E-2</v>
      </c>
      <c r="AO373">
        <v>0.1246859497032935</v>
      </c>
      <c r="AR373">
        <v>9.3221262449161291E-4</v>
      </c>
      <c r="AS373">
        <v>4.5502332048769079E-3</v>
      </c>
      <c r="AT373">
        <v>5.2797319966595424E-3</v>
      </c>
      <c r="AU373">
        <v>1.7396929776704458E-3</v>
      </c>
      <c r="AV373">
        <v>2.2082558033217348E-3</v>
      </c>
      <c r="AW373">
        <v>3.4054842975738079E-3</v>
      </c>
      <c r="AX373">
        <v>3.6405120337045156E-4</v>
      </c>
      <c r="AY373">
        <v>4.6409420757265174E-4</v>
      </c>
      <c r="BB373">
        <v>6.1729643049806993E-2</v>
      </c>
      <c r="BC373">
        <v>2.2112123523498436E-2</v>
      </c>
      <c r="BE373">
        <v>74119.230684341237</v>
      </c>
      <c r="BF373">
        <v>16.453513355333513</v>
      </c>
      <c r="BG373">
        <v>75791.641088771881</v>
      </c>
      <c r="BH373">
        <v>16.325443393274078</v>
      </c>
      <c r="BI373">
        <v>-1672.4104044306441</v>
      </c>
      <c r="BJ373">
        <v>0.12806996205943477</v>
      </c>
    </row>
    <row r="374" spans="3:62" x14ac:dyDescent="0.2">
      <c r="C374" s="121">
        <v>71538.438883325711</v>
      </c>
      <c r="D374" s="121">
        <v>15.18736523650392</v>
      </c>
      <c r="E374" s="121">
        <v>73601.491554793596</v>
      </c>
      <c r="F374" s="121">
        <v>15.017828732959405</v>
      </c>
      <c r="G374" s="121">
        <v>-2063.0526714678854</v>
      </c>
      <c r="H374" s="121">
        <v>0.16953650354451533</v>
      </c>
      <c r="N374" s="121"/>
      <c r="O374" s="121"/>
      <c r="P374" s="121"/>
      <c r="R374">
        <v>227.40150424526337</v>
      </c>
      <c r="S374">
        <v>59.797515934885922</v>
      </c>
      <c r="T374">
        <v>298.39061401953609</v>
      </c>
      <c r="U374">
        <v>90.107571723826268</v>
      </c>
      <c r="X374">
        <v>0.83996318668857772</v>
      </c>
      <c r="Y374">
        <v>0.76181376123659728</v>
      </c>
      <c r="Z374">
        <v>0.87276688148477333</v>
      </c>
      <c r="AA374">
        <v>0.66184640337381151</v>
      </c>
      <c r="AB374">
        <v>0.7465610581921418</v>
      </c>
      <c r="AC374">
        <v>0.74690834923938199</v>
      </c>
      <c r="AD374">
        <v>0.67316882105400289</v>
      </c>
      <c r="AE374">
        <v>0.85398175195957604</v>
      </c>
      <c r="AH374">
        <v>0.36414575600283416</v>
      </c>
      <c r="AI374">
        <v>0.14149547649104643</v>
      </c>
      <c r="AJ374">
        <v>2.7562389804623111E-2</v>
      </c>
      <c r="AK374">
        <v>4.1451092510243481E-2</v>
      </c>
      <c r="AL374">
        <v>3.4135036495009041E-2</v>
      </c>
      <c r="AM374">
        <v>3.3114619185031779E-2</v>
      </c>
      <c r="AN374">
        <v>1.1307233775780023E-2</v>
      </c>
      <c r="AO374">
        <v>9.7709964044307984E-3</v>
      </c>
      <c r="AR374">
        <v>8.9064865876076205E-4</v>
      </c>
      <c r="AS374">
        <v>4.248950613949273E-3</v>
      </c>
      <c r="AT374">
        <v>4.7607752681647283E-3</v>
      </c>
      <c r="AU374">
        <v>2.0315806371831169E-3</v>
      </c>
      <c r="AV374">
        <v>1.8626263386649817E-3</v>
      </c>
      <c r="AW374">
        <v>3.4420544405117104E-3</v>
      </c>
      <c r="AX374">
        <v>4.500312721489319E-4</v>
      </c>
      <c r="AY374">
        <v>3.8580169012649844E-4</v>
      </c>
      <c r="BB374">
        <v>5.2371035862681214E-2</v>
      </c>
      <c r="BC374">
        <v>3.8656116915725749E-2</v>
      </c>
      <c r="BE374">
        <v>71538.438883325711</v>
      </c>
      <c r="BF374">
        <v>15.18736523650392</v>
      </c>
      <c r="BG374">
        <v>73601.491554793596</v>
      </c>
      <c r="BH374">
        <v>15.017828732959405</v>
      </c>
      <c r="BI374">
        <v>-2063.0526714678854</v>
      </c>
      <c r="BJ374">
        <v>0.16953650354451533</v>
      </c>
    </row>
    <row r="375" spans="3:62" x14ac:dyDescent="0.2">
      <c r="C375" s="121">
        <v>74329.891133330544</v>
      </c>
      <c r="D375" s="121">
        <v>16.560914597545327</v>
      </c>
      <c r="E375" s="121">
        <v>75219.98050141694</v>
      </c>
      <c r="F375" s="121">
        <v>16.469737181754734</v>
      </c>
      <c r="G375" s="121">
        <v>-890.08936808639555</v>
      </c>
      <c r="H375" s="121">
        <v>9.117741579059313E-2</v>
      </c>
      <c r="N375" s="121"/>
      <c r="O375" s="121"/>
      <c r="P375" s="121"/>
      <c r="R375">
        <v>289.30563328030877</v>
      </c>
      <c r="S375">
        <v>69.007102384804753</v>
      </c>
      <c r="T375">
        <v>257.35717285882242</v>
      </c>
      <c r="U375">
        <v>103.93713648780569</v>
      </c>
      <c r="X375">
        <v>0.70537961359428314</v>
      </c>
      <c r="Y375">
        <v>0.61192588378776436</v>
      </c>
      <c r="Z375">
        <v>0.60416294259334336</v>
      </c>
      <c r="AA375">
        <v>0.69687758788228316</v>
      </c>
      <c r="AB375">
        <v>0.57268104688080124</v>
      </c>
      <c r="AC375">
        <v>0.74820094103942136</v>
      </c>
      <c r="AD375">
        <v>0.63126141113340639</v>
      </c>
      <c r="AE375">
        <v>0.82307923556695894</v>
      </c>
      <c r="AH375">
        <v>0.10138028888528616</v>
      </c>
      <c r="AI375">
        <v>0.16220132558915656</v>
      </c>
      <c r="AJ375">
        <v>0.17497602053725692</v>
      </c>
      <c r="AK375">
        <v>3.9442346192692712E-2</v>
      </c>
      <c r="AL375">
        <v>0.17618014295383844</v>
      </c>
      <c r="AM375">
        <v>4.867951321731212E-2</v>
      </c>
      <c r="AN375">
        <v>0.10028907137702781</v>
      </c>
      <c r="AO375">
        <v>0.25726747553913454</v>
      </c>
      <c r="AR375">
        <v>8.7188841092495522E-4</v>
      </c>
      <c r="AS375">
        <v>4.4757831338109325E-3</v>
      </c>
      <c r="AT375">
        <v>4.9429318026729925E-3</v>
      </c>
      <c r="AU375">
        <v>2.1044296248928784E-3</v>
      </c>
      <c r="AV375">
        <v>1.8374307100227315E-3</v>
      </c>
      <c r="AW375">
        <v>3.5811042197626541E-3</v>
      </c>
      <c r="AX375">
        <v>4.4344574422561234E-4</v>
      </c>
      <c r="AY375">
        <v>4.1622155877651522E-4</v>
      </c>
      <c r="BB375">
        <v>5.4704162562972947E-2</v>
      </c>
      <c r="BC375">
        <v>4.6448649544577961E-2</v>
      </c>
      <c r="BE375">
        <v>74329.891133330544</v>
      </c>
      <c r="BF375">
        <v>16.560914597545327</v>
      </c>
      <c r="BG375">
        <v>75219.98050141694</v>
      </c>
      <c r="BH375">
        <v>16.469737181754734</v>
      </c>
      <c r="BI375">
        <v>-890.08936808639555</v>
      </c>
      <c r="BJ375">
        <v>9.117741579059313E-2</v>
      </c>
    </row>
    <row r="376" spans="3:62" x14ac:dyDescent="0.2">
      <c r="C376" s="121">
        <v>66802.709384961665</v>
      </c>
      <c r="D376" s="121">
        <v>14.159772148731035</v>
      </c>
      <c r="E376" s="121">
        <v>68453.403868905036</v>
      </c>
      <c r="F376" s="121">
        <v>14.071094293346968</v>
      </c>
      <c r="G376" s="121">
        <v>-1650.6944839433709</v>
      </c>
      <c r="H376" s="121">
        <v>8.8677855384066362E-2</v>
      </c>
      <c r="N376" s="121"/>
      <c r="O376" s="121"/>
      <c r="P376" s="121"/>
      <c r="R376">
        <v>198.03208755465349</v>
      </c>
      <c r="S376">
        <v>61.882006369100807</v>
      </c>
      <c r="T376">
        <v>225.50477730824019</v>
      </c>
      <c r="U376">
        <v>89.60267012150905</v>
      </c>
      <c r="X376">
        <v>0.68345156297439646</v>
      </c>
      <c r="Y376">
        <v>0.88664074568459239</v>
      </c>
      <c r="Z376">
        <v>0.82513995679026841</v>
      </c>
      <c r="AA376">
        <v>0.81973584572488378</v>
      </c>
      <c r="AB376">
        <v>0.81591156322476188</v>
      </c>
      <c r="AC376">
        <v>0.81591930649728783</v>
      </c>
      <c r="AD376">
        <v>0.82910835072823152</v>
      </c>
      <c r="AE376">
        <v>0.93233468112295381</v>
      </c>
      <c r="AH376">
        <v>1.7726457697238018E-2</v>
      </c>
      <c r="AI376">
        <v>0.24214444615368425</v>
      </c>
      <c r="AJ376">
        <v>1.503650185379457E-2</v>
      </c>
      <c r="AK376">
        <v>6.0573372490002386E-2</v>
      </c>
      <c r="AL376">
        <v>0.19022063863461514</v>
      </c>
      <c r="AM376">
        <v>1.1464290620109674E-2</v>
      </c>
      <c r="AN376">
        <v>0.15420716012719549</v>
      </c>
      <c r="AO376">
        <v>0.10407926881071972</v>
      </c>
      <c r="AR376">
        <v>8.6143630566599667E-4</v>
      </c>
      <c r="AS376">
        <v>4.797935572279477E-3</v>
      </c>
      <c r="AT376">
        <v>4.5165850840062282E-3</v>
      </c>
      <c r="AU376">
        <v>2.1320042036025999E-3</v>
      </c>
      <c r="AV376">
        <v>2.0948848851413127E-3</v>
      </c>
      <c r="AW376">
        <v>3.2042303837997604E-3</v>
      </c>
      <c r="AX376">
        <v>3.9453370031144623E-4</v>
      </c>
      <c r="AY376">
        <v>4.3119655552551405E-4</v>
      </c>
      <c r="BB376">
        <v>4.727251039550371E-2</v>
      </c>
      <c r="BC376">
        <v>2.7655628626380074E-2</v>
      </c>
      <c r="BE376">
        <v>66802.709384961665</v>
      </c>
      <c r="BF376">
        <v>14.159772148731035</v>
      </c>
      <c r="BG376">
        <v>68453.403868905036</v>
      </c>
      <c r="BH376">
        <v>14.071094293346968</v>
      </c>
      <c r="BI376">
        <v>-1650.6944839433709</v>
      </c>
      <c r="BJ376">
        <v>8.8677855384066362E-2</v>
      </c>
    </row>
    <row r="377" spans="3:62" x14ac:dyDescent="0.2">
      <c r="C377" s="121">
        <v>74158.953445225314</v>
      </c>
      <c r="D377" s="121">
        <v>17.15621413879629</v>
      </c>
      <c r="E377" s="121">
        <v>76052.340353247797</v>
      </c>
      <c r="F377" s="121">
        <v>17.029443045890964</v>
      </c>
      <c r="G377" s="121">
        <v>-1893.3869080224831</v>
      </c>
      <c r="H377" s="121">
        <v>0.12677109290532584</v>
      </c>
      <c r="N377" s="121"/>
      <c r="O377" s="121"/>
      <c r="P377" s="121"/>
      <c r="R377">
        <v>195.22833475558235</v>
      </c>
      <c r="S377">
        <v>58.116254921021508</v>
      </c>
      <c r="T377">
        <v>264.93599550364178</v>
      </c>
      <c r="U377">
        <v>91.54816520562629</v>
      </c>
      <c r="X377">
        <v>0.71834548967206702</v>
      </c>
      <c r="Y377">
        <v>0.81928812175510557</v>
      </c>
      <c r="Z377">
        <v>0.87974440094153439</v>
      </c>
      <c r="AA377">
        <v>0.43202466065201445</v>
      </c>
      <c r="AB377">
        <v>0.95047747165973417</v>
      </c>
      <c r="AC377">
        <v>0.78814733070395149</v>
      </c>
      <c r="AD377">
        <v>0.45631082513208565</v>
      </c>
      <c r="AE377">
        <v>0.53313564417875781</v>
      </c>
      <c r="AH377">
        <v>0.28890610628528735</v>
      </c>
      <c r="AI377">
        <v>0.1176579424100499</v>
      </c>
      <c r="AJ377">
        <v>6.2153447162913378E-2</v>
      </c>
      <c r="AK377">
        <v>8.8544406108632678E-2</v>
      </c>
      <c r="AL377">
        <v>2.2637807420006428E-2</v>
      </c>
      <c r="AM377">
        <v>0.1809241766732933</v>
      </c>
      <c r="AN377">
        <v>9.4189621377254951E-2</v>
      </c>
      <c r="AO377">
        <v>0.13057817762530965</v>
      </c>
      <c r="AR377">
        <v>7.5619413196881529E-4</v>
      </c>
      <c r="AS377">
        <v>4.6942371291932572E-3</v>
      </c>
      <c r="AT377">
        <v>5.0043932967345217E-3</v>
      </c>
      <c r="AU377">
        <v>1.9927508966236214E-3</v>
      </c>
      <c r="AV377">
        <v>2.1527271400044734E-3</v>
      </c>
      <c r="AW377">
        <v>3.7286630486247363E-3</v>
      </c>
      <c r="AX377">
        <v>3.6476058842724546E-4</v>
      </c>
      <c r="AY377">
        <v>6.3382023972713419E-4</v>
      </c>
      <c r="BB377">
        <v>6.2400399751746494E-2</v>
      </c>
      <c r="BC377">
        <v>2.8496537570597235E-2</v>
      </c>
      <c r="BE377">
        <v>74158.953445225314</v>
      </c>
      <c r="BF377">
        <v>17.15621413879629</v>
      </c>
      <c r="BG377">
        <v>76052.340353247797</v>
      </c>
      <c r="BH377">
        <v>17.029443045890964</v>
      </c>
      <c r="BI377">
        <v>-1893.3869080224831</v>
      </c>
      <c r="BJ377">
        <v>0.12677109290532584</v>
      </c>
    </row>
    <row r="378" spans="3:62" x14ac:dyDescent="0.2">
      <c r="C378" s="121">
        <v>72682.823518209421</v>
      </c>
      <c r="D378" s="121">
        <v>16.659170163339983</v>
      </c>
      <c r="E378" s="121">
        <v>74608.126968560187</v>
      </c>
      <c r="F378" s="121">
        <v>16.569807882046348</v>
      </c>
      <c r="G378" s="121">
        <v>-1925.3034503507661</v>
      </c>
      <c r="H378" s="121">
        <v>8.9362281293634993E-2</v>
      </c>
      <c r="N378" s="121"/>
      <c r="O378" s="121"/>
      <c r="P378" s="121"/>
      <c r="R378">
        <v>118.66225683149739</v>
      </c>
      <c r="S378">
        <v>65.049277242494028</v>
      </c>
      <c r="T378">
        <v>227.70409153659912</v>
      </c>
      <c r="U378">
        <v>101.73706266943793</v>
      </c>
      <c r="X378">
        <v>0.49829245890144686</v>
      </c>
      <c r="Y378">
        <v>0.715759786091553</v>
      </c>
      <c r="Z378">
        <v>0.75008553715324666</v>
      </c>
      <c r="AA378">
        <v>0.51901656164673726</v>
      </c>
      <c r="AB378">
        <v>0.90268782003994819</v>
      </c>
      <c r="AC378">
        <v>0.64409457792511915</v>
      </c>
      <c r="AD378">
        <v>0.72629932690190413</v>
      </c>
      <c r="AE378">
        <v>0.75243488305407913</v>
      </c>
      <c r="AH378">
        <v>0.18023530379349173</v>
      </c>
      <c r="AI378">
        <v>8.655634311948579E-2</v>
      </c>
      <c r="AJ378">
        <v>0.20581774664245678</v>
      </c>
      <c r="AK378">
        <v>7.9120944767524071E-2</v>
      </c>
      <c r="AL378">
        <v>0.20180075072620096</v>
      </c>
      <c r="AM378">
        <v>0.14042875782710429</v>
      </c>
      <c r="AN378">
        <v>0.12725149541692249</v>
      </c>
      <c r="AO378">
        <v>5.941851512322982E-2</v>
      </c>
      <c r="AR378">
        <v>9.1042742212610328E-4</v>
      </c>
      <c r="AS378">
        <v>4.6163880288968562E-3</v>
      </c>
      <c r="AT378">
        <v>4.6150708512806993E-3</v>
      </c>
      <c r="AU378">
        <v>2.2136020517309341E-3</v>
      </c>
      <c r="AV378">
        <v>2.0512887953477721E-3</v>
      </c>
      <c r="AW378">
        <v>3.2348566894740915E-3</v>
      </c>
      <c r="AX378">
        <v>3.6068068112327258E-4</v>
      </c>
      <c r="AY378">
        <v>3.6602625024081373E-4</v>
      </c>
      <c r="BB378">
        <v>5.2903418189738316E-2</v>
      </c>
      <c r="BC378">
        <v>4.0838913838555514E-2</v>
      </c>
      <c r="BE378">
        <v>72682.823518209421</v>
      </c>
      <c r="BF378">
        <v>16.659170163339983</v>
      </c>
      <c r="BG378">
        <v>74608.126968560187</v>
      </c>
      <c r="BH378">
        <v>16.569807882046348</v>
      </c>
      <c r="BI378">
        <v>-1925.3034503507661</v>
      </c>
      <c r="BJ378">
        <v>8.9362281293634993E-2</v>
      </c>
    </row>
    <row r="379" spans="3:62" x14ac:dyDescent="0.2">
      <c r="C379" s="121">
        <v>69138.369737072804</v>
      </c>
      <c r="D379" s="121">
        <v>16.694160766347235</v>
      </c>
      <c r="E379" s="121">
        <v>70116.147270617919</v>
      </c>
      <c r="F379" s="121">
        <v>16.611714080022672</v>
      </c>
      <c r="G379" s="121">
        <v>-977.77753354511515</v>
      </c>
      <c r="H379" s="121">
        <v>8.2446686324562535E-2</v>
      </c>
      <c r="N379" s="121"/>
      <c r="O379" s="121"/>
      <c r="P379" s="121"/>
      <c r="R379">
        <v>244.49711768358844</v>
      </c>
      <c r="S379">
        <v>62.242925593917391</v>
      </c>
      <c r="T379">
        <v>227.23783612166207</v>
      </c>
      <c r="U379">
        <v>83.371405887849932</v>
      </c>
      <c r="X379">
        <v>0.90846883154455627</v>
      </c>
      <c r="Y379">
        <v>0.48210987970948987</v>
      </c>
      <c r="Z379">
        <v>0.46816366520127534</v>
      </c>
      <c r="AA379">
        <v>0.69447249328702121</v>
      </c>
      <c r="AB379">
        <v>0.8177007204644986</v>
      </c>
      <c r="AC379">
        <v>0.60489920230706551</v>
      </c>
      <c r="AD379">
        <v>0.91367049695072589</v>
      </c>
      <c r="AE379">
        <v>0.45454547014116498</v>
      </c>
      <c r="AH379">
        <v>0.19815983922664693</v>
      </c>
      <c r="AI379">
        <v>1.3608496805886938E-2</v>
      </c>
      <c r="AJ379">
        <v>3.9490493863135301E-2</v>
      </c>
      <c r="AK379">
        <v>6.4848346549117308E-2</v>
      </c>
      <c r="AL379">
        <v>0.16518453887941986</v>
      </c>
      <c r="AM379">
        <v>4.2091215329932874E-2</v>
      </c>
      <c r="AN379">
        <v>0.28515657718764709</v>
      </c>
      <c r="AO379">
        <v>3.2118916557224875E-2</v>
      </c>
      <c r="AR379">
        <v>8.6120812123900649E-4</v>
      </c>
      <c r="AS379">
        <v>4.3728788830270145E-3</v>
      </c>
      <c r="AT379">
        <v>5.1570249999871587E-3</v>
      </c>
      <c r="AU379">
        <v>1.8692584033931268E-3</v>
      </c>
      <c r="AV379">
        <v>1.9204700319415608E-3</v>
      </c>
      <c r="AW379">
        <v>3.4322946639068208E-3</v>
      </c>
      <c r="AX379">
        <v>4.0473210543079396E-4</v>
      </c>
      <c r="AY379">
        <v>4.8124755285949838E-4</v>
      </c>
      <c r="BB379">
        <v>4.3270611166224333E-2</v>
      </c>
      <c r="BC379">
        <v>2.8027470692530008E-2</v>
      </c>
      <c r="BE379">
        <v>69138.369737072804</v>
      </c>
      <c r="BF379">
        <v>16.694160766347235</v>
      </c>
      <c r="BG379">
        <v>70116.147270617919</v>
      </c>
      <c r="BH379">
        <v>16.611714080022672</v>
      </c>
      <c r="BI379">
        <v>-977.77753354511515</v>
      </c>
      <c r="BJ379">
        <v>8.2446686324562535E-2</v>
      </c>
    </row>
    <row r="380" spans="3:62" x14ac:dyDescent="0.2">
      <c r="C380" s="121">
        <v>66383.931483528402</v>
      </c>
      <c r="D380" s="121">
        <v>16.454141286769975</v>
      </c>
      <c r="E380" s="121">
        <v>68148.899339862895</v>
      </c>
      <c r="F380" s="121">
        <v>16.319277422777546</v>
      </c>
      <c r="G380" s="121">
        <v>-1764.9678563344933</v>
      </c>
      <c r="H380" s="121">
        <v>0.13486386399242889</v>
      </c>
      <c r="N380" s="121"/>
      <c r="O380" s="121"/>
      <c r="P380" s="121"/>
      <c r="R380">
        <v>333.29944062445213</v>
      </c>
      <c r="S380">
        <v>63.812779633191731</v>
      </c>
      <c r="T380">
        <v>261.98025082664094</v>
      </c>
      <c r="U380">
        <v>88.300015663403556</v>
      </c>
      <c r="X380">
        <v>0.48568554080179699</v>
      </c>
      <c r="Y380">
        <v>0.84826953577102227</v>
      </c>
      <c r="Z380">
        <v>0.53154671628548678</v>
      </c>
      <c r="AA380">
        <v>0.84398420816099096</v>
      </c>
      <c r="AB380">
        <v>0.63042825728652196</v>
      </c>
      <c r="AC380">
        <v>0.82520993600845138</v>
      </c>
      <c r="AD380">
        <v>0.93556446764713175</v>
      </c>
      <c r="AE380">
        <v>0.76510503490860815</v>
      </c>
      <c r="AH380">
        <v>9.4865865824964146E-2</v>
      </c>
      <c r="AI380">
        <v>5.5839494836673387E-2</v>
      </c>
      <c r="AJ380">
        <v>3.6867685435725051E-2</v>
      </c>
      <c r="AK380">
        <v>0.40573603557699001</v>
      </c>
      <c r="AL380">
        <v>0.1483529401027629</v>
      </c>
      <c r="AM380">
        <v>0.14758326343665285</v>
      </c>
      <c r="AN380">
        <v>9.1925179516922251E-2</v>
      </c>
      <c r="AO380">
        <v>0.12530950007639541</v>
      </c>
      <c r="AR380">
        <v>9.0054298216346584E-4</v>
      </c>
      <c r="AS380">
        <v>4.4002267181355876E-3</v>
      </c>
      <c r="AT380">
        <v>4.9016139001148255E-3</v>
      </c>
      <c r="AU380">
        <v>2.2078411824326682E-3</v>
      </c>
      <c r="AV380">
        <v>2.0339741503986319E-3</v>
      </c>
      <c r="AW380">
        <v>3.0688991585275786E-3</v>
      </c>
      <c r="AX380">
        <v>4.0514650306311406E-4</v>
      </c>
      <c r="AY380">
        <v>3.8668841600678815E-4</v>
      </c>
      <c r="BB380">
        <v>5.1907744716426008E-2</v>
      </c>
      <c r="BC380">
        <v>5.6994009746606178E-2</v>
      </c>
      <c r="BE380">
        <v>66383.931483528402</v>
      </c>
      <c r="BF380">
        <v>16.454141286769975</v>
      </c>
      <c r="BG380">
        <v>68148.899339862895</v>
      </c>
      <c r="BH380">
        <v>16.319277422777546</v>
      </c>
      <c r="BI380">
        <v>-1764.9678563344933</v>
      </c>
      <c r="BJ380">
        <v>0.13486386399242889</v>
      </c>
    </row>
    <row r="381" spans="3:62" x14ac:dyDescent="0.2">
      <c r="C381" s="121">
        <v>70574.0660429821</v>
      </c>
      <c r="D381" s="121">
        <v>16.702769182546692</v>
      </c>
      <c r="E381" s="121">
        <v>71965.715334122156</v>
      </c>
      <c r="F381" s="121">
        <v>16.613501649431711</v>
      </c>
      <c r="G381" s="121">
        <v>-1391.6492911400564</v>
      </c>
      <c r="H381" s="121">
        <v>8.9267533114981035E-2</v>
      </c>
      <c r="N381" s="121"/>
      <c r="O381" s="121"/>
      <c r="P381" s="121"/>
      <c r="R381">
        <v>166.92460713610248</v>
      </c>
      <c r="S381">
        <v>62.787537205494033</v>
      </c>
      <c r="T381">
        <v>225.22263231942435</v>
      </c>
      <c r="U381">
        <v>78.59161560124133</v>
      </c>
      <c r="X381">
        <v>0.84414703504813848</v>
      </c>
      <c r="Y381">
        <v>0.78400036875736856</v>
      </c>
      <c r="Z381">
        <v>0.67329062575865239</v>
      </c>
      <c r="AA381">
        <v>0.92406721688499782</v>
      </c>
      <c r="AB381">
        <v>0.86847803215932706</v>
      </c>
      <c r="AC381">
        <v>0.66961289886667386</v>
      </c>
      <c r="AD381">
        <v>0.86847226549510526</v>
      </c>
      <c r="AE381">
        <v>0.38356121515033403</v>
      </c>
      <c r="AH381">
        <v>1.5090731288251225E-2</v>
      </c>
      <c r="AI381">
        <v>0.22906462269532024</v>
      </c>
      <c r="AJ381">
        <v>7.8779351609538306E-2</v>
      </c>
      <c r="AK381">
        <v>0.25817101922281627</v>
      </c>
      <c r="AL381">
        <v>1.917960458844381E-2</v>
      </c>
      <c r="AM381">
        <v>0.16146234456546649</v>
      </c>
      <c r="AN381">
        <v>0.3760738544882849</v>
      </c>
      <c r="AO381">
        <v>0.24442280817830786</v>
      </c>
      <c r="AR381">
        <v>1.0477383001828988E-3</v>
      </c>
      <c r="AS381">
        <v>4.4455694363165531E-3</v>
      </c>
      <c r="AT381">
        <v>5.1265962177814428E-3</v>
      </c>
      <c r="AU381">
        <v>1.9757781051433138E-3</v>
      </c>
      <c r="AV381">
        <v>2.3665417987102089E-3</v>
      </c>
      <c r="AW381">
        <v>3.3373272572284696E-3</v>
      </c>
      <c r="AX381">
        <v>4.4279062554364312E-4</v>
      </c>
      <c r="AY381">
        <v>3.9390662442794779E-4</v>
      </c>
      <c r="BB381">
        <v>5.1884678913866278E-2</v>
      </c>
      <c r="BC381">
        <v>7.0473700098669601E-2</v>
      </c>
      <c r="BE381">
        <v>70574.0660429821</v>
      </c>
      <c r="BF381">
        <v>16.702769182546692</v>
      </c>
      <c r="BG381">
        <v>71965.715334122156</v>
      </c>
      <c r="BH381">
        <v>16.613501649431711</v>
      </c>
      <c r="BI381">
        <v>-1391.6492911400564</v>
      </c>
      <c r="BJ381">
        <v>8.9267533114981035E-2</v>
      </c>
    </row>
    <row r="382" spans="3:62" x14ac:dyDescent="0.2">
      <c r="C382" s="121">
        <v>74456.09911268689</v>
      </c>
      <c r="D382" s="121">
        <v>14.151523427336537</v>
      </c>
      <c r="E382" s="121">
        <v>77062.742992649306</v>
      </c>
      <c r="F382" s="121">
        <v>14.007427876277756</v>
      </c>
      <c r="G382" s="121">
        <v>-2606.6438799624157</v>
      </c>
      <c r="H382" s="121">
        <v>0.14409555105878091</v>
      </c>
      <c r="N382" s="121"/>
      <c r="O382" s="121"/>
      <c r="P382" s="121"/>
      <c r="R382">
        <v>273.35065083251436</v>
      </c>
      <c r="S382">
        <v>67.730466521943583</v>
      </c>
      <c r="T382">
        <v>259.75575204948791</v>
      </c>
      <c r="U382">
        <v>97.316952352138884</v>
      </c>
      <c r="X382">
        <v>0.49394077931727154</v>
      </c>
      <c r="Y382">
        <v>0.63790346478617832</v>
      </c>
      <c r="Z382">
        <v>0.75726556828429992</v>
      </c>
      <c r="AA382">
        <v>0.7678286001654453</v>
      </c>
      <c r="AB382">
        <v>0.4723124503939915</v>
      </c>
      <c r="AC382">
        <v>0.59282091525632141</v>
      </c>
      <c r="AD382">
        <v>0.67375830866919229</v>
      </c>
      <c r="AE382">
        <v>0.66091658102351103</v>
      </c>
      <c r="AH382">
        <v>8.357660692531832E-2</v>
      </c>
      <c r="AI382">
        <v>0.20707959596611536</v>
      </c>
      <c r="AJ382">
        <v>6.4509662825791403E-2</v>
      </c>
      <c r="AK382">
        <v>0.12777148667408411</v>
      </c>
      <c r="AL382">
        <v>4.6974372047256518E-2</v>
      </c>
      <c r="AM382">
        <v>0.17926576730754629</v>
      </c>
      <c r="AN382">
        <v>0.10811761697712985</v>
      </c>
      <c r="AO382">
        <v>0.18237641888798173</v>
      </c>
      <c r="AR382">
        <v>8.2814968187215501E-4</v>
      </c>
      <c r="AS382">
        <v>4.6143825954322315E-3</v>
      </c>
      <c r="AT382">
        <v>4.5957989356948878E-3</v>
      </c>
      <c r="AU382">
        <v>2.1168868320609047E-3</v>
      </c>
      <c r="AV382">
        <v>1.8290899055038556E-3</v>
      </c>
      <c r="AW382">
        <v>3.6692189492155691E-3</v>
      </c>
      <c r="AX382">
        <v>4.5198263911971903E-4</v>
      </c>
      <c r="AY382">
        <v>5.1613462824073864E-4</v>
      </c>
      <c r="BB382">
        <v>4.5347924735686329E-2</v>
      </c>
      <c r="BC382">
        <v>1.7808805345557312E-2</v>
      </c>
      <c r="BE382">
        <v>74456.09911268689</v>
      </c>
      <c r="BF382">
        <v>14.151523427336537</v>
      </c>
      <c r="BG382">
        <v>77062.742992649306</v>
      </c>
      <c r="BH382">
        <v>14.007427876277756</v>
      </c>
      <c r="BI382">
        <v>-2606.6438799624157</v>
      </c>
      <c r="BJ382">
        <v>0.14409555105878091</v>
      </c>
    </row>
    <row r="383" spans="3:62" x14ac:dyDescent="0.2">
      <c r="C383" s="121">
        <v>65317.885659427433</v>
      </c>
      <c r="D383" s="121">
        <v>17.044602160295803</v>
      </c>
      <c r="E383" s="121">
        <v>66821.803669787361</v>
      </c>
      <c r="F383" s="121">
        <v>16.912275752229547</v>
      </c>
      <c r="G383" s="121">
        <v>-1503.9180103599283</v>
      </c>
      <c r="H383" s="121">
        <v>0.1323264080662554</v>
      </c>
      <c r="N383" s="121"/>
      <c r="O383" s="121"/>
      <c r="P383" s="121"/>
      <c r="R383">
        <v>277.64770515007586</v>
      </c>
      <c r="S383">
        <v>56.470292645757304</v>
      </c>
      <c r="T383">
        <v>317.73814147912572</v>
      </c>
      <c r="U383">
        <v>110.35073422634262</v>
      </c>
      <c r="X383">
        <v>0.71479780044253505</v>
      </c>
      <c r="Y383">
        <v>0.86789795983886797</v>
      </c>
      <c r="Z383">
        <v>0.65859431548037062</v>
      </c>
      <c r="AA383">
        <v>0.86651173683683336</v>
      </c>
      <c r="AB383">
        <v>0.73299312733241528</v>
      </c>
      <c r="AC383">
        <v>0.7957787555300706</v>
      </c>
      <c r="AD383">
        <v>0.69772748495318015</v>
      </c>
      <c r="AE383">
        <v>0.7315536645188504</v>
      </c>
      <c r="AH383">
        <v>0.31750281756953314</v>
      </c>
      <c r="AI383">
        <v>0.23206804712934914</v>
      </c>
      <c r="AJ383">
        <v>0.10410303138605304</v>
      </c>
      <c r="AK383">
        <v>0.12866792407291361</v>
      </c>
      <c r="AL383">
        <v>8.9260910778188651E-2</v>
      </c>
      <c r="AM383">
        <v>0.13616070864637642</v>
      </c>
      <c r="AN383">
        <v>6.0960651144484679E-2</v>
      </c>
      <c r="AO383">
        <v>1.7154186737775023E-2</v>
      </c>
      <c r="AR383">
        <v>8.249063881344105E-4</v>
      </c>
      <c r="AS383">
        <v>4.2059921461856161E-3</v>
      </c>
      <c r="AT383">
        <v>4.8571060271218758E-3</v>
      </c>
      <c r="AU383">
        <v>2.1204240326035961E-3</v>
      </c>
      <c r="AV383">
        <v>2.0740306807955911E-3</v>
      </c>
      <c r="AW383">
        <v>3.635201781539199E-3</v>
      </c>
      <c r="AX383">
        <v>4.1550741758700216E-4</v>
      </c>
      <c r="AY383">
        <v>4.0198646257953409E-4</v>
      </c>
      <c r="BB383">
        <v>4.2436834981737746E-2</v>
      </c>
      <c r="BC383">
        <v>2.3333486324054065E-2</v>
      </c>
      <c r="BE383">
        <v>65317.885659427433</v>
      </c>
      <c r="BF383">
        <v>17.044602160295803</v>
      </c>
      <c r="BG383">
        <v>66821.803669787361</v>
      </c>
      <c r="BH383">
        <v>16.912275752229547</v>
      </c>
      <c r="BI383">
        <v>-1503.9180103599283</v>
      </c>
      <c r="BJ383">
        <v>0.1323264080662554</v>
      </c>
    </row>
    <row r="384" spans="3:62" x14ac:dyDescent="0.2">
      <c r="C384" s="121">
        <v>69764.892854541162</v>
      </c>
      <c r="D384" s="121">
        <v>16.325968810175752</v>
      </c>
      <c r="E384" s="121">
        <v>71817.355276521805</v>
      </c>
      <c r="F384" s="121">
        <v>16.169829434614037</v>
      </c>
      <c r="G384" s="121">
        <v>-2052.4624219806428</v>
      </c>
      <c r="H384" s="121">
        <v>0.15613937556171464</v>
      </c>
      <c r="N384" s="121"/>
      <c r="O384" s="121"/>
      <c r="P384" s="121"/>
      <c r="R384">
        <v>212.35036986006043</v>
      </c>
      <c r="S384">
        <v>63.886434604098923</v>
      </c>
      <c r="T384">
        <v>241.67441308444572</v>
      </c>
      <c r="U384">
        <v>67.0754450883354</v>
      </c>
      <c r="X384">
        <v>0.87190471656330581</v>
      </c>
      <c r="Y384">
        <v>0.72668652646485821</v>
      </c>
      <c r="Z384">
        <v>0.83624039029434827</v>
      </c>
      <c r="AA384">
        <v>0.92758770318630335</v>
      </c>
      <c r="AB384">
        <v>0.78113646739828591</v>
      </c>
      <c r="AC384">
        <v>0.9175435830164056</v>
      </c>
      <c r="AD384">
        <v>0.96213040066733269</v>
      </c>
      <c r="AE384">
        <v>0.81289861106245975</v>
      </c>
      <c r="AH384">
        <v>4.8142193469128847E-2</v>
      </c>
      <c r="AI384">
        <v>0.17410458146039676</v>
      </c>
      <c r="AJ384">
        <v>0.24016828314053384</v>
      </c>
      <c r="AK384">
        <v>0.16006764545041785</v>
      </c>
      <c r="AL384">
        <v>0.10375240107238148</v>
      </c>
      <c r="AM384">
        <v>0.13697419038960901</v>
      </c>
      <c r="AN384">
        <v>0.10810487233659605</v>
      </c>
      <c r="AO384">
        <v>0.17926460529716748</v>
      </c>
      <c r="AR384">
        <v>9.627024222843561E-4</v>
      </c>
      <c r="AS384">
        <v>4.5892888475588256E-3</v>
      </c>
      <c r="AT384">
        <v>4.722957139033152E-3</v>
      </c>
      <c r="AU384">
        <v>2.0200670835520684E-3</v>
      </c>
      <c r="AV384">
        <v>2.0083047955413713E-3</v>
      </c>
      <c r="AW384">
        <v>3.2223381077764769E-3</v>
      </c>
      <c r="AX384">
        <v>4.9936892734947502E-4</v>
      </c>
      <c r="AY384">
        <v>4.2040686640175829E-4</v>
      </c>
      <c r="BB384">
        <v>5.3873477190149233E-2</v>
      </c>
      <c r="BC384">
        <v>4.048308158460185E-2</v>
      </c>
      <c r="BE384">
        <v>69764.892854541162</v>
      </c>
      <c r="BF384">
        <v>16.325968810175752</v>
      </c>
      <c r="BG384">
        <v>71817.355276521805</v>
      </c>
      <c r="BH384">
        <v>16.169829434614037</v>
      </c>
      <c r="BI384">
        <v>-2052.4624219806428</v>
      </c>
      <c r="BJ384">
        <v>0.15613937556171464</v>
      </c>
    </row>
    <row r="385" spans="3:62" x14ac:dyDescent="0.2">
      <c r="C385" s="121">
        <v>69006.373340645805</v>
      </c>
      <c r="D385" s="121">
        <v>16.99188482079418</v>
      </c>
      <c r="E385" s="121">
        <v>70827.223450286809</v>
      </c>
      <c r="F385" s="121">
        <v>16.871190796807934</v>
      </c>
      <c r="G385" s="121">
        <v>-1820.8501096410037</v>
      </c>
      <c r="H385" s="121">
        <v>0.12069402398624618</v>
      </c>
      <c r="N385" s="121"/>
      <c r="O385" s="121"/>
      <c r="P385" s="121"/>
      <c r="R385">
        <v>143.74086480142427</v>
      </c>
      <c r="S385">
        <v>65.319152425913572</v>
      </c>
      <c r="T385">
        <v>247.70531453349665</v>
      </c>
      <c r="U385">
        <v>100.39959139458333</v>
      </c>
      <c r="X385">
        <v>0.63553925053510429</v>
      </c>
      <c r="Y385">
        <v>0.49246368866753759</v>
      </c>
      <c r="Z385">
        <v>0.60067821039477431</v>
      </c>
      <c r="AA385">
        <v>0.80758411120816265</v>
      </c>
      <c r="AB385">
        <v>0.75188846727207859</v>
      </c>
      <c r="AC385">
        <v>0.79644855515434965</v>
      </c>
      <c r="AD385">
        <v>0.60673017701310294</v>
      </c>
      <c r="AE385">
        <v>0.7663713510437169</v>
      </c>
      <c r="AH385">
        <v>0.11283802153400646</v>
      </c>
      <c r="AI385">
        <v>3.1947301759010172E-2</v>
      </c>
      <c r="AJ385">
        <v>0.11983519712962543</v>
      </c>
      <c r="AK385">
        <v>0.13735855988251755</v>
      </c>
      <c r="AL385">
        <v>0.22235626441594314</v>
      </c>
      <c r="AM385">
        <v>4.7336253361723535E-2</v>
      </c>
      <c r="AN385">
        <v>7.111877032854208E-3</v>
      </c>
      <c r="AO385">
        <v>0.1241454444532023</v>
      </c>
      <c r="AR385">
        <v>1.009676149634986E-3</v>
      </c>
      <c r="AS385">
        <v>4.7275911760649159E-3</v>
      </c>
      <c r="AT385">
        <v>5.0954881388856066E-3</v>
      </c>
      <c r="AU385">
        <v>2.1295217142340839E-3</v>
      </c>
      <c r="AV385">
        <v>1.9717544650331422E-3</v>
      </c>
      <c r="AW385">
        <v>3.0021327843965787E-3</v>
      </c>
      <c r="AX385">
        <v>4.0028201254782569E-4</v>
      </c>
      <c r="AY385">
        <v>4.9115525972287521E-4</v>
      </c>
      <c r="BB385">
        <v>4.746659243032119E-2</v>
      </c>
      <c r="BC385">
        <v>3.9162881374834584E-2</v>
      </c>
      <c r="BE385">
        <v>69006.373340645805</v>
      </c>
      <c r="BF385">
        <v>16.99188482079418</v>
      </c>
      <c r="BG385">
        <v>70827.223450286809</v>
      </c>
      <c r="BH385">
        <v>16.871190796807934</v>
      </c>
      <c r="BI385">
        <v>-1820.8501096410037</v>
      </c>
      <c r="BJ385">
        <v>0.12069402398624618</v>
      </c>
    </row>
    <row r="386" spans="3:62" x14ac:dyDescent="0.2">
      <c r="C386" s="121">
        <v>57752.932540189133</v>
      </c>
      <c r="D386" s="121">
        <v>16.409219020931765</v>
      </c>
      <c r="E386" s="121">
        <v>59040.0778878899</v>
      </c>
      <c r="F386" s="121">
        <v>16.336026804425568</v>
      </c>
      <c r="G386" s="121">
        <v>-1287.1453477007672</v>
      </c>
      <c r="H386" s="121">
        <v>7.3192216506196672E-2</v>
      </c>
      <c r="N386" s="121"/>
      <c r="O386" s="121"/>
      <c r="P386" s="121"/>
      <c r="R386">
        <v>86.335503230353737</v>
      </c>
      <c r="S386">
        <v>54.953603300383151</v>
      </c>
      <c r="T386">
        <v>237.6752628633582</v>
      </c>
      <c r="U386">
        <v>107.11422489436906</v>
      </c>
      <c r="X386">
        <v>0.9801337496135909</v>
      </c>
      <c r="Y386">
        <v>0.7722650844146014</v>
      </c>
      <c r="Z386">
        <v>0.74859040809484556</v>
      </c>
      <c r="AA386">
        <v>0.6769339152472913</v>
      </c>
      <c r="AB386">
        <v>0.65872345907829166</v>
      </c>
      <c r="AC386">
        <v>0.77276133109343337</v>
      </c>
      <c r="AD386">
        <v>0.72414548083032271</v>
      </c>
      <c r="AE386">
        <v>0.6035295254976909</v>
      </c>
      <c r="AH386">
        <v>7.0341790096437595E-2</v>
      </c>
      <c r="AI386">
        <v>0.19486809952915296</v>
      </c>
      <c r="AJ386">
        <v>0.10231429211260656</v>
      </c>
      <c r="AK386">
        <v>0.24625909802559565</v>
      </c>
      <c r="AL386">
        <v>0.19202594410130902</v>
      </c>
      <c r="AM386">
        <v>9.3354161089994392E-2</v>
      </c>
      <c r="AN386">
        <v>0.13684489686243029</v>
      </c>
      <c r="AO386">
        <v>0.22280641746939067</v>
      </c>
      <c r="AR386">
        <v>9.9675173311986054E-4</v>
      </c>
      <c r="AS386">
        <v>4.2008916972713752E-3</v>
      </c>
      <c r="AT386">
        <v>4.9329797972152353E-3</v>
      </c>
      <c r="AU386">
        <v>2.0756305008362563E-3</v>
      </c>
      <c r="AV386">
        <v>2.0172149523405292E-3</v>
      </c>
      <c r="AW386">
        <v>3.3931254154088201E-3</v>
      </c>
      <c r="AX386">
        <v>5.4931747693443E-4</v>
      </c>
      <c r="AY386">
        <v>4.2124071799865611E-4</v>
      </c>
      <c r="BB386">
        <v>5.6621350071033971E-2</v>
      </c>
      <c r="BC386">
        <v>3.1208285287747006E-2</v>
      </c>
      <c r="BE386">
        <v>57752.932540189133</v>
      </c>
      <c r="BF386">
        <v>16.409219020931765</v>
      </c>
      <c r="BG386">
        <v>59040.0778878899</v>
      </c>
      <c r="BH386">
        <v>16.336026804425568</v>
      </c>
      <c r="BI386">
        <v>-1287.1453477007672</v>
      </c>
      <c r="BJ386">
        <v>7.3192216506196672E-2</v>
      </c>
    </row>
    <row r="387" spans="3:62" x14ac:dyDescent="0.2">
      <c r="C387" s="121">
        <v>64820.408356125241</v>
      </c>
      <c r="D387" s="121">
        <v>17.271512812309467</v>
      </c>
      <c r="E387" s="121">
        <v>66692.725602104823</v>
      </c>
      <c r="F387" s="121">
        <v>17.170874483756879</v>
      </c>
      <c r="G387" s="121">
        <v>-1872.3172459795824</v>
      </c>
      <c r="H387" s="121">
        <v>0.10063832855258781</v>
      </c>
      <c r="N387" s="121"/>
      <c r="O387" s="121"/>
      <c r="P387" s="121"/>
      <c r="R387">
        <v>175.73168350494379</v>
      </c>
      <c r="S387">
        <v>56.514743100255792</v>
      </c>
      <c r="T387">
        <v>262.70916876945222</v>
      </c>
      <c r="U387">
        <v>85.420293281160752</v>
      </c>
      <c r="X387">
        <v>0.54894608506165132</v>
      </c>
      <c r="Y387">
        <v>0.89062286895774856</v>
      </c>
      <c r="Z387">
        <v>0.88018745748378058</v>
      </c>
      <c r="AA387">
        <v>0.68135200553805453</v>
      </c>
      <c r="AB387">
        <v>0.55892190641835671</v>
      </c>
      <c r="AC387">
        <v>0.73016598172257197</v>
      </c>
      <c r="AD387">
        <v>0.87642896162448447</v>
      </c>
      <c r="AE387">
        <v>0.80691755619294792</v>
      </c>
      <c r="AH387">
        <v>0.129809236045898</v>
      </c>
      <c r="AI387">
        <v>0.19566931753745276</v>
      </c>
      <c r="AJ387">
        <v>0.17611853672891797</v>
      </c>
      <c r="AK387">
        <v>4.0162170941014042E-2</v>
      </c>
      <c r="AL387">
        <v>0.1346501800804305</v>
      </c>
      <c r="AM387">
        <v>0.15395727025957584</v>
      </c>
      <c r="AN387">
        <v>4.160457573987586E-2</v>
      </c>
      <c r="AO387">
        <v>3.574999207007401E-2</v>
      </c>
      <c r="AR387">
        <v>9.9847352873605466E-4</v>
      </c>
      <c r="AS387">
        <v>4.239002194848537E-3</v>
      </c>
      <c r="AT387">
        <v>4.5992950466372823E-3</v>
      </c>
      <c r="AU387">
        <v>2.6022962975084107E-3</v>
      </c>
      <c r="AV387">
        <v>2.1779366915690712E-3</v>
      </c>
      <c r="AW387">
        <v>3.3065810008281785E-3</v>
      </c>
      <c r="AX387">
        <v>4.2528550723597291E-4</v>
      </c>
      <c r="AY387">
        <v>4.9485373334001714E-4</v>
      </c>
      <c r="BB387">
        <v>4.6575209766099301E-2</v>
      </c>
      <c r="BC387">
        <v>2.1927075775527455E-2</v>
      </c>
      <c r="BE387">
        <v>64820.408356125241</v>
      </c>
      <c r="BF387">
        <v>17.271512812309467</v>
      </c>
      <c r="BG387">
        <v>66692.725602104823</v>
      </c>
      <c r="BH387">
        <v>17.170874483756879</v>
      </c>
      <c r="BI387">
        <v>-1872.3172459795824</v>
      </c>
      <c r="BJ387">
        <v>0.10063832855258781</v>
      </c>
    </row>
    <row r="388" spans="3:62" x14ac:dyDescent="0.2">
      <c r="C388" s="121">
        <v>73112.717793907301</v>
      </c>
      <c r="D388" s="121">
        <v>17.136156122372277</v>
      </c>
      <c r="E388" s="121">
        <v>74626.025277194945</v>
      </c>
      <c r="F388" s="121">
        <v>17.037386085687142</v>
      </c>
      <c r="G388" s="121">
        <v>-1513.3074832876446</v>
      </c>
      <c r="H388" s="121">
        <v>9.8770036685134954E-2</v>
      </c>
      <c r="N388" s="121"/>
      <c r="O388" s="121"/>
      <c r="P388" s="121"/>
      <c r="R388">
        <v>179.29250006087528</v>
      </c>
      <c r="S388">
        <v>64.323537180487918</v>
      </c>
      <c r="T388">
        <v>216.48215643245737</v>
      </c>
      <c r="U388">
        <v>109.67986335045813</v>
      </c>
      <c r="X388">
        <v>0.6767979354015542</v>
      </c>
      <c r="Y388">
        <v>0.78800028017424073</v>
      </c>
      <c r="Z388">
        <v>0.64353352154338805</v>
      </c>
      <c r="AA388">
        <v>0.64105410372407612</v>
      </c>
      <c r="AB388">
        <v>0.60922150197653302</v>
      </c>
      <c r="AC388">
        <v>0.74452998964207939</v>
      </c>
      <c r="AD388">
        <v>0.77110933333961762</v>
      </c>
      <c r="AE388">
        <v>0.64462614227088844</v>
      </c>
      <c r="AH388">
        <v>0.10108773406134719</v>
      </c>
      <c r="AI388">
        <v>1.1730410752538556E-2</v>
      </c>
      <c r="AJ388">
        <v>7.4909507120941798E-2</v>
      </c>
      <c r="AK388">
        <v>0.126772523294432</v>
      </c>
      <c r="AL388">
        <v>0.4139595882967767</v>
      </c>
      <c r="AM388">
        <v>7.8764666934877159E-2</v>
      </c>
      <c r="AN388">
        <v>7.0771865158950398E-2</v>
      </c>
      <c r="AO388">
        <v>0.14110318510274056</v>
      </c>
      <c r="AR388">
        <v>8.6716132739864452E-4</v>
      </c>
      <c r="AS388">
        <v>4.5241945831500097E-3</v>
      </c>
      <c r="AT388">
        <v>4.8195451126386282E-3</v>
      </c>
      <c r="AU388">
        <v>1.88151293515106E-3</v>
      </c>
      <c r="AV388">
        <v>1.8260888087962915E-3</v>
      </c>
      <c r="AW388">
        <v>3.3910789752442947E-3</v>
      </c>
      <c r="AX388">
        <v>3.4229501611826802E-4</v>
      </c>
      <c r="AY388">
        <v>4.0709572493569356E-4</v>
      </c>
      <c r="BB388">
        <v>4.8051540739991676E-2</v>
      </c>
      <c r="BC388">
        <v>2.853361317767001E-2</v>
      </c>
      <c r="BE388">
        <v>73112.717793907301</v>
      </c>
      <c r="BF388">
        <v>17.136156122372277</v>
      </c>
      <c r="BG388">
        <v>74626.025277194945</v>
      </c>
      <c r="BH388">
        <v>17.037386085687142</v>
      </c>
      <c r="BI388">
        <v>-1513.3074832876446</v>
      </c>
      <c r="BJ388">
        <v>9.8770036685134954E-2</v>
      </c>
    </row>
    <row r="389" spans="3:62" x14ac:dyDescent="0.2">
      <c r="C389" s="121">
        <v>77113.415650427778</v>
      </c>
      <c r="D389" s="121">
        <v>16.304560264705561</v>
      </c>
      <c r="E389" s="121">
        <v>79275.701354588527</v>
      </c>
      <c r="F389" s="121">
        <v>16.157680238332237</v>
      </c>
      <c r="G389" s="121">
        <v>-2162.2857041607494</v>
      </c>
      <c r="H389" s="121">
        <v>0.14688002637332431</v>
      </c>
      <c r="N389" s="121"/>
      <c r="O389" s="121"/>
      <c r="P389" s="121"/>
      <c r="R389">
        <v>334.70704887553944</v>
      </c>
      <c r="S389">
        <v>62.079865867640244</v>
      </c>
      <c r="T389">
        <v>259.53170807929934</v>
      </c>
      <c r="U389">
        <v>94.970464958241294</v>
      </c>
      <c r="X389">
        <v>0.6925378393597299</v>
      </c>
      <c r="Y389">
        <v>0.53250988946660116</v>
      </c>
      <c r="Z389">
        <v>0.54647341812880912</v>
      </c>
      <c r="AA389">
        <v>0.82224982683116943</v>
      </c>
      <c r="AB389">
        <v>0.62771190966027868</v>
      </c>
      <c r="AC389">
        <v>0.3618323655689254</v>
      </c>
      <c r="AD389">
        <v>0.9499401721281151</v>
      </c>
      <c r="AE389">
        <v>0.81669676746660624</v>
      </c>
      <c r="AH389">
        <v>0.3288271497479579</v>
      </c>
      <c r="AI389">
        <v>0.12585762168821535</v>
      </c>
      <c r="AJ389">
        <v>0.1667350132368639</v>
      </c>
      <c r="AK389">
        <v>0.11566852153355789</v>
      </c>
      <c r="AL389">
        <v>0.35111433865149799</v>
      </c>
      <c r="AM389">
        <v>0.1560481184761735</v>
      </c>
      <c r="AN389">
        <v>8.7802555938163662E-2</v>
      </c>
      <c r="AO389">
        <v>2.8094901890612256E-2</v>
      </c>
      <c r="AR389">
        <v>8.9449715338218994E-4</v>
      </c>
      <c r="AS389">
        <v>4.1648078299380276E-3</v>
      </c>
      <c r="AT389">
        <v>4.5864381792429442E-3</v>
      </c>
      <c r="AU389">
        <v>2.1086679836915811E-3</v>
      </c>
      <c r="AV389">
        <v>1.8899521346682554E-3</v>
      </c>
      <c r="AW389">
        <v>3.4536900093005141E-3</v>
      </c>
      <c r="AX389">
        <v>4.4522692025161792E-4</v>
      </c>
      <c r="AY389">
        <v>4.4928024443025016E-4</v>
      </c>
      <c r="BB389">
        <v>4.9339716545008759E-2</v>
      </c>
      <c r="BC389">
        <v>5.5612428116586288E-2</v>
      </c>
      <c r="BE389">
        <v>77113.415650427778</v>
      </c>
      <c r="BF389">
        <v>16.304560264705561</v>
      </c>
      <c r="BG389">
        <v>79275.701354588527</v>
      </c>
      <c r="BH389">
        <v>16.157680238332237</v>
      </c>
      <c r="BI389">
        <v>-2162.2857041607494</v>
      </c>
      <c r="BJ389">
        <v>0.14688002637332431</v>
      </c>
    </row>
    <row r="390" spans="3:62" x14ac:dyDescent="0.2">
      <c r="C390" s="121">
        <v>81068.721500076659</v>
      </c>
      <c r="D390" s="121">
        <v>15.447374202401475</v>
      </c>
      <c r="E390" s="121">
        <v>82527.47514822954</v>
      </c>
      <c r="F390" s="121">
        <v>15.272558390075206</v>
      </c>
      <c r="G390" s="121">
        <v>-1458.7536481528805</v>
      </c>
      <c r="H390" s="121">
        <v>0.17481581232626908</v>
      </c>
      <c r="N390" s="121"/>
      <c r="O390" s="121"/>
      <c r="P390" s="121"/>
      <c r="R390">
        <v>421.68195973907183</v>
      </c>
      <c r="S390">
        <v>59.95080315013692</v>
      </c>
      <c r="T390">
        <v>246.05443972498688</v>
      </c>
      <c r="U390">
        <v>108.90761198147663</v>
      </c>
      <c r="X390">
        <v>0.60585664588409816</v>
      </c>
      <c r="Y390">
        <v>0.84257536216581919</v>
      </c>
      <c r="Z390">
        <v>0.80378448640418099</v>
      </c>
      <c r="AA390">
        <v>0.68216566282078051</v>
      </c>
      <c r="AB390">
        <v>0.89679475975061607</v>
      </c>
      <c r="AC390">
        <v>0.87720447776062094</v>
      </c>
      <c r="AD390">
        <v>0.75553797173387893</v>
      </c>
      <c r="AE390">
        <v>0.80814998390530413</v>
      </c>
      <c r="AH390">
        <v>5.635034522105864E-2</v>
      </c>
      <c r="AI390">
        <v>4.5072395379745722E-2</v>
      </c>
      <c r="AJ390">
        <v>0.26824467791494078</v>
      </c>
      <c r="AK390">
        <v>9.6045316513861279E-2</v>
      </c>
      <c r="AL390">
        <v>6.3667577333021086E-2</v>
      </c>
      <c r="AM390">
        <v>3.9053583875976905E-2</v>
      </c>
      <c r="AN390">
        <v>7.9628644334790666E-2</v>
      </c>
      <c r="AO390">
        <v>3.4518905067647543E-2</v>
      </c>
      <c r="AR390">
        <v>1.0037096996929895E-3</v>
      </c>
      <c r="AS390">
        <v>4.1623284966115443E-3</v>
      </c>
      <c r="AT390">
        <v>4.9302355157160582E-3</v>
      </c>
      <c r="AU390">
        <v>2.1086168499975244E-3</v>
      </c>
      <c r="AV390">
        <v>1.8487096660178858E-3</v>
      </c>
      <c r="AW390">
        <v>3.4814426196614345E-3</v>
      </c>
      <c r="AX390">
        <v>2.9566739564977667E-4</v>
      </c>
      <c r="AY390">
        <v>3.9237473858451508E-4</v>
      </c>
      <c r="BB390">
        <v>5.0053182695641296E-2</v>
      </c>
      <c r="BC390">
        <v>3.3050047239670546E-2</v>
      </c>
      <c r="BE390">
        <v>81068.721500076659</v>
      </c>
      <c r="BF390">
        <v>15.447374202401475</v>
      </c>
      <c r="BG390">
        <v>82527.47514822954</v>
      </c>
      <c r="BH390">
        <v>15.272558390075206</v>
      </c>
      <c r="BI390">
        <v>-1458.7536481528805</v>
      </c>
      <c r="BJ390">
        <v>0.17481581232626908</v>
      </c>
    </row>
    <row r="391" spans="3:62" x14ac:dyDescent="0.2">
      <c r="C391" s="121">
        <v>80965.22731954552</v>
      </c>
      <c r="D391" s="121">
        <v>17.099286166729982</v>
      </c>
      <c r="E391" s="121">
        <v>83417.424137236521</v>
      </c>
      <c r="F391" s="121">
        <v>17.036610013038377</v>
      </c>
      <c r="G391" s="121">
        <v>-2452.1968176910013</v>
      </c>
      <c r="H391" s="121">
        <v>6.2676153691604952E-2</v>
      </c>
      <c r="N391" s="121"/>
      <c r="O391" s="121"/>
      <c r="P391" s="121"/>
      <c r="R391">
        <v>170.20099274385115</v>
      </c>
      <c r="S391">
        <v>61.411274923288637</v>
      </c>
      <c r="T391">
        <v>252.83203025397034</v>
      </c>
      <c r="U391">
        <v>111.46711674500872</v>
      </c>
      <c r="X391">
        <v>0.84933052111891927</v>
      </c>
      <c r="Y391">
        <v>0.79889994334836656</v>
      </c>
      <c r="Z391">
        <v>0.62228296798329319</v>
      </c>
      <c r="AA391">
        <v>0.70094428046804802</v>
      </c>
      <c r="AB391">
        <v>0.91722042827448635</v>
      </c>
      <c r="AC391">
        <v>0.80532130118182854</v>
      </c>
      <c r="AD391">
        <v>0.90660437096797053</v>
      </c>
      <c r="AE391">
        <v>0.61445545239193999</v>
      </c>
      <c r="AH391">
        <v>0.49396618516611901</v>
      </c>
      <c r="AI391">
        <v>6.3478235705888952E-2</v>
      </c>
      <c r="AJ391">
        <v>9.0311109497883901E-2</v>
      </c>
      <c r="AK391">
        <v>0.19945572704699943</v>
      </c>
      <c r="AL391">
        <v>3.793164066516308E-2</v>
      </c>
      <c r="AM391">
        <v>6.2118394704864688E-2</v>
      </c>
      <c r="AN391">
        <v>0.11417049171116278</v>
      </c>
      <c r="AO391">
        <v>5.4818007408840463E-2</v>
      </c>
      <c r="AR391">
        <v>8.4071149486310455E-4</v>
      </c>
      <c r="AS391">
        <v>4.2862362899210313E-3</v>
      </c>
      <c r="AT391">
        <v>4.8616892106185736E-3</v>
      </c>
      <c r="AU391">
        <v>2.1357336899366919E-3</v>
      </c>
      <c r="AV391">
        <v>1.9579716964783504E-3</v>
      </c>
      <c r="AW391">
        <v>3.107247885126568E-3</v>
      </c>
      <c r="AX391">
        <v>4.4508502706852582E-4</v>
      </c>
      <c r="AY391">
        <v>4.2354707900017796E-4</v>
      </c>
      <c r="BB391">
        <v>4.7025632229511491E-2</v>
      </c>
      <c r="BC391">
        <v>8.9280925516792342E-2</v>
      </c>
      <c r="BE391">
        <v>80965.22731954552</v>
      </c>
      <c r="BF391">
        <v>17.099286166729982</v>
      </c>
      <c r="BG391">
        <v>83417.424137236521</v>
      </c>
      <c r="BH391">
        <v>17.036610013038377</v>
      </c>
      <c r="BI391">
        <v>-2452.1968176910013</v>
      </c>
      <c r="BJ391">
        <v>6.2676153691604952E-2</v>
      </c>
    </row>
    <row r="392" spans="3:62" x14ac:dyDescent="0.2">
      <c r="C392" s="121">
        <v>69112.774364572193</v>
      </c>
      <c r="D392" s="121">
        <v>14.085029609219092</v>
      </c>
      <c r="E392" s="121">
        <v>71001.395545539155</v>
      </c>
      <c r="F392" s="121">
        <v>13.937786311703324</v>
      </c>
      <c r="G392" s="121">
        <v>-1888.6211809669621</v>
      </c>
      <c r="H392" s="121">
        <v>0.14724329751576803</v>
      </c>
      <c r="N392" s="121"/>
      <c r="O392" s="121"/>
      <c r="P392" s="121"/>
      <c r="R392">
        <v>220.55826434046617</v>
      </c>
      <c r="S392">
        <v>57.757092372516738</v>
      </c>
      <c r="T392">
        <v>267.02631182939456</v>
      </c>
      <c r="U392">
        <v>94.950402771290825</v>
      </c>
      <c r="X392">
        <v>0.63616350688036427</v>
      </c>
      <c r="Y392">
        <v>0.87648218538987854</v>
      </c>
      <c r="Z392">
        <v>0.80831053764175176</v>
      </c>
      <c r="AA392">
        <v>0.97793164891807582</v>
      </c>
      <c r="AB392">
        <v>0.84563515674046685</v>
      </c>
      <c r="AC392">
        <v>0.66586131031078122</v>
      </c>
      <c r="AD392">
        <v>0.71260789467894303</v>
      </c>
      <c r="AE392">
        <v>0.88133188063767698</v>
      </c>
      <c r="AH392">
        <v>6.4809199315920663E-2</v>
      </c>
      <c r="AI392">
        <v>0.209029470334126</v>
      </c>
      <c r="AJ392">
        <v>2.2659233161602677E-2</v>
      </c>
      <c r="AK392">
        <v>0.22472903238573116</v>
      </c>
      <c r="AL392">
        <v>0.24861359514010495</v>
      </c>
      <c r="AM392">
        <v>0.23187435908711351</v>
      </c>
      <c r="AN392">
        <v>5.91895222400729E-3</v>
      </c>
      <c r="AO392">
        <v>2.7094595211327732E-2</v>
      </c>
      <c r="AR392">
        <v>1.0658983195830363E-3</v>
      </c>
      <c r="AS392">
        <v>4.4233482444760719E-3</v>
      </c>
      <c r="AT392">
        <v>5.1246207181561143E-3</v>
      </c>
      <c r="AU392">
        <v>2.1047417822900316E-3</v>
      </c>
      <c r="AV392">
        <v>1.8876303854521816E-3</v>
      </c>
      <c r="AW392">
        <v>3.2899372766014602E-3</v>
      </c>
      <c r="AX392">
        <v>2.9692267269701064E-4</v>
      </c>
      <c r="AY392">
        <v>3.316739691976535E-4</v>
      </c>
      <c r="BB392">
        <v>5.3421552960555174E-2</v>
      </c>
      <c r="BC392">
        <v>5.7509671857819966E-2</v>
      </c>
      <c r="BE392">
        <v>69112.774364572193</v>
      </c>
      <c r="BF392">
        <v>14.085029609219092</v>
      </c>
      <c r="BG392">
        <v>71001.395545539155</v>
      </c>
      <c r="BH392">
        <v>13.937786311703324</v>
      </c>
      <c r="BI392">
        <v>-1888.6211809669621</v>
      </c>
      <c r="BJ392">
        <v>0.14724329751576803</v>
      </c>
    </row>
    <row r="393" spans="3:62" x14ac:dyDescent="0.2">
      <c r="C393" s="121">
        <v>61666.396973950643</v>
      </c>
      <c r="D393" s="121">
        <v>16.606790596887596</v>
      </c>
      <c r="E393" s="121">
        <v>62892.463580798503</v>
      </c>
      <c r="F393" s="121">
        <v>16.498087841951428</v>
      </c>
      <c r="G393" s="121">
        <v>-1226.0666068478604</v>
      </c>
      <c r="H393" s="121">
        <v>0.10870275493616788</v>
      </c>
      <c r="N393" s="121"/>
      <c r="O393" s="121"/>
      <c r="P393" s="121"/>
      <c r="R393">
        <v>240.0459336136982</v>
      </c>
      <c r="S393">
        <v>57.870272570500624</v>
      </c>
      <c r="T393">
        <v>235.05162613746683</v>
      </c>
      <c r="U393">
        <v>73.740011015973494</v>
      </c>
      <c r="X393">
        <v>0.61798668449512306</v>
      </c>
      <c r="Y393">
        <v>0.90640392911564838</v>
      </c>
      <c r="Z393">
        <v>0.74357940803302303</v>
      </c>
      <c r="AA393">
        <v>0.65574288139950399</v>
      </c>
      <c r="AB393">
        <v>0.49564318838476362</v>
      </c>
      <c r="AC393">
        <v>0.76014203330600083</v>
      </c>
      <c r="AD393">
        <v>0.81317521667900627</v>
      </c>
      <c r="AE393">
        <v>0.85809101957610445</v>
      </c>
      <c r="AH393">
        <v>0.27171803664637073</v>
      </c>
      <c r="AI393">
        <v>3.0659396707201525E-2</v>
      </c>
      <c r="AJ393">
        <v>9.0850784782206873E-2</v>
      </c>
      <c r="AK393">
        <v>5.1128352088172568E-2</v>
      </c>
      <c r="AL393">
        <v>0.19211919916574749</v>
      </c>
      <c r="AM393">
        <v>0.22138030925884211</v>
      </c>
      <c r="AN393">
        <v>0.19354141238607958</v>
      </c>
      <c r="AO393">
        <v>4.2506813051894632E-2</v>
      </c>
      <c r="AR393">
        <v>8.9055882647870455E-4</v>
      </c>
      <c r="AS393">
        <v>4.298390174740002E-3</v>
      </c>
      <c r="AT393">
        <v>4.8957938699057575E-3</v>
      </c>
      <c r="AU393">
        <v>1.8163441682992369E-3</v>
      </c>
      <c r="AV393">
        <v>2.1430604976254708E-3</v>
      </c>
      <c r="AW393">
        <v>3.4117786647057669E-3</v>
      </c>
      <c r="AX393">
        <v>5.1648852886432284E-4</v>
      </c>
      <c r="AY393">
        <v>4.3341201766285278E-4</v>
      </c>
      <c r="BB393">
        <v>6.0863088750491845E-2</v>
      </c>
      <c r="BC393">
        <v>3.4260262955271722E-2</v>
      </c>
      <c r="BE393">
        <v>61666.396973950643</v>
      </c>
      <c r="BF393">
        <v>16.606790596887596</v>
      </c>
      <c r="BG393">
        <v>62892.463580798503</v>
      </c>
      <c r="BH393">
        <v>16.498087841951428</v>
      </c>
      <c r="BI393">
        <v>-1226.0666068478604</v>
      </c>
      <c r="BJ393">
        <v>0.10870275493616788</v>
      </c>
    </row>
    <row r="394" spans="3:62" x14ac:dyDescent="0.2">
      <c r="C394" s="121">
        <v>73301.68650185439</v>
      </c>
      <c r="D394" s="121">
        <v>16.142926603290825</v>
      </c>
      <c r="E394" s="121">
        <v>74736.123281851353</v>
      </c>
      <c r="F394" s="121">
        <v>16.082690206075487</v>
      </c>
      <c r="G394" s="121">
        <v>-1434.4367799969623</v>
      </c>
      <c r="H394" s="121">
        <v>6.0236397215337689E-2</v>
      </c>
      <c r="N394" s="121"/>
      <c r="O394" s="121"/>
      <c r="P394" s="121"/>
      <c r="R394">
        <v>292.09968896003875</v>
      </c>
      <c r="S394">
        <v>61.041038162158749</v>
      </c>
      <c r="T394">
        <v>232.01191858754461</v>
      </c>
      <c r="U394">
        <v>97.441540903555918</v>
      </c>
      <c r="X394">
        <v>0.7735893138399248</v>
      </c>
      <c r="Y394">
        <v>0.68366381681051669</v>
      </c>
      <c r="Z394">
        <v>0.57620815895303978</v>
      </c>
      <c r="AA394">
        <v>0.8594849361633552</v>
      </c>
      <c r="AB394">
        <v>0.74074251892405985</v>
      </c>
      <c r="AC394">
        <v>0.8253001562749086</v>
      </c>
      <c r="AD394">
        <v>0.77094329375333004</v>
      </c>
      <c r="AE394">
        <v>0.76109994117763435</v>
      </c>
      <c r="AH394">
        <v>2.8989171122433932E-2</v>
      </c>
      <c r="AI394">
        <v>0.25612898461715505</v>
      </c>
      <c r="AJ394">
        <v>8.5786446596196275E-2</v>
      </c>
      <c r="AK394">
        <v>6.4934773877527996E-2</v>
      </c>
      <c r="AL394">
        <v>0.14370037069773978</v>
      </c>
      <c r="AM394">
        <v>0.20426531673988091</v>
      </c>
      <c r="AN394">
        <v>6.9545264840568999E-2</v>
      </c>
      <c r="AO394">
        <v>0.14667303646425134</v>
      </c>
      <c r="AR394">
        <v>9.0833914627796997E-4</v>
      </c>
      <c r="AS394">
        <v>4.4779535264828927E-3</v>
      </c>
      <c r="AT394">
        <v>4.8746422622467844E-3</v>
      </c>
      <c r="AU394">
        <v>1.819946757889293E-3</v>
      </c>
      <c r="AV394">
        <v>1.9620394890282507E-3</v>
      </c>
      <c r="AW394">
        <v>3.2101442286601315E-3</v>
      </c>
      <c r="AX394">
        <v>4.8500618767777226E-4</v>
      </c>
      <c r="AY394">
        <v>4.2186780606463526E-4</v>
      </c>
      <c r="BB394">
        <v>5.0288462984949267E-2</v>
      </c>
      <c r="BC394">
        <v>3.2573234918163024E-2</v>
      </c>
      <c r="BE394">
        <v>73301.68650185439</v>
      </c>
      <c r="BF394">
        <v>16.142926603290825</v>
      </c>
      <c r="BG394">
        <v>74736.123281851353</v>
      </c>
      <c r="BH394">
        <v>16.082690206075487</v>
      </c>
      <c r="BI394">
        <v>-1434.4367799969623</v>
      </c>
      <c r="BJ394">
        <v>6.0236397215337689E-2</v>
      </c>
    </row>
    <row r="395" spans="3:62" x14ac:dyDescent="0.2">
      <c r="C395" s="121">
        <v>78832.41768322188</v>
      </c>
      <c r="D395" s="121">
        <v>14.585360782246477</v>
      </c>
      <c r="E395" s="121">
        <v>80645.617929581815</v>
      </c>
      <c r="F395" s="121">
        <v>14.49460313069401</v>
      </c>
      <c r="G395" s="121">
        <v>-1813.2002463599347</v>
      </c>
      <c r="H395" s="121">
        <v>9.0757651552467067E-2</v>
      </c>
      <c r="N395" s="121"/>
      <c r="O395" s="121"/>
      <c r="P395" s="121"/>
      <c r="R395">
        <v>303.21478520193585</v>
      </c>
      <c r="S395">
        <v>52.489170405761612</v>
      </c>
      <c r="T395">
        <v>248.28481434655399</v>
      </c>
      <c r="U395">
        <v>109.42677897667491</v>
      </c>
      <c r="X395">
        <v>0.6529167406093932</v>
      </c>
      <c r="Y395">
        <v>0.83492541819208743</v>
      </c>
      <c r="Z395">
        <v>0.76696506746872462</v>
      </c>
      <c r="AA395">
        <v>0.81476253008242661</v>
      </c>
      <c r="AB395">
        <v>0.76812581662638579</v>
      </c>
      <c r="AC395">
        <v>0.94096197337949317</v>
      </c>
      <c r="AD395">
        <v>0.8697034789297956</v>
      </c>
      <c r="AE395">
        <v>0.60533508228548349</v>
      </c>
      <c r="AH395">
        <v>6.2924095097676602E-2</v>
      </c>
      <c r="AI395">
        <v>4.3984723414396965E-2</v>
      </c>
      <c r="AJ395">
        <v>0.16598571505843729</v>
      </c>
      <c r="AK395">
        <v>0.11508286249117272</v>
      </c>
      <c r="AL395">
        <v>5.7355912317798241E-2</v>
      </c>
      <c r="AM395">
        <v>0.22746081934009788</v>
      </c>
      <c r="AN395">
        <v>3.1798237691027964E-2</v>
      </c>
      <c r="AO395">
        <v>0.23417780412765654</v>
      </c>
      <c r="AR395">
        <v>8.753518070449154E-4</v>
      </c>
      <c r="AS395">
        <v>4.3185986873345971E-3</v>
      </c>
      <c r="AT395">
        <v>4.8055884554497295E-3</v>
      </c>
      <c r="AU395">
        <v>2.0180516002626936E-3</v>
      </c>
      <c r="AV395">
        <v>2.1111690494804991E-3</v>
      </c>
      <c r="AW395">
        <v>3.3779420918170658E-3</v>
      </c>
      <c r="AX395">
        <v>3.8503229528467897E-4</v>
      </c>
      <c r="AY395">
        <v>4.33586614781376E-4</v>
      </c>
      <c r="BB395">
        <v>5.1064000200178539E-2</v>
      </c>
      <c r="BC395">
        <v>4.7674115619389723E-2</v>
      </c>
      <c r="BE395">
        <v>78832.41768322188</v>
      </c>
      <c r="BF395">
        <v>14.585360782246477</v>
      </c>
      <c r="BG395">
        <v>80645.617929581815</v>
      </c>
      <c r="BH395">
        <v>14.49460313069401</v>
      </c>
      <c r="BI395">
        <v>-1813.2002463599347</v>
      </c>
      <c r="BJ395">
        <v>9.0757651552467067E-2</v>
      </c>
    </row>
    <row r="396" spans="3:62" x14ac:dyDescent="0.2">
      <c r="C396" s="121">
        <v>71076.919099691935</v>
      </c>
      <c r="D396" s="121">
        <v>17.223843595279654</v>
      </c>
      <c r="E396" s="121">
        <v>73163.83863609824</v>
      </c>
      <c r="F396" s="121">
        <v>17.080676041481901</v>
      </c>
      <c r="G396" s="121">
        <v>-2086.9195364063053</v>
      </c>
      <c r="H396" s="121">
        <v>0.14316755379775259</v>
      </c>
      <c r="N396" s="121"/>
      <c r="O396" s="121"/>
      <c r="P396" s="121"/>
      <c r="R396">
        <v>154.33031507434379</v>
      </c>
      <c r="S396">
        <v>74.642638350829657</v>
      </c>
      <c r="T396">
        <v>248.02186878921839</v>
      </c>
      <c r="U396">
        <v>87.51835125670442</v>
      </c>
      <c r="X396">
        <v>0.83577494281220888</v>
      </c>
      <c r="Y396">
        <v>0.88850937103936922</v>
      </c>
      <c r="Z396">
        <v>0.69352855994424734</v>
      </c>
      <c r="AA396">
        <v>0.69347113675231353</v>
      </c>
      <c r="AB396">
        <v>0.67410381803997865</v>
      </c>
      <c r="AC396">
        <v>0.64220719288002215</v>
      </c>
      <c r="AD396">
        <v>0.58224416882207874</v>
      </c>
      <c r="AE396">
        <v>0.56360952815871768</v>
      </c>
      <c r="AH396">
        <v>6.6963050834703441E-2</v>
      </c>
      <c r="AI396">
        <v>7.8856885151057488E-2</v>
      </c>
      <c r="AJ396">
        <v>2.0829044496756821E-2</v>
      </c>
      <c r="AK396">
        <v>0.15241077173165085</v>
      </c>
      <c r="AL396">
        <v>0.12145998019462378</v>
      </c>
      <c r="AM396">
        <v>0.18453006688565199</v>
      </c>
      <c r="AN396">
        <v>9.841405657785085E-2</v>
      </c>
      <c r="AO396">
        <v>0.39424888875533604</v>
      </c>
      <c r="AR396">
        <v>7.1508132594164965E-4</v>
      </c>
      <c r="AS396">
        <v>4.5336621602977134E-3</v>
      </c>
      <c r="AT396">
        <v>4.9060322934990162E-3</v>
      </c>
      <c r="AU396">
        <v>2.2408466810396321E-3</v>
      </c>
      <c r="AV396">
        <v>1.7437659994808019E-3</v>
      </c>
      <c r="AW396">
        <v>3.1142420674963802E-3</v>
      </c>
      <c r="AX396">
        <v>4.0224043194247994E-4</v>
      </c>
      <c r="AY396">
        <v>3.3119929768592914E-4</v>
      </c>
      <c r="BB396">
        <v>4.5522186367568475E-2</v>
      </c>
      <c r="BC396">
        <v>4.9753798868848675E-2</v>
      </c>
      <c r="BE396">
        <v>71076.919099691935</v>
      </c>
      <c r="BF396">
        <v>17.223843595279654</v>
      </c>
      <c r="BG396">
        <v>73163.83863609824</v>
      </c>
      <c r="BH396">
        <v>17.080676041481901</v>
      </c>
      <c r="BI396">
        <v>-2086.9195364063053</v>
      </c>
      <c r="BJ396">
        <v>0.14316755379775259</v>
      </c>
    </row>
    <row r="397" spans="3:62" x14ac:dyDescent="0.2">
      <c r="C397" s="121">
        <v>71141.108067419904</v>
      </c>
      <c r="D397" s="121">
        <v>18.032454884708908</v>
      </c>
      <c r="E397" s="121">
        <v>73040.229924567611</v>
      </c>
      <c r="F397" s="121">
        <v>17.907411783854265</v>
      </c>
      <c r="G397" s="121">
        <v>-1899.1218571477075</v>
      </c>
      <c r="H397" s="121">
        <v>0.12504310085464354</v>
      </c>
      <c r="N397" s="121"/>
      <c r="O397" s="121"/>
      <c r="P397" s="121"/>
      <c r="R397">
        <v>320.23889314812749</v>
      </c>
      <c r="S397">
        <v>61.596100063526158</v>
      </c>
      <c r="T397">
        <v>214.54389695868429</v>
      </c>
      <c r="U397">
        <v>105.3484555082446</v>
      </c>
      <c r="X397">
        <v>0.88562084708835886</v>
      </c>
      <c r="Y397">
        <v>0.8452404726251076</v>
      </c>
      <c r="Z397">
        <v>0.90235916762512902</v>
      </c>
      <c r="AA397">
        <v>0.76214223047399232</v>
      </c>
      <c r="AB397">
        <v>0.63510643051111848</v>
      </c>
      <c r="AC397">
        <v>0.8236408244289537</v>
      </c>
      <c r="AD397">
        <v>0.66590863034937753</v>
      </c>
      <c r="AE397">
        <v>0.61804173498885484</v>
      </c>
      <c r="AH397">
        <v>6.4829423791679996E-2</v>
      </c>
      <c r="AI397">
        <v>0.10246707553654621</v>
      </c>
      <c r="AJ397">
        <v>0.13052142615478435</v>
      </c>
      <c r="AK397">
        <v>0.10866093699094992</v>
      </c>
      <c r="AL397">
        <v>4.9199915511269898E-2</v>
      </c>
      <c r="AM397">
        <v>0.20974383643463912</v>
      </c>
      <c r="AN397">
        <v>3.4368200595661591E-2</v>
      </c>
      <c r="AO397">
        <v>2.9060691775644187E-2</v>
      </c>
      <c r="AR397">
        <v>9.4212167068963293E-4</v>
      </c>
      <c r="AS397">
        <v>4.3294026518956846E-3</v>
      </c>
      <c r="AT397">
        <v>5.1839698802131906E-3</v>
      </c>
      <c r="AU397">
        <v>1.8433848450609912E-3</v>
      </c>
      <c r="AV397">
        <v>1.9665316259901504E-3</v>
      </c>
      <c r="AW397">
        <v>3.2802956240078457E-3</v>
      </c>
      <c r="AX397">
        <v>2.5221921284158331E-4</v>
      </c>
      <c r="AY397">
        <v>4.4624155348465822E-4</v>
      </c>
      <c r="BB397">
        <v>4.6776772444824179E-2</v>
      </c>
      <c r="BC397">
        <v>2.9610883144329102E-2</v>
      </c>
      <c r="BE397">
        <v>71141.108067419904</v>
      </c>
      <c r="BF397">
        <v>18.032454884708908</v>
      </c>
      <c r="BG397">
        <v>73040.229924567611</v>
      </c>
      <c r="BH397">
        <v>17.907411783854265</v>
      </c>
      <c r="BI397">
        <v>-1899.1218571477075</v>
      </c>
      <c r="BJ397">
        <v>0.12504310085464354</v>
      </c>
    </row>
    <row r="398" spans="3:62" x14ac:dyDescent="0.2">
      <c r="C398" s="121">
        <v>64888.517134843831</v>
      </c>
      <c r="D398" s="121">
        <v>17.174481139555734</v>
      </c>
      <c r="E398" s="121">
        <v>66661.57379277295</v>
      </c>
      <c r="F398" s="121">
        <v>17.059831073483068</v>
      </c>
      <c r="G398" s="121">
        <v>-1773.056657929119</v>
      </c>
      <c r="H398" s="121">
        <v>0.11465006607266659</v>
      </c>
      <c r="N398" s="121"/>
      <c r="O398" s="121"/>
      <c r="P398" s="121"/>
      <c r="R398">
        <v>343.31694346866192</v>
      </c>
      <c r="S398">
        <v>62.505202785300227</v>
      </c>
      <c r="T398">
        <v>225.86851094490385</v>
      </c>
      <c r="U398">
        <v>89.994001794246671</v>
      </c>
      <c r="X398">
        <v>0.70401894128854015</v>
      </c>
      <c r="Y398">
        <v>0.38500681527795849</v>
      </c>
      <c r="Z398">
        <v>0.7576867628765831</v>
      </c>
      <c r="AA398">
        <v>0.76224433059262975</v>
      </c>
      <c r="AB398">
        <v>0.80179109314835129</v>
      </c>
      <c r="AC398">
        <v>0.48504192141511737</v>
      </c>
      <c r="AD398">
        <v>0.6764974374921614</v>
      </c>
      <c r="AE398">
        <v>0.8045288949385685</v>
      </c>
      <c r="AH398">
        <v>0.10745172889554677</v>
      </c>
      <c r="AI398">
        <v>1.9410532393260405E-2</v>
      </c>
      <c r="AJ398">
        <v>6.2594624555960876E-2</v>
      </c>
      <c r="AK398">
        <v>7.6130983177541633E-2</v>
      </c>
      <c r="AL398">
        <v>0.10287679090942159</v>
      </c>
      <c r="AM398">
        <v>0.18166936430772718</v>
      </c>
      <c r="AN398">
        <v>0.1492804450625923</v>
      </c>
      <c r="AO398">
        <v>0.18692952188345824</v>
      </c>
      <c r="AR398">
        <v>9.2779651625640724E-4</v>
      </c>
      <c r="AS398">
        <v>4.4484508809905883E-3</v>
      </c>
      <c r="AT398">
        <v>5.1569709918289908E-3</v>
      </c>
      <c r="AU398">
        <v>1.9679526672081948E-3</v>
      </c>
      <c r="AV398">
        <v>2.0551972929732099E-3</v>
      </c>
      <c r="AW398">
        <v>3.1991929737953261E-3</v>
      </c>
      <c r="AX398">
        <v>4.7704556657957031E-4</v>
      </c>
      <c r="AY398">
        <v>2.9399493318554875E-4</v>
      </c>
      <c r="BB398">
        <v>5.0615804967263256E-2</v>
      </c>
      <c r="BC398">
        <v>2.676941338358033E-2</v>
      </c>
      <c r="BE398">
        <v>64888.517134843831</v>
      </c>
      <c r="BF398">
        <v>17.174481139555734</v>
      </c>
      <c r="BG398">
        <v>66661.57379277295</v>
      </c>
      <c r="BH398">
        <v>17.059831073483068</v>
      </c>
      <c r="BI398">
        <v>-1773.056657929119</v>
      </c>
      <c r="BJ398">
        <v>0.11465006607266659</v>
      </c>
    </row>
    <row r="399" spans="3:62" x14ac:dyDescent="0.2">
      <c r="C399" s="121">
        <v>67467.039128678909</v>
      </c>
      <c r="D399" s="121">
        <v>17.21958196791179</v>
      </c>
      <c r="E399" s="121">
        <v>69732.529834904213</v>
      </c>
      <c r="F399" s="121">
        <v>17.056670161767826</v>
      </c>
      <c r="G399" s="121">
        <v>-2265.4907062253042</v>
      </c>
      <c r="H399" s="121">
        <v>0.16291180614396339</v>
      </c>
      <c r="N399" s="121"/>
      <c r="O399" s="121"/>
      <c r="P399" s="121"/>
      <c r="R399">
        <v>165.34295084347539</v>
      </c>
      <c r="S399">
        <v>72.239198948230694</v>
      </c>
      <c r="T399">
        <v>245.02454220134715</v>
      </c>
      <c r="U399">
        <v>83.840933968977197</v>
      </c>
      <c r="X399">
        <v>0.79557738874504658</v>
      </c>
      <c r="Y399">
        <v>0.87933721591779401</v>
      </c>
      <c r="Z399">
        <v>0.80737449361284275</v>
      </c>
      <c r="AA399">
        <v>0.64145686804681612</v>
      </c>
      <c r="AB399">
        <v>0.57885305562154321</v>
      </c>
      <c r="AC399">
        <v>0.6442910786938818</v>
      </c>
      <c r="AD399">
        <v>0.78125150693481338</v>
      </c>
      <c r="AE399">
        <v>0.94803594549671977</v>
      </c>
      <c r="AH399">
        <v>0.1046744691338809</v>
      </c>
      <c r="AI399">
        <v>0.20011207482863802</v>
      </c>
      <c r="AJ399">
        <v>0.27569939921473574</v>
      </c>
      <c r="AK399">
        <v>3.9315311846527812E-2</v>
      </c>
      <c r="AL399">
        <v>6.9310671186668005E-2</v>
      </c>
      <c r="AM399">
        <v>3.4508452012976587E-2</v>
      </c>
      <c r="AN399">
        <v>0.11348666640145666</v>
      </c>
      <c r="AO399">
        <v>0.13061861958294652</v>
      </c>
      <c r="AR399">
        <v>8.6637096927422294E-4</v>
      </c>
      <c r="AS399">
        <v>4.6992709352051687E-3</v>
      </c>
      <c r="AT399">
        <v>4.9006652006690068E-3</v>
      </c>
      <c r="AU399">
        <v>1.9307118951035487E-3</v>
      </c>
      <c r="AV399">
        <v>2.0201243176541928E-3</v>
      </c>
      <c r="AW399">
        <v>3.5565927766976202E-3</v>
      </c>
      <c r="AX399">
        <v>4.8089279189811318E-4</v>
      </c>
      <c r="AY399">
        <v>4.8706992195746146E-4</v>
      </c>
      <c r="BB399">
        <v>5.2425887404913274E-2</v>
      </c>
      <c r="BC399">
        <v>1.8157389890535572E-2</v>
      </c>
      <c r="BE399">
        <v>67467.039128678909</v>
      </c>
      <c r="BF399">
        <v>17.21958196791179</v>
      </c>
      <c r="BG399">
        <v>69732.529834904213</v>
      </c>
      <c r="BH399">
        <v>17.056670161767826</v>
      </c>
      <c r="BI399">
        <v>-2265.4907062253042</v>
      </c>
      <c r="BJ399">
        <v>0.16291180614396339</v>
      </c>
    </row>
    <row r="400" spans="3:62" x14ac:dyDescent="0.2">
      <c r="C400" s="121">
        <v>70087.735598687228</v>
      </c>
      <c r="D400" s="121">
        <v>15.453176170796679</v>
      </c>
      <c r="E400" s="121">
        <v>71633.153823971981</v>
      </c>
      <c r="F400" s="121">
        <v>15.270477206213711</v>
      </c>
      <c r="G400" s="121">
        <v>-1545.4182252847531</v>
      </c>
      <c r="H400" s="121">
        <v>0.18269896458296842</v>
      </c>
      <c r="N400" s="121"/>
      <c r="O400" s="121"/>
      <c r="P400" s="121"/>
      <c r="R400">
        <v>240.86966295474349</v>
      </c>
      <c r="S400">
        <v>58.144248193696299</v>
      </c>
      <c r="T400">
        <v>293.46133113946775</v>
      </c>
      <c r="U400">
        <v>111.93738725133596</v>
      </c>
      <c r="X400">
        <v>0.52021254364322822</v>
      </c>
      <c r="Y400">
        <v>0.8225881176886165</v>
      </c>
      <c r="Z400">
        <v>0.59531647507890439</v>
      </c>
      <c r="AA400">
        <v>0.58874153446564348</v>
      </c>
      <c r="AB400">
        <v>0.53770887693769376</v>
      </c>
      <c r="AC400">
        <v>0.88102814793955231</v>
      </c>
      <c r="AD400">
        <v>0.77050790796510249</v>
      </c>
      <c r="AE400">
        <v>0.65739476534886876</v>
      </c>
      <c r="AH400">
        <v>0.13400645686363355</v>
      </c>
      <c r="AI400">
        <v>5.7140870255717457E-2</v>
      </c>
      <c r="AJ400">
        <v>4.7971681578943937E-2</v>
      </c>
      <c r="AK400">
        <v>8.8582236209359122E-2</v>
      </c>
      <c r="AL400">
        <v>0.23506969973922953</v>
      </c>
      <c r="AM400">
        <v>0.16839488540602054</v>
      </c>
      <c r="AN400">
        <v>2.617694627766276E-2</v>
      </c>
      <c r="AO400">
        <v>0.16138948569078371</v>
      </c>
      <c r="AR400">
        <v>8.1674828819102612E-4</v>
      </c>
      <c r="AS400">
        <v>4.4267677652740367E-3</v>
      </c>
      <c r="AT400">
        <v>4.8478860093823578E-3</v>
      </c>
      <c r="AU400">
        <v>2.0159237070412894E-3</v>
      </c>
      <c r="AV400">
        <v>1.8632796098670425E-3</v>
      </c>
      <c r="AW400">
        <v>3.2456050927604776E-3</v>
      </c>
      <c r="AX400">
        <v>3.7926462690867534E-4</v>
      </c>
      <c r="AY400">
        <v>4.2545572114828013E-4</v>
      </c>
      <c r="BB400">
        <v>5.4035529244751079E-2</v>
      </c>
      <c r="BC400">
        <v>2.3008320953354183E-2</v>
      </c>
      <c r="BE400">
        <v>70087.735598687228</v>
      </c>
      <c r="BF400">
        <v>15.453176170796679</v>
      </c>
      <c r="BG400">
        <v>71633.153823971981</v>
      </c>
      <c r="BH400">
        <v>15.270477206213711</v>
      </c>
      <c r="BI400">
        <v>-1545.4182252847531</v>
      </c>
      <c r="BJ400">
        <v>0.18269896458296842</v>
      </c>
    </row>
    <row r="401" spans="3:62" x14ac:dyDescent="0.2">
      <c r="C401" s="121">
        <v>72451.0617461933</v>
      </c>
      <c r="D401" s="121">
        <v>19.015641097034671</v>
      </c>
      <c r="E401" s="121">
        <v>74489.74557512255</v>
      </c>
      <c r="F401" s="121">
        <v>18.905039621143484</v>
      </c>
      <c r="G401" s="121">
        <v>-2038.68382892925</v>
      </c>
      <c r="H401" s="121">
        <v>0.11060147589118685</v>
      </c>
      <c r="N401" s="121"/>
      <c r="O401" s="121"/>
      <c r="P401" s="121"/>
      <c r="R401">
        <v>313.10295552907598</v>
      </c>
      <c r="S401">
        <v>73.541056266562549</v>
      </c>
      <c r="T401">
        <v>261.26946715751745</v>
      </c>
      <c r="U401">
        <v>99.835139724817623</v>
      </c>
      <c r="X401">
        <v>0.58493537664553485</v>
      </c>
      <c r="Y401">
        <v>0.72910337840030759</v>
      </c>
      <c r="Z401">
        <v>0.547012240977367</v>
      </c>
      <c r="AA401">
        <v>0.57881330555302479</v>
      </c>
      <c r="AB401">
        <v>0.80791270096019074</v>
      </c>
      <c r="AC401">
        <v>0.33733666522456207</v>
      </c>
      <c r="AD401">
        <v>0.5847227736849907</v>
      </c>
      <c r="AE401">
        <v>0.87068620279571551</v>
      </c>
      <c r="AH401">
        <v>0.1134141022013635</v>
      </c>
      <c r="AI401">
        <v>0.19179332847552844</v>
      </c>
      <c r="AJ401">
        <v>0.12987894467090577</v>
      </c>
      <c r="AK401">
        <v>6.3992743117976314E-2</v>
      </c>
      <c r="AL401">
        <v>0.1330703678424151</v>
      </c>
      <c r="AM401">
        <v>0.1333794723807894</v>
      </c>
      <c r="AN401">
        <v>7.6788405008448191E-2</v>
      </c>
      <c r="AO401">
        <v>0.12785210012230486</v>
      </c>
      <c r="AR401">
        <v>8.4451743717199254E-4</v>
      </c>
      <c r="AS401">
        <v>4.7187504417818271E-3</v>
      </c>
      <c r="AT401">
        <v>4.8942134851005558E-3</v>
      </c>
      <c r="AU401">
        <v>2.1607724697556563E-3</v>
      </c>
      <c r="AV401">
        <v>2.1658425074152499E-3</v>
      </c>
      <c r="AW401">
        <v>3.2926127032185948E-3</v>
      </c>
      <c r="AX401">
        <v>4.4090943846930575E-4</v>
      </c>
      <c r="AY401">
        <v>4.1489995351666692E-4</v>
      </c>
      <c r="BB401">
        <v>4.5759284737369649E-2</v>
      </c>
      <c r="BC401">
        <v>4.893891991227528E-2</v>
      </c>
      <c r="BE401">
        <v>72451.0617461933</v>
      </c>
      <c r="BF401">
        <v>19.015641097034671</v>
      </c>
      <c r="BG401">
        <v>74489.74557512255</v>
      </c>
      <c r="BH401">
        <v>18.905039621143484</v>
      </c>
      <c r="BI401">
        <v>-2038.68382892925</v>
      </c>
      <c r="BJ401">
        <v>0.11060147589118685</v>
      </c>
    </row>
    <row r="402" spans="3:62" x14ac:dyDescent="0.2">
      <c r="C402" s="121">
        <v>76733.3552377835</v>
      </c>
      <c r="D402" s="121">
        <v>16.425613379558399</v>
      </c>
      <c r="E402" s="121">
        <v>78800.488150690697</v>
      </c>
      <c r="F402" s="121">
        <v>16.279402472989499</v>
      </c>
      <c r="G402" s="121">
        <v>-2067.1329129071964</v>
      </c>
      <c r="H402" s="121">
        <v>0.1462109065688999</v>
      </c>
      <c r="N402" s="121"/>
      <c r="O402" s="121"/>
      <c r="P402" s="121"/>
      <c r="R402">
        <v>252.98389980940573</v>
      </c>
      <c r="S402">
        <v>68.759206111174009</v>
      </c>
      <c r="T402">
        <v>239.13480420561794</v>
      </c>
      <c r="U402">
        <v>82.072654951549737</v>
      </c>
      <c r="X402">
        <v>0.67625556118339869</v>
      </c>
      <c r="Y402">
        <v>0.89174040242302688</v>
      </c>
      <c r="Z402">
        <v>0.84585155893103336</v>
      </c>
      <c r="AA402">
        <v>0.90470566037529832</v>
      </c>
      <c r="AB402">
        <v>0.83924325698260671</v>
      </c>
      <c r="AC402">
        <v>0.84743313746569815</v>
      </c>
      <c r="AD402">
        <v>0.84428050874889804</v>
      </c>
      <c r="AE402">
        <v>0.66026335428809357</v>
      </c>
      <c r="AH402">
        <v>9.6224070235680914E-2</v>
      </c>
      <c r="AI402">
        <v>0.11541188674262459</v>
      </c>
      <c r="AJ402">
        <v>7.358532076549229E-2</v>
      </c>
      <c r="AK402">
        <v>7.4848178987016678E-2</v>
      </c>
      <c r="AL402">
        <v>0.20540463336750314</v>
      </c>
      <c r="AM402">
        <v>0.17752118774351355</v>
      </c>
      <c r="AN402">
        <v>4.6540560843080669E-2</v>
      </c>
      <c r="AO402">
        <v>1.8909972242077799E-2</v>
      </c>
      <c r="AR402">
        <v>8.9108882590638316E-4</v>
      </c>
      <c r="AS402">
        <v>4.5668158695056915E-3</v>
      </c>
      <c r="AT402">
        <v>4.7716618940067098E-3</v>
      </c>
      <c r="AU402">
        <v>2.2871954845812281E-3</v>
      </c>
      <c r="AV402">
        <v>2.0883813541713314E-3</v>
      </c>
      <c r="AW402">
        <v>3.2110323717655042E-3</v>
      </c>
      <c r="AX402">
        <v>3.480129866477073E-4</v>
      </c>
      <c r="AY402">
        <v>3.2402108335809253E-4</v>
      </c>
      <c r="BB402">
        <v>4.9024613689035525E-2</v>
      </c>
      <c r="BC402">
        <v>6.7481945063915361E-2</v>
      </c>
      <c r="BE402">
        <v>76733.3552377835</v>
      </c>
      <c r="BF402">
        <v>16.425613379558399</v>
      </c>
      <c r="BG402">
        <v>78800.488150690697</v>
      </c>
      <c r="BH402">
        <v>16.279402472989499</v>
      </c>
      <c r="BI402">
        <v>-2067.1329129071964</v>
      </c>
      <c r="BJ402">
        <v>0.1462109065688999</v>
      </c>
    </row>
    <row r="403" spans="3:62" x14ac:dyDescent="0.2">
      <c r="C403" s="121">
        <v>73500.755940949253</v>
      </c>
      <c r="D403" s="121">
        <v>16.658548252108591</v>
      </c>
      <c r="E403" s="121">
        <v>75985.179196947589</v>
      </c>
      <c r="F403" s="121">
        <v>16.491963179179812</v>
      </c>
      <c r="G403" s="121">
        <v>-2484.4232559983357</v>
      </c>
      <c r="H403" s="121">
        <v>0.166585072928779</v>
      </c>
      <c r="N403" s="121"/>
      <c r="O403" s="121"/>
      <c r="P403" s="121"/>
      <c r="R403">
        <v>217.58095366331526</v>
      </c>
      <c r="S403">
        <v>65.433489979282996</v>
      </c>
      <c r="T403">
        <v>253.28709807744755</v>
      </c>
      <c r="U403">
        <v>99.241228314216499</v>
      </c>
      <c r="X403">
        <v>0.78306759321528463</v>
      </c>
      <c r="Y403">
        <v>0.80040273795308758</v>
      </c>
      <c r="Z403">
        <v>0.76065724094416276</v>
      </c>
      <c r="AA403">
        <v>0.88867595472607408</v>
      </c>
      <c r="AB403">
        <v>0.7754011805579315</v>
      </c>
      <c r="AC403">
        <v>0.59389611674792031</v>
      </c>
      <c r="AD403">
        <v>0.72562297410310062</v>
      </c>
      <c r="AE403">
        <v>0.73214069282647076</v>
      </c>
      <c r="AH403">
        <v>0.18548730829988147</v>
      </c>
      <c r="AI403">
        <v>3.3476038260762953E-2</v>
      </c>
      <c r="AJ403">
        <v>0.11383250173249959</v>
      </c>
      <c r="AK403">
        <v>5.4073843999543181E-2</v>
      </c>
      <c r="AL403">
        <v>1.215116061607413E-2</v>
      </c>
      <c r="AM403">
        <v>8.0878893353000914E-2</v>
      </c>
      <c r="AN403">
        <v>8.3914212216472883E-2</v>
      </c>
      <c r="AO403">
        <v>0.20793794460969051</v>
      </c>
      <c r="AR403">
        <v>1.0346857189097447E-3</v>
      </c>
      <c r="AS403">
        <v>4.7105672687201006E-3</v>
      </c>
      <c r="AT403">
        <v>4.6110261821228956E-3</v>
      </c>
      <c r="AU403">
        <v>2.0434505253735802E-3</v>
      </c>
      <c r="AV403">
        <v>2.1088407035525503E-3</v>
      </c>
      <c r="AW403">
        <v>3.6688185293466402E-3</v>
      </c>
      <c r="AX403">
        <v>4.0001303214043382E-4</v>
      </c>
      <c r="AY403">
        <v>5.3659425821683815E-4</v>
      </c>
      <c r="BB403">
        <v>4.7972775094051075E-2</v>
      </c>
      <c r="BC403">
        <v>3.5716729991208555E-2</v>
      </c>
      <c r="BE403">
        <v>73500.755940949253</v>
      </c>
      <c r="BF403">
        <v>16.658548252108591</v>
      </c>
      <c r="BG403">
        <v>75985.179196947589</v>
      </c>
      <c r="BH403">
        <v>16.491963179179812</v>
      </c>
      <c r="BI403">
        <v>-2484.4232559983357</v>
      </c>
      <c r="BJ403">
        <v>0.166585072928779</v>
      </c>
    </row>
    <row r="404" spans="3:62" x14ac:dyDescent="0.2">
      <c r="C404" s="121">
        <v>67528.896344871886</v>
      </c>
      <c r="D404" s="121">
        <v>16.881040286051629</v>
      </c>
      <c r="E404" s="121">
        <v>69211.140334242547</v>
      </c>
      <c r="F404" s="121">
        <v>16.74162304264318</v>
      </c>
      <c r="G404" s="121">
        <v>-1682.2439893706614</v>
      </c>
      <c r="H404" s="121">
        <v>0.13941724340844885</v>
      </c>
      <c r="N404" s="121"/>
      <c r="O404" s="121"/>
      <c r="P404" s="121"/>
      <c r="R404">
        <v>226.65593085500655</v>
      </c>
      <c r="S404">
        <v>59.878881227336592</v>
      </c>
      <c r="T404">
        <v>231.20390197647953</v>
      </c>
      <c r="U404">
        <v>94.799596545700041</v>
      </c>
      <c r="X404">
        <v>0.60322538012808702</v>
      </c>
      <c r="Y404">
        <v>0.89430629903621583</v>
      </c>
      <c r="Z404">
        <v>0.94767049537289261</v>
      </c>
      <c r="AA404">
        <v>0.88367067494586671</v>
      </c>
      <c r="AB404">
        <v>0.80689797431862598</v>
      </c>
      <c r="AC404">
        <v>0.77970102492148374</v>
      </c>
      <c r="AD404">
        <v>0.92353913784144703</v>
      </c>
      <c r="AE404">
        <v>0.63797705328899212</v>
      </c>
      <c r="AH404">
        <v>0.14431344312986327</v>
      </c>
      <c r="AI404">
        <v>0.14053656565659733</v>
      </c>
      <c r="AJ404">
        <v>0.13058591237585748</v>
      </c>
      <c r="AK404">
        <v>0.13668514996179015</v>
      </c>
      <c r="AL404">
        <v>7.792473787627463E-2</v>
      </c>
      <c r="AM404">
        <v>5.969724213698524E-2</v>
      </c>
      <c r="AN404">
        <v>0.31820946197088384</v>
      </c>
      <c r="AO404">
        <v>0.12434534335879532</v>
      </c>
      <c r="AR404">
        <v>6.3233274046826796E-4</v>
      </c>
      <c r="AS404">
        <v>4.7112087799331404E-3</v>
      </c>
      <c r="AT404">
        <v>5.0959548800358911E-3</v>
      </c>
      <c r="AU404">
        <v>1.9689113108031001E-3</v>
      </c>
      <c r="AV404">
        <v>1.9173949203422169E-3</v>
      </c>
      <c r="AW404">
        <v>3.6064163157683016E-3</v>
      </c>
      <c r="AX404">
        <v>4.2001078717635032E-4</v>
      </c>
      <c r="AY404">
        <v>3.5793390221789848E-4</v>
      </c>
      <c r="BB404">
        <v>5.7504182723349673E-2</v>
      </c>
      <c r="BC404">
        <v>1.0529737710380332E-2</v>
      </c>
      <c r="BE404">
        <v>67528.896344871886</v>
      </c>
      <c r="BF404">
        <v>16.881040286051629</v>
      </c>
      <c r="BG404">
        <v>69211.140334242547</v>
      </c>
      <c r="BH404">
        <v>16.74162304264318</v>
      </c>
      <c r="BI404">
        <v>-1682.2439893706614</v>
      </c>
      <c r="BJ404">
        <v>0.13941724340844885</v>
      </c>
    </row>
    <row r="405" spans="3:62" x14ac:dyDescent="0.2">
      <c r="C405" s="121">
        <v>72163.391935027044</v>
      </c>
      <c r="D405" s="121">
        <v>16.072633817371297</v>
      </c>
      <c r="E405" s="121">
        <v>73884.638350738955</v>
      </c>
      <c r="F405" s="121">
        <v>15.922531291844541</v>
      </c>
      <c r="G405" s="121">
        <v>-1721.2464157119102</v>
      </c>
      <c r="H405" s="121">
        <v>0.15010252552675674</v>
      </c>
      <c r="N405" s="121"/>
      <c r="O405" s="121"/>
      <c r="P405" s="121"/>
      <c r="R405">
        <v>418.98955460631328</v>
      </c>
      <c r="S405">
        <v>68.276310420951987</v>
      </c>
      <c r="T405">
        <v>251.37272727639589</v>
      </c>
      <c r="U405">
        <v>103.62914137043748</v>
      </c>
      <c r="X405">
        <v>0.87999755784609102</v>
      </c>
      <c r="Y405">
        <v>0.88812040766700551</v>
      </c>
      <c r="Z405">
        <v>0.64183942682550532</v>
      </c>
      <c r="AA405">
        <v>0.88037974892625359</v>
      </c>
      <c r="AB405">
        <v>0.84801402295041961</v>
      </c>
      <c r="AC405">
        <v>0.81833600867266099</v>
      </c>
      <c r="AD405">
        <v>0.47871804963528219</v>
      </c>
      <c r="AE405">
        <v>0.76320606524390477</v>
      </c>
      <c r="AH405">
        <v>0.26744714026550387</v>
      </c>
      <c r="AI405">
        <v>7.3373875624168639E-2</v>
      </c>
      <c r="AJ405">
        <v>9.9655646372766804E-2</v>
      </c>
      <c r="AK405">
        <v>0.12677239932293416</v>
      </c>
      <c r="AL405">
        <v>0.28911099892852454</v>
      </c>
      <c r="AM405">
        <v>3.7676552303643862E-2</v>
      </c>
      <c r="AN405">
        <v>0.12453972150339065</v>
      </c>
      <c r="AO405">
        <v>6.4439677340259349E-2</v>
      </c>
      <c r="AR405">
        <v>9.7563933703981309E-4</v>
      </c>
      <c r="AS405">
        <v>4.4869426660259599E-3</v>
      </c>
      <c r="AT405">
        <v>4.7631056517647274E-3</v>
      </c>
      <c r="AU405">
        <v>2.1765795873558424E-3</v>
      </c>
      <c r="AV405">
        <v>1.9506924618475081E-3</v>
      </c>
      <c r="AW405">
        <v>3.4270741909993019E-3</v>
      </c>
      <c r="AX405">
        <v>3.4812151123185623E-4</v>
      </c>
      <c r="AY405">
        <v>5.1488999496862586E-4</v>
      </c>
      <c r="BB405">
        <v>5.0063598054779224E-2</v>
      </c>
      <c r="BC405">
        <v>3.2477939227077916E-2</v>
      </c>
      <c r="BE405">
        <v>72163.391935027044</v>
      </c>
      <c r="BF405">
        <v>16.072633817371297</v>
      </c>
      <c r="BG405">
        <v>73884.638350738955</v>
      </c>
      <c r="BH405">
        <v>15.922531291844541</v>
      </c>
      <c r="BI405">
        <v>-1721.2464157119102</v>
      </c>
      <c r="BJ405">
        <v>0.15010252552675674</v>
      </c>
    </row>
    <row r="406" spans="3:62" x14ac:dyDescent="0.2">
      <c r="C406" s="121">
        <v>65564.159006248752</v>
      </c>
      <c r="D406" s="121">
        <v>15.541130634929969</v>
      </c>
      <c r="E406" s="121">
        <v>67683.781461043109</v>
      </c>
      <c r="F406" s="121">
        <v>15.352019053621028</v>
      </c>
      <c r="G406" s="121">
        <v>-2119.6224547943566</v>
      </c>
      <c r="H406" s="121">
        <v>0.18911158130894101</v>
      </c>
      <c r="N406" s="121"/>
      <c r="O406" s="121"/>
      <c r="P406" s="121"/>
      <c r="R406">
        <v>55.713297008581776</v>
      </c>
      <c r="S406">
        <v>64.925196069904587</v>
      </c>
      <c r="T406">
        <v>262.1273157387073</v>
      </c>
      <c r="U406">
        <v>115.85988881411483</v>
      </c>
      <c r="X406">
        <v>0.67132974504550447</v>
      </c>
      <c r="Y406">
        <v>0.64307356782345326</v>
      </c>
      <c r="Z406">
        <v>0.62927630221511799</v>
      </c>
      <c r="AA406">
        <v>0.8414195614943466</v>
      </c>
      <c r="AB406">
        <v>0.71205838867632065</v>
      </c>
      <c r="AC406">
        <v>0.78273898350663984</v>
      </c>
      <c r="AD406">
        <v>0.8443454351238352</v>
      </c>
      <c r="AE406">
        <v>0.75182384999198837</v>
      </c>
      <c r="AH406">
        <v>5.9108364146012393E-2</v>
      </c>
      <c r="AI406">
        <v>0.13877419146320791</v>
      </c>
      <c r="AJ406">
        <v>5.0201942108383579E-2</v>
      </c>
      <c r="AK406">
        <v>0.12655007940284768</v>
      </c>
      <c r="AL406">
        <v>8.6988832472887689E-2</v>
      </c>
      <c r="AM406">
        <v>2.5100173701925299E-2</v>
      </c>
      <c r="AN406">
        <v>2.9098206861925435E-2</v>
      </c>
      <c r="AO406">
        <v>0.39402930698602756</v>
      </c>
      <c r="AR406">
        <v>1.2153908512833045E-3</v>
      </c>
      <c r="AS406">
        <v>4.4573514103826255E-3</v>
      </c>
      <c r="AT406">
        <v>4.9498765266163813E-3</v>
      </c>
      <c r="AU406">
        <v>1.812158893767927E-3</v>
      </c>
      <c r="AV406">
        <v>2.0366520353581885E-3</v>
      </c>
      <c r="AW406">
        <v>3.3625168330618052E-3</v>
      </c>
      <c r="AX406">
        <v>4.0545239637268526E-4</v>
      </c>
      <c r="AY406">
        <v>4.1212301441919861E-4</v>
      </c>
      <c r="BB406">
        <v>4.6134946520200934E-2</v>
      </c>
      <c r="BC406">
        <v>6.9105122485389803E-2</v>
      </c>
      <c r="BE406">
        <v>65564.159006248752</v>
      </c>
      <c r="BF406">
        <v>15.541130634929969</v>
      </c>
      <c r="BG406">
        <v>67683.781461043109</v>
      </c>
      <c r="BH406">
        <v>15.352019053621028</v>
      </c>
      <c r="BI406">
        <v>-2119.6224547943566</v>
      </c>
      <c r="BJ406">
        <v>0.18911158130894101</v>
      </c>
    </row>
    <row r="407" spans="3:62" x14ac:dyDescent="0.2">
      <c r="C407" s="121">
        <v>68386.950008039435</v>
      </c>
      <c r="D407" s="121">
        <v>16.530492477362202</v>
      </c>
      <c r="E407" s="121">
        <v>69855.274844454019</v>
      </c>
      <c r="F407" s="121">
        <v>16.37906018810768</v>
      </c>
      <c r="G407" s="121">
        <v>-1468.3248364145838</v>
      </c>
      <c r="H407" s="121">
        <v>0.15143228925452235</v>
      </c>
      <c r="N407" s="121"/>
      <c r="O407" s="121"/>
      <c r="P407" s="121"/>
      <c r="R407">
        <v>413.19088423624214</v>
      </c>
      <c r="S407">
        <v>69.135472215941732</v>
      </c>
      <c r="T407">
        <v>272.58810687442968</v>
      </c>
      <c r="U407">
        <v>96.658553404362408</v>
      </c>
      <c r="X407">
        <v>0.94661586888525773</v>
      </c>
      <c r="Y407">
        <v>0.68570375375932646</v>
      </c>
      <c r="Z407">
        <v>0.93665644489654987</v>
      </c>
      <c r="AA407">
        <v>0.85884648770352112</v>
      </c>
      <c r="AB407">
        <v>0.75965462816904838</v>
      </c>
      <c r="AC407">
        <v>0.80898601250135782</v>
      </c>
      <c r="AD407">
        <v>0.53745803208448328</v>
      </c>
      <c r="AE407">
        <v>0.35866049539113048</v>
      </c>
      <c r="AH407">
        <v>6.6383218384110876E-2</v>
      </c>
      <c r="AI407">
        <v>8.2493595726989E-3</v>
      </c>
      <c r="AJ407">
        <v>0.10272915520065129</v>
      </c>
      <c r="AK407">
        <v>0.1775119246935043</v>
      </c>
      <c r="AL407">
        <v>0.44441887456689055</v>
      </c>
      <c r="AM407">
        <v>0.10262666567012557</v>
      </c>
      <c r="AN407">
        <v>3.5391058548597698E-2</v>
      </c>
      <c r="AO407">
        <v>0.30697659436089542</v>
      </c>
      <c r="AR407">
        <v>1.0216915387876169E-3</v>
      </c>
      <c r="AS407">
        <v>4.3383807316840391E-3</v>
      </c>
      <c r="AT407">
        <v>5.0460819202220453E-3</v>
      </c>
      <c r="AU407">
        <v>1.8065012060686353E-3</v>
      </c>
      <c r="AV407">
        <v>2.0420828541467539E-3</v>
      </c>
      <c r="AW407">
        <v>3.8052877411944852E-3</v>
      </c>
      <c r="AX407">
        <v>3.7697736937255969E-4</v>
      </c>
      <c r="AY407">
        <v>4.0466550504201761E-4</v>
      </c>
      <c r="BB407">
        <v>6.1428653247027731E-2</v>
      </c>
      <c r="BC407">
        <v>6.4633074108066957E-2</v>
      </c>
      <c r="BE407">
        <v>68386.950008039435</v>
      </c>
      <c r="BF407">
        <v>16.530492477362202</v>
      </c>
      <c r="BG407">
        <v>69855.274844454019</v>
      </c>
      <c r="BH407">
        <v>16.37906018810768</v>
      </c>
      <c r="BI407">
        <v>-1468.3248364145838</v>
      </c>
      <c r="BJ407">
        <v>0.15143228925452235</v>
      </c>
    </row>
    <row r="408" spans="3:62" x14ac:dyDescent="0.2">
      <c r="C408" s="121">
        <v>75114.043149498597</v>
      </c>
      <c r="D408" s="121">
        <v>16.799490436241616</v>
      </c>
      <c r="E408" s="121">
        <v>76472.222013618099</v>
      </c>
      <c r="F408" s="121">
        <v>16.684089841871231</v>
      </c>
      <c r="G408" s="121">
        <v>-1358.1788641195017</v>
      </c>
      <c r="H408" s="121">
        <v>0.11540059437038508</v>
      </c>
      <c r="N408" s="121"/>
      <c r="O408" s="121"/>
      <c r="P408" s="121"/>
      <c r="R408">
        <v>425.37202806386836</v>
      </c>
      <c r="S408">
        <v>54.194144872182356</v>
      </c>
      <c r="T408">
        <v>247.07152942379091</v>
      </c>
      <c r="U408">
        <v>87.839991059497805</v>
      </c>
      <c r="X408">
        <v>0.75367567410668379</v>
      </c>
      <c r="Y408">
        <v>0.67198693599886905</v>
      </c>
      <c r="Z408">
        <v>0.86522369949631905</v>
      </c>
      <c r="AA408">
        <v>0.79380043828638547</v>
      </c>
      <c r="AB408">
        <v>0.64876562975426344</v>
      </c>
      <c r="AC408">
        <v>0.89575017967500958</v>
      </c>
      <c r="AD408">
        <v>0.74067721537477227</v>
      </c>
      <c r="AE408">
        <v>0.94639149108694987</v>
      </c>
      <c r="AH408">
        <v>0.19234045826700907</v>
      </c>
      <c r="AI408">
        <v>0.18674442897308696</v>
      </c>
      <c r="AJ408">
        <v>0.12486467242466615</v>
      </c>
      <c r="AK408">
        <v>0.28224159278268224</v>
      </c>
      <c r="AL408">
        <v>1.5655582101434806E-2</v>
      </c>
      <c r="AM408">
        <v>1.7872716432340008E-3</v>
      </c>
      <c r="AN408">
        <v>0.11109798582934127</v>
      </c>
      <c r="AO408">
        <v>0.16917931411389886</v>
      </c>
      <c r="AR408">
        <v>7.1017819745942587E-4</v>
      </c>
      <c r="AS408">
        <v>4.5844311117881897E-3</v>
      </c>
      <c r="AT408">
        <v>5.4803864643939715E-3</v>
      </c>
      <c r="AU408">
        <v>2.1284657849452993E-3</v>
      </c>
      <c r="AV408">
        <v>1.6484100149077433E-3</v>
      </c>
      <c r="AW408">
        <v>3.4546618623326752E-3</v>
      </c>
      <c r="AX408">
        <v>4.1366299021439179E-4</v>
      </c>
      <c r="AY408">
        <v>4.7962765639031346E-4</v>
      </c>
      <c r="BB408">
        <v>4.758440327323165E-2</v>
      </c>
      <c r="BC408">
        <v>7.3846890131836873E-2</v>
      </c>
      <c r="BE408">
        <v>75114.043149498597</v>
      </c>
      <c r="BF408">
        <v>16.799490436241616</v>
      </c>
      <c r="BG408">
        <v>76472.222013618099</v>
      </c>
      <c r="BH408">
        <v>16.684089841871231</v>
      </c>
      <c r="BI408">
        <v>-1358.1788641195017</v>
      </c>
      <c r="BJ408">
        <v>0.11540059437038508</v>
      </c>
    </row>
    <row r="409" spans="3:62" x14ac:dyDescent="0.2">
      <c r="C409" s="121">
        <v>73556.767075162454</v>
      </c>
      <c r="D409" s="121">
        <v>15.450131759612724</v>
      </c>
      <c r="E409" s="121">
        <v>74927.186615141414</v>
      </c>
      <c r="F409" s="121">
        <v>15.367424307605411</v>
      </c>
      <c r="G409" s="121">
        <v>-1370.4195399789605</v>
      </c>
      <c r="H409" s="121">
        <v>8.2707452007312554E-2</v>
      </c>
      <c r="N409" s="121"/>
      <c r="O409" s="121"/>
      <c r="P409" s="121"/>
      <c r="R409">
        <v>175.1407149508849</v>
      </c>
      <c r="S409">
        <v>52.18373600499676</v>
      </c>
      <c r="T409">
        <v>250.72782229137644</v>
      </c>
      <c r="U409">
        <v>96.70151479569985</v>
      </c>
      <c r="X409">
        <v>0.71967913668031858</v>
      </c>
      <c r="Y409">
        <v>0.67148304378853685</v>
      </c>
      <c r="Z409">
        <v>0.73260714491081547</v>
      </c>
      <c r="AA409">
        <v>0.93079304741104707</v>
      </c>
      <c r="AB409">
        <v>0.81284769825171532</v>
      </c>
      <c r="AC409">
        <v>0.70567875560258919</v>
      </c>
      <c r="AD409">
        <v>0.64778458976992337</v>
      </c>
      <c r="AE409">
        <v>0.89137360358411577</v>
      </c>
      <c r="AH409">
        <v>6.2224677673225259E-2</v>
      </c>
      <c r="AI409">
        <v>5.5348255660217394E-2</v>
      </c>
      <c r="AJ409">
        <v>2.0977718514131771E-2</v>
      </c>
      <c r="AK409">
        <v>0.12188483626883806</v>
      </c>
      <c r="AL409">
        <v>0.20512922378421194</v>
      </c>
      <c r="AM409">
        <v>7.4049752248610101E-2</v>
      </c>
      <c r="AN409">
        <v>0.14835513064384531</v>
      </c>
      <c r="AO409">
        <v>0.16653275584352001</v>
      </c>
      <c r="AR409">
        <v>8.0831241528427447E-4</v>
      </c>
      <c r="AS409">
        <v>4.6881295903078435E-3</v>
      </c>
      <c r="AT409">
        <v>4.7860894394312686E-3</v>
      </c>
      <c r="AU409">
        <v>1.857584723339775E-3</v>
      </c>
      <c r="AV409">
        <v>2.0584302273820576E-3</v>
      </c>
      <c r="AW409">
        <v>3.5115948958351906E-3</v>
      </c>
      <c r="AX409">
        <v>4.9380611971727717E-4</v>
      </c>
      <c r="AY409">
        <v>3.9698474967404015E-4</v>
      </c>
      <c r="BB409">
        <v>5.2194824194141787E-2</v>
      </c>
      <c r="BC409">
        <v>5.2984409820974743E-2</v>
      </c>
      <c r="BE409">
        <v>73556.767075162454</v>
      </c>
      <c r="BF409">
        <v>15.450131759612724</v>
      </c>
      <c r="BG409">
        <v>74927.186615141414</v>
      </c>
      <c r="BH409">
        <v>15.367424307605411</v>
      </c>
      <c r="BI409">
        <v>-1370.4195399789605</v>
      </c>
      <c r="BJ409">
        <v>8.2707452007312554E-2</v>
      </c>
    </row>
    <row r="410" spans="3:62" x14ac:dyDescent="0.2">
      <c r="C410" s="121">
        <v>67241.135547042053</v>
      </c>
      <c r="D410" s="121">
        <v>16.127272360054036</v>
      </c>
      <c r="E410" s="121">
        <v>68314.371490337915</v>
      </c>
      <c r="F410" s="121">
        <v>16.029431031998179</v>
      </c>
      <c r="G410" s="121">
        <v>-1073.2359432958619</v>
      </c>
      <c r="H410" s="121">
        <v>9.7841328055856991E-2</v>
      </c>
      <c r="N410" s="121"/>
      <c r="O410" s="121"/>
      <c r="P410" s="121"/>
      <c r="R410">
        <v>267.38626776610039</v>
      </c>
      <c r="S410">
        <v>72.677770809463595</v>
      </c>
      <c r="T410">
        <v>285.2745485332585</v>
      </c>
      <c r="U410">
        <v>88.653577586265484</v>
      </c>
      <c r="X410">
        <v>0.77710986243700475</v>
      </c>
      <c r="Y410">
        <v>0.91229655287473288</v>
      </c>
      <c r="Z410">
        <v>0.79837041646094009</v>
      </c>
      <c r="AA410">
        <v>0.92906972868077298</v>
      </c>
      <c r="AB410">
        <v>0.58194690519654368</v>
      </c>
      <c r="AC410">
        <v>0.91956004772624755</v>
      </c>
      <c r="AD410">
        <v>0.94235526420806692</v>
      </c>
      <c r="AE410">
        <v>0.52477697955606362</v>
      </c>
      <c r="AH410">
        <v>0.1085385301200501</v>
      </c>
      <c r="AI410">
        <v>0.19315283711356179</v>
      </c>
      <c r="AJ410">
        <v>0.23050786125368172</v>
      </c>
      <c r="AK410">
        <v>0.17695968132283857</v>
      </c>
      <c r="AL410">
        <v>0.13869318833214861</v>
      </c>
      <c r="AM410">
        <v>0.12869179164160893</v>
      </c>
      <c r="AN410">
        <v>4.7548901162944746E-2</v>
      </c>
      <c r="AO410">
        <v>0.14845837239419624</v>
      </c>
      <c r="AR410">
        <v>9.3575679282964508E-4</v>
      </c>
      <c r="AS410">
        <v>4.7445616425877413E-3</v>
      </c>
      <c r="AT410">
        <v>4.87180927450632E-3</v>
      </c>
      <c r="AU410">
        <v>2.0911804558805258E-3</v>
      </c>
      <c r="AV410">
        <v>2.0660645671062294E-3</v>
      </c>
      <c r="AW410">
        <v>3.2845892266505309E-3</v>
      </c>
      <c r="AX410">
        <v>4.492736325940605E-4</v>
      </c>
      <c r="AY410">
        <v>4.20039963775186E-4</v>
      </c>
      <c r="BB410">
        <v>4.6465230662306407E-2</v>
      </c>
      <c r="BC410">
        <v>6.8289063007939133E-2</v>
      </c>
      <c r="BE410">
        <v>67241.135547042053</v>
      </c>
      <c r="BF410">
        <v>16.127272360054036</v>
      </c>
      <c r="BG410">
        <v>68314.371490337915</v>
      </c>
      <c r="BH410">
        <v>16.029431031998179</v>
      </c>
      <c r="BI410">
        <v>-1073.2359432958619</v>
      </c>
      <c r="BJ410">
        <v>9.7841328055856991E-2</v>
      </c>
    </row>
    <row r="411" spans="3:62" x14ac:dyDescent="0.2">
      <c r="C411" s="121">
        <v>72859.321707562907</v>
      </c>
      <c r="D411" s="121">
        <v>15.71369934735562</v>
      </c>
      <c r="E411" s="121">
        <v>73202.663285301736</v>
      </c>
      <c r="F411" s="121">
        <v>15.613527568006241</v>
      </c>
      <c r="G411" s="121">
        <v>-343.34157773882907</v>
      </c>
      <c r="H411" s="121">
        <v>0.10017177934937926</v>
      </c>
      <c r="N411" s="121"/>
      <c r="O411" s="121"/>
      <c r="P411" s="121"/>
      <c r="R411">
        <v>323.79276553331795</v>
      </c>
      <c r="S411">
        <v>62.102784699948025</v>
      </c>
      <c r="T411">
        <v>211.69363982478524</v>
      </c>
      <c r="U411">
        <v>85.495905568855676</v>
      </c>
      <c r="X411">
        <v>0.7620026177992244</v>
      </c>
      <c r="Y411">
        <v>0.72904753741784256</v>
      </c>
      <c r="Z411">
        <v>0.76972655673664891</v>
      </c>
      <c r="AA411">
        <v>0.83230327004241667</v>
      </c>
      <c r="AB411">
        <v>0.61483211689773865</v>
      </c>
      <c r="AC411">
        <v>0.84524523141223351</v>
      </c>
      <c r="AD411">
        <v>0.75328438233329398</v>
      </c>
      <c r="AE411">
        <v>0.8759268562271546</v>
      </c>
      <c r="AH411">
        <v>3.4653672154047799E-2</v>
      </c>
      <c r="AI411">
        <v>4.5312435469929913E-2</v>
      </c>
      <c r="AJ411">
        <v>0.38714012220815108</v>
      </c>
      <c r="AK411">
        <v>1.4083495932640577E-2</v>
      </c>
      <c r="AL411">
        <v>8.7665624125959907E-2</v>
      </c>
      <c r="AM411">
        <v>0.2422274978459934</v>
      </c>
      <c r="AN411">
        <v>5.6821199416542623E-2</v>
      </c>
      <c r="AO411">
        <v>8.6864291380784109E-2</v>
      </c>
      <c r="AR411">
        <v>8.8411178407894297E-4</v>
      </c>
      <c r="AS411">
        <v>4.5697645601583403E-3</v>
      </c>
      <c r="AT411">
        <v>4.7510852706082497E-3</v>
      </c>
      <c r="AU411">
        <v>1.9766073594538495E-3</v>
      </c>
      <c r="AV411">
        <v>2.1033686557079267E-3</v>
      </c>
      <c r="AW411">
        <v>3.3416733456960021E-3</v>
      </c>
      <c r="AX411">
        <v>3.1647370036572543E-4</v>
      </c>
      <c r="AY411">
        <v>5.49840418803349E-4</v>
      </c>
      <c r="BB411">
        <v>4.5934734507332008E-2</v>
      </c>
      <c r="BC411">
        <v>6.6666039170289126E-2</v>
      </c>
      <c r="BE411">
        <v>72859.321707562907</v>
      </c>
      <c r="BF411">
        <v>15.71369934735562</v>
      </c>
      <c r="BG411">
        <v>73202.663285301736</v>
      </c>
      <c r="BH411">
        <v>15.613527568006241</v>
      </c>
      <c r="BI411">
        <v>-343.34157773882907</v>
      </c>
      <c r="BJ411">
        <v>0.10017177934937926</v>
      </c>
    </row>
    <row r="412" spans="3:62" x14ac:dyDescent="0.2">
      <c r="C412" s="121">
        <v>76849.71318526502</v>
      </c>
      <c r="D412" s="121">
        <v>14.905406613070976</v>
      </c>
      <c r="E412" s="121">
        <v>78861.566995170695</v>
      </c>
      <c r="F412" s="121">
        <v>14.725566335199758</v>
      </c>
      <c r="G412" s="121">
        <v>-2011.853809905675</v>
      </c>
      <c r="H412" s="121">
        <v>0.17984027787121803</v>
      </c>
      <c r="N412" s="121"/>
      <c r="O412" s="121"/>
      <c r="P412" s="121"/>
      <c r="R412">
        <v>327.33890258940676</v>
      </c>
      <c r="S412">
        <v>57.402920604222537</v>
      </c>
      <c r="T412">
        <v>307.54025465477685</v>
      </c>
      <c r="U412">
        <v>94.20459455415083</v>
      </c>
      <c r="X412">
        <v>0.92981687019915904</v>
      </c>
      <c r="Y412">
        <v>0.70169362415186842</v>
      </c>
      <c r="Z412">
        <v>0.6568363046991379</v>
      </c>
      <c r="AA412">
        <v>0.90158655382918629</v>
      </c>
      <c r="AB412">
        <v>0.76252823400305292</v>
      </c>
      <c r="AC412">
        <v>0.46394742743060013</v>
      </c>
      <c r="AD412">
        <v>0.69823249147039135</v>
      </c>
      <c r="AE412">
        <v>0.60738850716126547</v>
      </c>
      <c r="AH412">
        <v>0.21649026456169074</v>
      </c>
      <c r="AI412">
        <v>0.11267655916492902</v>
      </c>
      <c r="AJ412">
        <v>0.15446220646384956</v>
      </c>
      <c r="AK412">
        <v>5.504876622374888E-2</v>
      </c>
      <c r="AL412">
        <v>7.7529864861643594E-2</v>
      </c>
      <c r="AM412">
        <v>0.24135783641860942</v>
      </c>
      <c r="AN412">
        <v>5.4098404076033391E-2</v>
      </c>
      <c r="AO412">
        <v>0.12961476009712214</v>
      </c>
      <c r="AR412">
        <v>9.1932325705290641E-4</v>
      </c>
      <c r="AS412">
        <v>4.4147755124872021E-3</v>
      </c>
      <c r="AT412">
        <v>4.9136852413596372E-3</v>
      </c>
      <c r="AU412">
        <v>1.8542134183157763E-3</v>
      </c>
      <c r="AV412">
        <v>2.1122254927815609E-3</v>
      </c>
      <c r="AW412">
        <v>3.4664382067004507E-3</v>
      </c>
      <c r="AX412">
        <v>4.494288279842662E-4</v>
      </c>
      <c r="AY412">
        <v>5.6332829247252025E-4</v>
      </c>
      <c r="BB412">
        <v>5.868165869184927E-2</v>
      </c>
      <c r="BC412">
        <v>4.4254671042092117E-2</v>
      </c>
      <c r="BE412">
        <v>76849.71318526502</v>
      </c>
      <c r="BF412">
        <v>14.905406613070976</v>
      </c>
      <c r="BG412">
        <v>78861.566995170695</v>
      </c>
      <c r="BH412">
        <v>14.725566335199758</v>
      </c>
      <c r="BI412">
        <v>-2011.853809905675</v>
      </c>
      <c r="BJ412">
        <v>0.17984027787121803</v>
      </c>
    </row>
    <row r="413" spans="3:62" x14ac:dyDescent="0.2">
      <c r="C413" s="121">
        <v>73492.74078473814</v>
      </c>
      <c r="D413" s="121">
        <v>14.384373228049812</v>
      </c>
      <c r="E413" s="121">
        <v>75194.83239773169</v>
      </c>
      <c r="F413" s="121">
        <v>14.274446695001737</v>
      </c>
      <c r="G413" s="121">
        <v>-1702.0916129935504</v>
      </c>
      <c r="H413" s="121">
        <v>0.10992653304807476</v>
      </c>
      <c r="N413" s="121"/>
      <c r="O413" s="121"/>
      <c r="P413" s="121"/>
      <c r="R413">
        <v>293.98034563107791</v>
      </c>
      <c r="S413">
        <v>58.407780202816774</v>
      </c>
      <c r="T413">
        <v>257.96546319372641</v>
      </c>
      <c r="U413">
        <v>90.768527418047285</v>
      </c>
      <c r="X413">
        <v>0.80690774627358264</v>
      </c>
      <c r="Y413">
        <v>0.86347341587686621</v>
      </c>
      <c r="Z413">
        <v>0.66989481349064028</v>
      </c>
      <c r="AA413">
        <v>0.66833832862509168</v>
      </c>
      <c r="AB413">
        <v>0.88078933343168009</v>
      </c>
      <c r="AC413">
        <v>0.85031859889412187</v>
      </c>
      <c r="AD413">
        <v>0.90464976742041658</v>
      </c>
      <c r="AE413">
        <v>0.76592494104914588</v>
      </c>
      <c r="AH413">
        <v>0.11869884095087224</v>
      </c>
      <c r="AI413">
        <v>4.3351293166099758E-2</v>
      </c>
      <c r="AJ413">
        <v>6.8017418822497122E-2</v>
      </c>
      <c r="AK413">
        <v>3.8830902156874014E-2</v>
      </c>
      <c r="AL413">
        <v>0.19076097037094164</v>
      </c>
      <c r="AM413">
        <v>0.21384563279763191</v>
      </c>
      <c r="AN413">
        <v>4.329547063095851E-2</v>
      </c>
      <c r="AO413">
        <v>0.15828124930106435</v>
      </c>
      <c r="AR413">
        <v>9.2359797142804734E-4</v>
      </c>
      <c r="AS413">
        <v>4.5652028588640814E-3</v>
      </c>
      <c r="AT413">
        <v>4.9586765883130601E-3</v>
      </c>
      <c r="AU413">
        <v>2.2077724942095589E-3</v>
      </c>
      <c r="AV413">
        <v>1.9084159151152203E-3</v>
      </c>
      <c r="AW413">
        <v>3.192813918454997E-3</v>
      </c>
      <c r="AX413">
        <v>2.944823455878391E-4</v>
      </c>
      <c r="AY413">
        <v>4.4518679311041581E-4</v>
      </c>
      <c r="BB413">
        <v>5.6617611324873529E-2</v>
      </c>
      <c r="BC413">
        <v>6.0203309424536222E-2</v>
      </c>
      <c r="BE413">
        <v>73492.74078473814</v>
      </c>
      <c r="BF413">
        <v>14.384373228049812</v>
      </c>
      <c r="BG413">
        <v>75194.83239773169</v>
      </c>
      <c r="BH413">
        <v>14.274446695001737</v>
      </c>
      <c r="BI413">
        <v>-1702.0916129935504</v>
      </c>
      <c r="BJ413">
        <v>0.10992653304807476</v>
      </c>
    </row>
    <row r="414" spans="3:62" x14ac:dyDescent="0.2">
      <c r="C414" s="121">
        <v>76285.769043808657</v>
      </c>
      <c r="D414" s="121">
        <v>13.666711890574561</v>
      </c>
      <c r="E414" s="121">
        <v>78310.161648989393</v>
      </c>
      <c r="F414" s="121">
        <v>13.539832849020831</v>
      </c>
      <c r="G414" s="121">
        <v>-2024.3926051807357</v>
      </c>
      <c r="H414" s="121">
        <v>0.12687904155372998</v>
      </c>
      <c r="N414" s="121"/>
      <c r="O414" s="121"/>
      <c r="P414" s="121"/>
      <c r="R414">
        <v>172.49768754467999</v>
      </c>
      <c r="S414">
        <v>58.83154947123942</v>
      </c>
      <c r="T414">
        <v>274.01922306366254</v>
      </c>
      <c r="U414">
        <v>104.91772434448801</v>
      </c>
      <c r="X414">
        <v>0.93713026156077728</v>
      </c>
      <c r="Y414">
        <v>0.76833637004821309</v>
      </c>
      <c r="Z414">
        <v>0.52513218071261381</v>
      </c>
      <c r="AA414">
        <v>0.54791359487910318</v>
      </c>
      <c r="AB414">
        <v>0.76074704980935348</v>
      </c>
      <c r="AC414">
        <v>0.93275410983247742</v>
      </c>
      <c r="AD414">
        <v>0.81639063504785614</v>
      </c>
      <c r="AE414">
        <v>0.82401427887636691</v>
      </c>
      <c r="AH414">
        <v>0.25923220379835976</v>
      </c>
      <c r="AI414">
        <v>0.11056795063314695</v>
      </c>
      <c r="AJ414">
        <v>0.19074434782174365</v>
      </c>
      <c r="AK414">
        <v>1.3036924445138931E-2</v>
      </c>
      <c r="AL414">
        <v>0.35047893241015393</v>
      </c>
      <c r="AM414">
        <v>4.9334468746030202E-2</v>
      </c>
      <c r="AN414">
        <v>8.1729425643174203E-2</v>
      </c>
      <c r="AO414">
        <v>0.11119321978127672</v>
      </c>
      <c r="AR414">
        <v>8.503827800746042E-4</v>
      </c>
      <c r="AS414">
        <v>4.5985524013850698E-3</v>
      </c>
      <c r="AT414">
        <v>4.9201929190642209E-3</v>
      </c>
      <c r="AU414">
        <v>1.9658657632417478E-3</v>
      </c>
      <c r="AV414">
        <v>1.7553111980564708E-3</v>
      </c>
      <c r="AW414">
        <v>3.0646271329619473E-3</v>
      </c>
      <c r="AX414">
        <v>3.084985834509142E-4</v>
      </c>
      <c r="AY414">
        <v>5.1840154540561123E-4</v>
      </c>
      <c r="BB414">
        <v>4.0252073793197035E-2</v>
      </c>
      <c r="BC414">
        <v>2.9816692667003715E-2</v>
      </c>
      <c r="BE414">
        <v>76285.769043808657</v>
      </c>
      <c r="BF414">
        <v>13.666711890574561</v>
      </c>
      <c r="BG414">
        <v>78310.161648989393</v>
      </c>
      <c r="BH414">
        <v>13.539832849020831</v>
      </c>
      <c r="BI414">
        <v>-2024.3926051807357</v>
      </c>
      <c r="BJ414">
        <v>0.12687904155372998</v>
      </c>
    </row>
    <row r="415" spans="3:62" x14ac:dyDescent="0.2">
      <c r="C415" s="121">
        <v>68169.626527755288</v>
      </c>
      <c r="D415" s="121">
        <v>15.391151749637666</v>
      </c>
      <c r="E415" s="121">
        <v>69844.76905079234</v>
      </c>
      <c r="F415" s="121">
        <v>15.26011259047449</v>
      </c>
      <c r="G415" s="121">
        <v>-1675.1425230370514</v>
      </c>
      <c r="H415" s="121">
        <v>0.13103915916317632</v>
      </c>
      <c r="N415" s="121"/>
      <c r="O415" s="121"/>
      <c r="P415" s="121"/>
      <c r="R415">
        <v>185.98243573913098</v>
      </c>
      <c r="S415">
        <v>61.298721380953793</v>
      </c>
      <c r="T415">
        <v>273.20840905645406</v>
      </c>
      <c r="U415">
        <v>106.09630073315566</v>
      </c>
      <c r="X415">
        <v>0.80825145853003744</v>
      </c>
      <c r="Y415">
        <v>0.42464552916989073</v>
      </c>
      <c r="Z415">
        <v>0.80648153604649109</v>
      </c>
      <c r="AA415">
        <v>0.73545687667011861</v>
      </c>
      <c r="AB415">
        <v>0.866606523158306</v>
      </c>
      <c r="AC415">
        <v>0.71890386506572235</v>
      </c>
      <c r="AD415">
        <v>0.81753996453900313</v>
      </c>
      <c r="AE415">
        <v>0.85731311733819615</v>
      </c>
      <c r="AH415">
        <v>0.10203629501289213</v>
      </c>
      <c r="AI415">
        <v>0.2009367620207978</v>
      </c>
      <c r="AJ415">
        <v>0.10520151315609372</v>
      </c>
      <c r="AK415">
        <v>0.17724851429115285</v>
      </c>
      <c r="AL415">
        <v>2.5470734797121031E-2</v>
      </c>
      <c r="AM415">
        <v>0.10521061654131059</v>
      </c>
      <c r="AN415">
        <v>8.8222420262126677E-2</v>
      </c>
      <c r="AO415">
        <v>0.18328385963450522</v>
      </c>
      <c r="AR415">
        <v>8.4805986293575418E-4</v>
      </c>
      <c r="AS415">
        <v>4.3664672484432093E-3</v>
      </c>
      <c r="AT415">
        <v>5.0467524673110109E-3</v>
      </c>
      <c r="AU415">
        <v>1.9083224284537064E-3</v>
      </c>
      <c r="AV415">
        <v>1.7670765602381176E-3</v>
      </c>
      <c r="AW415">
        <v>3.3492542973823456E-3</v>
      </c>
      <c r="AX415">
        <v>4.0164360396921506E-4</v>
      </c>
      <c r="AY415">
        <v>4.8008448009317917E-4</v>
      </c>
      <c r="BB415">
        <v>5.3912155541726792E-2</v>
      </c>
      <c r="BC415">
        <v>5.4628803772864609E-2</v>
      </c>
      <c r="BE415">
        <v>68169.626527755288</v>
      </c>
      <c r="BF415">
        <v>15.391151749637666</v>
      </c>
      <c r="BG415">
        <v>69844.76905079234</v>
      </c>
      <c r="BH415">
        <v>15.26011259047449</v>
      </c>
      <c r="BI415">
        <v>-1675.1425230370514</v>
      </c>
      <c r="BJ415">
        <v>0.13103915916317632</v>
      </c>
    </row>
    <row r="416" spans="3:62" x14ac:dyDescent="0.2">
      <c r="C416" s="121">
        <v>72029.452419814639</v>
      </c>
      <c r="D416" s="121">
        <v>15.129778066075788</v>
      </c>
      <c r="E416" s="121">
        <v>73398.40325673281</v>
      </c>
      <c r="F416" s="121">
        <v>15.038002445662539</v>
      </c>
      <c r="G416" s="121">
        <v>-1368.9508369181713</v>
      </c>
      <c r="H416" s="121">
        <v>9.1775620413249825E-2</v>
      </c>
      <c r="N416" s="121"/>
      <c r="O416" s="121"/>
      <c r="P416" s="121"/>
      <c r="R416">
        <v>337.50037012017646</v>
      </c>
      <c r="S416">
        <v>62.307295390301718</v>
      </c>
      <c r="T416">
        <v>286.12698416691444</v>
      </c>
      <c r="U416">
        <v>87.308386125822679</v>
      </c>
      <c r="X416">
        <v>0.75935387395168641</v>
      </c>
      <c r="Y416">
        <v>0.7323839452409372</v>
      </c>
      <c r="Z416">
        <v>0.82714323351074082</v>
      </c>
      <c r="AA416">
        <v>0.94658603023906485</v>
      </c>
      <c r="AB416">
        <v>0.76770190891441881</v>
      </c>
      <c r="AC416">
        <v>0.80482341221857401</v>
      </c>
      <c r="AD416">
        <v>0.50685653156064536</v>
      </c>
      <c r="AE416">
        <v>0.75765544356077563</v>
      </c>
      <c r="AH416">
        <v>8.498847760893824E-2</v>
      </c>
      <c r="AI416">
        <v>0.13237399737210842</v>
      </c>
      <c r="AJ416">
        <v>0.10906819729522343</v>
      </c>
      <c r="AK416">
        <v>0.19780465826722926</v>
      </c>
      <c r="AL416">
        <v>0.11355416700053467</v>
      </c>
      <c r="AM416">
        <v>7.1049715136972669E-2</v>
      </c>
      <c r="AN416">
        <v>0.23876962179246364</v>
      </c>
      <c r="AO416">
        <v>2.3758168016956294E-2</v>
      </c>
      <c r="AR416">
        <v>1.1021344479971162E-3</v>
      </c>
      <c r="AS416">
        <v>4.3708582097834675E-3</v>
      </c>
      <c r="AT416">
        <v>5.1746609276406286E-3</v>
      </c>
      <c r="AU416">
        <v>1.9554448111887566E-3</v>
      </c>
      <c r="AV416">
        <v>1.989343683589878E-3</v>
      </c>
      <c r="AW416">
        <v>3.574665001028543E-3</v>
      </c>
      <c r="AX416">
        <v>4.2513919299747016E-4</v>
      </c>
      <c r="AY416">
        <v>4.9271210505241747E-4</v>
      </c>
      <c r="BB416">
        <v>4.3888837683745179E-2</v>
      </c>
      <c r="BC416">
        <v>5.4637215394273353E-2</v>
      </c>
      <c r="BE416">
        <v>72029.452419814639</v>
      </c>
      <c r="BF416">
        <v>15.129778066075788</v>
      </c>
      <c r="BG416">
        <v>73398.40325673281</v>
      </c>
      <c r="BH416">
        <v>15.038002445662539</v>
      </c>
      <c r="BI416">
        <v>-1368.9508369181713</v>
      </c>
      <c r="BJ416">
        <v>9.1775620413249825E-2</v>
      </c>
    </row>
    <row r="417" spans="3:62" x14ac:dyDescent="0.2">
      <c r="C417" s="121">
        <v>67942.655787871205</v>
      </c>
      <c r="D417" s="121">
        <v>16.226731510175771</v>
      </c>
      <c r="E417" s="121">
        <v>69395.601912738581</v>
      </c>
      <c r="F417" s="121">
        <v>16.103205578968538</v>
      </c>
      <c r="G417" s="121">
        <v>-1452.9461248673761</v>
      </c>
      <c r="H417" s="121">
        <v>0.12352593120723299</v>
      </c>
      <c r="N417" s="121"/>
      <c r="O417" s="121"/>
      <c r="P417" s="121"/>
      <c r="R417">
        <v>187.94988970076008</v>
      </c>
      <c r="S417">
        <v>67.16277515679414</v>
      </c>
      <c r="T417">
        <v>205.3270839987178</v>
      </c>
      <c r="U417">
        <v>85.897449047634922</v>
      </c>
      <c r="X417">
        <v>0.85804009418336358</v>
      </c>
      <c r="Y417">
        <v>0.88608013872226832</v>
      </c>
      <c r="Z417">
        <v>0.90798029594078189</v>
      </c>
      <c r="AA417">
        <v>0.7550243161885013</v>
      </c>
      <c r="AB417">
        <v>0.63424928271358094</v>
      </c>
      <c r="AC417">
        <v>0.69515077598266517</v>
      </c>
      <c r="AD417">
        <v>0.63410770319254106</v>
      </c>
      <c r="AE417">
        <v>0.87270013241541211</v>
      </c>
      <c r="AH417">
        <v>8.1398506716837682E-2</v>
      </c>
      <c r="AI417">
        <v>7.4148262130468101E-2</v>
      </c>
      <c r="AJ417">
        <v>2.8263010033833913E-2</v>
      </c>
      <c r="AK417">
        <v>0.12322714559412629</v>
      </c>
      <c r="AL417">
        <v>2.3361466759488358E-2</v>
      </c>
      <c r="AM417">
        <v>1.7537152709198978E-2</v>
      </c>
      <c r="AN417">
        <v>0.11850123378047672</v>
      </c>
      <c r="AO417">
        <v>0.11631749038991357</v>
      </c>
      <c r="AR417">
        <v>8.6895546994106916E-4</v>
      </c>
      <c r="AS417">
        <v>4.2755729769542606E-3</v>
      </c>
      <c r="AT417">
        <v>4.6815561332806998E-3</v>
      </c>
      <c r="AU417">
        <v>2.1073750669388103E-3</v>
      </c>
      <c r="AV417">
        <v>1.7773970393089578E-3</v>
      </c>
      <c r="AW417">
        <v>3.4605854154748927E-3</v>
      </c>
      <c r="AX417">
        <v>4.4511894584631229E-4</v>
      </c>
      <c r="AY417">
        <v>4.2795098826281682E-4</v>
      </c>
      <c r="BB417">
        <v>4.9903130487846115E-2</v>
      </c>
      <c r="BC417">
        <v>3.7742169477806273E-2</v>
      </c>
      <c r="BE417">
        <v>67942.655787871205</v>
      </c>
      <c r="BF417">
        <v>16.226731510175771</v>
      </c>
      <c r="BG417">
        <v>69395.601912738581</v>
      </c>
      <c r="BH417">
        <v>16.103205578968538</v>
      </c>
      <c r="BI417">
        <v>-1452.9461248673761</v>
      </c>
      <c r="BJ417">
        <v>0.12352593120723299</v>
      </c>
    </row>
    <row r="418" spans="3:62" x14ac:dyDescent="0.2">
      <c r="C418" s="121">
        <v>70075.230466732159</v>
      </c>
      <c r="D418" s="121">
        <v>16.516359337365344</v>
      </c>
      <c r="E418" s="121">
        <v>71071.509310651934</v>
      </c>
      <c r="F418" s="121">
        <v>16.403546620965443</v>
      </c>
      <c r="G418" s="121">
        <v>-996.27884391977568</v>
      </c>
      <c r="H418" s="121">
        <v>0.11281271639990109</v>
      </c>
      <c r="N418" s="121"/>
      <c r="O418" s="121"/>
      <c r="P418" s="121"/>
      <c r="R418">
        <v>217.49582570891485</v>
      </c>
      <c r="S418">
        <v>53.449049901325196</v>
      </c>
      <c r="T418">
        <v>245.17297131604928</v>
      </c>
      <c r="U418">
        <v>98.085904565796881</v>
      </c>
      <c r="X418">
        <v>0.46258400806755207</v>
      </c>
      <c r="Y418">
        <v>0.59059569538333423</v>
      </c>
      <c r="Z418">
        <v>0.84588809054876024</v>
      </c>
      <c r="AA418">
        <v>0.77239734269770266</v>
      </c>
      <c r="AB418">
        <v>0.6896863014937259</v>
      </c>
      <c r="AC418">
        <v>0.42982661709716347</v>
      </c>
      <c r="AD418">
        <v>0.69903894883689721</v>
      </c>
      <c r="AE418">
        <v>0.66354482384250768</v>
      </c>
      <c r="AH418">
        <v>0.17299421336946486</v>
      </c>
      <c r="AI418">
        <v>7.5928727202672297E-2</v>
      </c>
      <c r="AJ418">
        <v>0.18218703805416303</v>
      </c>
      <c r="AK418">
        <v>5.9665627983457536E-2</v>
      </c>
      <c r="AL418">
        <v>0.14241714971882391</v>
      </c>
      <c r="AM418">
        <v>0.39279621888825644</v>
      </c>
      <c r="AN418">
        <v>0.1896651202227021</v>
      </c>
      <c r="AO418">
        <v>1.7784354317210704E-2</v>
      </c>
      <c r="AR418">
        <v>1.0920310035750225E-3</v>
      </c>
      <c r="AS418">
        <v>4.4802956180173756E-3</v>
      </c>
      <c r="AT418">
        <v>4.716291345162194E-3</v>
      </c>
      <c r="AU418">
        <v>2.1435938620020245E-3</v>
      </c>
      <c r="AV418">
        <v>2.0786628762887727E-3</v>
      </c>
      <c r="AW418">
        <v>3.2983423696824467E-3</v>
      </c>
      <c r="AX418">
        <v>4.0706865093076416E-4</v>
      </c>
      <c r="AY418">
        <v>4.5107332002081169E-4</v>
      </c>
      <c r="BB418">
        <v>4.4659439222905731E-2</v>
      </c>
      <c r="BC418">
        <v>2.8074253717506197E-2</v>
      </c>
      <c r="BE418">
        <v>70075.230466732159</v>
      </c>
      <c r="BF418">
        <v>16.516359337365344</v>
      </c>
      <c r="BG418">
        <v>71071.509310651934</v>
      </c>
      <c r="BH418">
        <v>16.403546620965443</v>
      </c>
      <c r="BI418">
        <v>-996.27884391977568</v>
      </c>
      <c r="BJ418">
        <v>0.11281271639990109</v>
      </c>
    </row>
    <row r="419" spans="3:62" x14ac:dyDescent="0.2">
      <c r="C419" s="121">
        <v>77709.454729987454</v>
      </c>
      <c r="D419" s="121">
        <v>15.720297797060773</v>
      </c>
      <c r="E419" s="121">
        <v>80533.563496801784</v>
      </c>
      <c r="F419" s="121">
        <v>15.516812491267903</v>
      </c>
      <c r="G419" s="121">
        <v>-2824.10876681433</v>
      </c>
      <c r="H419" s="121">
        <v>0.20348530579287072</v>
      </c>
      <c r="N419" s="121"/>
      <c r="O419" s="121"/>
      <c r="P419" s="121"/>
      <c r="R419">
        <v>182.72359470516727</v>
      </c>
      <c r="S419">
        <v>55.178061609963208</v>
      </c>
      <c r="T419">
        <v>192.09183415104826</v>
      </c>
      <c r="U419">
        <v>74.976706181473276</v>
      </c>
      <c r="X419">
        <v>0.91650636409480879</v>
      </c>
      <c r="Y419">
        <v>0.8954276927933259</v>
      </c>
      <c r="Z419">
        <v>0.93276011216274624</v>
      </c>
      <c r="AA419">
        <v>0.81396126733484786</v>
      </c>
      <c r="AB419">
        <v>0.78655072844132101</v>
      </c>
      <c r="AC419">
        <v>0.83386367806733785</v>
      </c>
      <c r="AD419">
        <v>0.83505782069721646</v>
      </c>
      <c r="AE419">
        <v>0.64690262935683673</v>
      </c>
      <c r="AH419">
        <v>8.3870578462585721E-2</v>
      </c>
      <c r="AI419">
        <v>2.680987719532435E-2</v>
      </c>
      <c r="AJ419">
        <v>5.1525711469966651E-2</v>
      </c>
      <c r="AK419">
        <v>0.23596937377979932</v>
      </c>
      <c r="AL419">
        <v>0.10429575278108816</v>
      </c>
      <c r="AM419">
        <v>0.21857337551281864</v>
      </c>
      <c r="AN419">
        <v>0.16982396084086548</v>
      </c>
      <c r="AO419">
        <v>0.28320844890254382</v>
      </c>
      <c r="AR419">
        <v>7.3655454549725527E-4</v>
      </c>
      <c r="AS419">
        <v>4.7244750564403581E-3</v>
      </c>
      <c r="AT419">
        <v>4.5911088096836474E-3</v>
      </c>
      <c r="AU419">
        <v>2.146658303368798E-3</v>
      </c>
      <c r="AV419">
        <v>2.1717232268483322E-3</v>
      </c>
      <c r="AW419">
        <v>3.0958274326946859E-3</v>
      </c>
      <c r="AX419">
        <v>3.6301414241516239E-4</v>
      </c>
      <c r="AY419">
        <v>4.822204826498977E-4</v>
      </c>
      <c r="BB419">
        <v>5.5649461564507008E-2</v>
      </c>
      <c r="BC419">
        <v>2.85585521266019E-2</v>
      </c>
      <c r="BE419">
        <v>77709.454729987454</v>
      </c>
      <c r="BF419">
        <v>15.720297797060773</v>
      </c>
      <c r="BG419">
        <v>80533.563496801784</v>
      </c>
      <c r="BH419">
        <v>15.516812491267903</v>
      </c>
      <c r="BI419">
        <v>-2824.10876681433</v>
      </c>
      <c r="BJ419">
        <v>0.20348530579287072</v>
      </c>
    </row>
    <row r="420" spans="3:62" x14ac:dyDescent="0.2">
      <c r="C420" s="121">
        <v>69585.562957423637</v>
      </c>
      <c r="D420" s="121">
        <v>15.687611711806836</v>
      </c>
      <c r="E420" s="121">
        <v>71619.721853377428</v>
      </c>
      <c r="F420" s="121">
        <v>15.521718447833228</v>
      </c>
      <c r="G420" s="121">
        <v>-2034.1588959537912</v>
      </c>
      <c r="H420" s="121">
        <v>0.16589326397360793</v>
      </c>
      <c r="N420" s="121"/>
      <c r="O420" s="121"/>
      <c r="P420" s="121"/>
      <c r="R420">
        <v>237.25126380570879</v>
      </c>
      <c r="S420">
        <v>71.820386699171479</v>
      </c>
      <c r="T420">
        <v>264.80641020712517</v>
      </c>
      <c r="U420">
        <v>99.1280296481725</v>
      </c>
      <c r="X420">
        <v>0.67202744988574237</v>
      </c>
      <c r="Y420">
        <v>0.71779345782509507</v>
      </c>
      <c r="Z420">
        <v>0.81191357086316285</v>
      </c>
      <c r="AA420">
        <v>0.81887388199782496</v>
      </c>
      <c r="AB420">
        <v>0.51479509149936431</v>
      </c>
      <c r="AC420">
        <v>0.63596949694451443</v>
      </c>
      <c r="AD420">
        <v>0.73856370217718981</v>
      </c>
      <c r="AE420">
        <v>0.65947793447896819</v>
      </c>
      <c r="AH420">
        <v>0.1729842645782067</v>
      </c>
      <c r="AI420">
        <v>6.4464756747864227E-2</v>
      </c>
      <c r="AJ420">
        <v>4.2101420044011517E-2</v>
      </c>
      <c r="AK420">
        <v>2.1667058605043699E-2</v>
      </c>
      <c r="AL420">
        <v>0.12797994132917834</v>
      </c>
      <c r="AM420">
        <v>0.15359030026637654</v>
      </c>
      <c r="AN420">
        <v>8.6266180127238856E-2</v>
      </c>
      <c r="AO420">
        <v>7.424368237748169E-2</v>
      </c>
      <c r="AR420">
        <v>8.3172249304626431E-4</v>
      </c>
      <c r="AS420">
        <v>4.528909651293489E-3</v>
      </c>
      <c r="AT420">
        <v>4.9747716950877541E-3</v>
      </c>
      <c r="AU420">
        <v>1.9566852989814751E-3</v>
      </c>
      <c r="AV420">
        <v>1.8746374327530924E-3</v>
      </c>
      <c r="AW420">
        <v>3.3963688890974882E-3</v>
      </c>
      <c r="AX420">
        <v>3.6908394901244348E-4</v>
      </c>
      <c r="AY420">
        <v>3.8804147449563538E-4</v>
      </c>
      <c r="BB420">
        <v>5.2124912425753345E-2</v>
      </c>
      <c r="BC420">
        <v>1.5129019262951309E-2</v>
      </c>
      <c r="BE420">
        <v>69585.562957423637</v>
      </c>
      <c r="BF420">
        <v>15.687611711806836</v>
      </c>
      <c r="BG420">
        <v>71619.721853377428</v>
      </c>
      <c r="BH420">
        <v>15.521718447833228</v>
      </c>
      <c r="BI420">
        <v>-2034.1588959537912</v>
      </c>
      <c r="BJ420">
        <v>0.16589326397360793</v>
      </c>
    </row>
    <row r="421" spans="3:62" x14ac:dyDescent="0.2">
      <c r="C421" s="121">
        <v>72180.811440121353</v>
      </c>
      <c r="D421" s="121">
        <v>14.654602457337568</v>
      </c>
      <c r="E421" s="121">
        <v>73514.346778144652</v>
      </c>
      <c r="F421" s="121">
        <v>14.559363075507532</v>
      </c>
      <c r="G421" s="121">
        <v>-1333.5353380232991</v>
      </c>
      <c r="H421" s="121">
        <v>9.5239381830035441E-2</v>
      </c>
      <c r="N421" s="121"/>
      <c r="O421" s="121"/>
      <c r="P421" s="121"/>
      <c r="R421">
        <v>198.64696020883667</v>
      </c>
      <c r="S421">
        <v>66.018297254765784</v>
      </c>
      <c r="T421">
        <v>267.90015239670299</v>
      </c>
      <c r="U421">
        <v>86.221644358346893</v>
      </c>
      <c r="X421">
        <v>0.74503886246091011</v>
      </c>
      <c r="Y421">
        <v>0.80406076445749386</v>
      </c>
      <c r="Z421">
        <v>0.58504303445677386</v>
      </c>
      <c r="AA421">
        <v>0.63996153137247969</v>
      </c>
      <c r="AB421">
        <v>0.82980890987565581</v>
      </c>
      <c r="AC421">
        <v>0.42386526897641386</v>
      </c>
      <c r="AD421">
        <v>0.61250919277536287</v>
      </c>
      <c r="AE421">
        <v>0.81907200688883586</v>
      </c>
      <c r="AH421">
        <v>0.33636374727618479</v>
      </c>
      <c r="AI421">
        <v>0.20582557107726218</v>
      </c>
      <c r="AJ421">
        <v>0.10295422469870397</v>
      </c>
      <c r="AK421">
        <v>0.23257061488484887</v>
      </c>
      <c r="AL421">
        <v>6.7583472194366889E-2</v>
      </c>
      <c r="AM421">
        <v>7.5290351414007417E-2</v>
      </c>
      <c r="AN421">
        <v>2.0511372930839711E-2</v>
      </c>
      <c r="AO421">
        <v>0.13289540668373179</v>
      </c>
      <c r="AR421">
        <v>7.7648742114968974E-4</v>
      </c>
      <c r="AS421">
        <v>4.9703871179653802E-3</v>
      </c>
      <c r="AT421">
        <v>4.7155234434702624E-3</v>
      </c>
      <c r="AU421">
        <v>2.1198381372727892E-3</v>
      </c>
      <c r="AV421">
        <v>2.1854326860595297E-3</v>
      </c>
      <c r="AW421">
        <v>3.2871563233855036E-3</v>
      </c>
      <c r="AX421">
        <v>4.4368734785393826E-4</v>
      </c>
      <c r="AY421">
        <v>4.7499909398263096E-4</v>
      </c>
      <c r="BB421">
        <v>5.6829729857521105E-2</v>
      </c>
      <c r="BC421">
        <v>2.6047923742783086E-2</v>
      </c>
      <c r="BE421">
        <v>72180.811440121353</v>
      </c>
      <c r="BF421">
        <v>14.654602457337568</v>
      </c>
      <c r="BG421">
        <v>73514.346778144652</v>
      </c>
      <c r="BH421">
        <v>14.559363075507532</v>
      </c>
      <c r="BI421">
        <v>-1333.5353380232991</v>
      </c>
      <c r="BJ421">
        <v>9.5239381830035441E-2</v>
      </c>
    </row>
    <row r="422" spans="3:62" x14ac:dyDescent="0.2">
      <c r="C422" s="121">
        <v>71732.830122228203</v>
      </c>
      <c r="D422" s="121">
        <v>17.356824438633755</v>
      </c>
      <c r="E422" s="121">
        <v>73644.168205862283</v>
      </c>
      <c r="F422" s="121">
        <v>17.229282070316589</v>
      </c>
      <c r="G422" s="121">
        <v>-1911.3380836340802</v>
      </c>
      <c r="H422" s="121">
        <v>0.12754236831716526</v>
      </c>
      <c r="N422" s="121"/>
      <c r="O422" s="121"/>
      <c r="P422" s="121"/>
      <c r="R422">
        <v>243.54597550466855</v>
      </c>
      <c r="S422">
        <v>72.022109228269841</v>
      </c>
      <c r="T422">
        <v>251.3434710337709</v>
      </c>
      <c r="U422">
        <v>104.42863886010977</v>
      </c>
      <c r="X422">
        <v>0.67420530886034102</v>
      </c>
      <c r="Y422">
        <v>0.81283148569053476</v>
      </c>
      <c r="Z422">
        <v>0.67273673514951426</v>
      </c>
      <c r="AA422">
        <v>0.66536248151288913</v>
      </c>
      <c r="AB422">
        <v>0.82583695905991761</v>
      </c>
      <c r="AC422">
        <v>0.87168779298396737</v>
      </c>
      <c r="AD422">
        <v>0.7287309820183473</v>
      </c>
      <c r="AE422">
        <v>0.81824124443527202</v>
      </c>
      <c r="AH422">
        <v>9.6862685830874984E-2</v>
      </c>
      <c r="AI422">
        <v>0.16679146171454129</v>
      </c>
      <c r="AJ422">
        <v>0.18339115472120981</v>
      </c>
      <c r="AK422">
        <v>3.9303630041950477E-2</v>
      </c>
      <c r="AL422">
        <v>0.20285551026966375</v>
      </c>
      <c r="AM422">
        <v>1.4812836663008477E-2</v>
      </c>
      <c r="AN422">
        <v>7.0345472078150673E-2</v>
      </c>
      <c r="AO422">
        <v>0.11076998479370315</v>
      </c>
      <c r="AR422">
        <v>7.7640334009495334E-4</v>
      </c>
      <c r="AS422">
        <v>4.7358384585310942E-3</v>
      </c>
      <c r="AT422">
        <v>5.1453257146103493E-3</v>
      </c>
      <c r="AU422">
        <v>2.0832433069863932E-3</v>
      </c>
      <c r="AV422">
        <v>1.7477924331436199E-3</v>
      </c>
      <c r="AW422">
        <v>3.2596347067192968E-3</v>
      </c>
      <c r="AX422">
        <v>2.9816984739346994E-4</v>
      </c>
      <c r="AY422">
        <v>4.1577135434887013E-4</v>
      </c>
      <c r="BB422">
        <v>4.5703055628050819E-2</v>
      </c>
      <c r="BC422">
        <v>6.8053786304539732E-2</v>
      </c>
      <c r="BE422">
        <v>71732.830122228203</v>
      </c>
      <c r="BF422">
        <v>17.356824438633755</v>
      </c>
      <c r="BG422">
        <v>73644.168205862283</v>
      </c>
      <c r="BH422">
        <v>17.229282070316589</v>
      </c>
      <c r="BI422">
        <v>-1911.3380836340802</v>
      </c>
      <c r="BJ422">
        <v>0.12754236831716526</v>
      </c>
    </row>
    <row r="423" spans="3:62" x14ac:dyDescent="0.2">
      <c r="C423" s="121">
        <v>70658.448552950431</v>
      </c>
      <c r="D423" s="121">
        <v>16.674578050184017</v>
      </c>
      <c r="E423" s="121">
        <v>71870.78430492655</v>
      </c>
      <c r="F423" s="121">
        <v>16.558197208480717</v>
      </c>
      <c r="G423" s="121">
        <v>-1212.3357519761194</v>
      </c>
      <c r="H423" s="121">
        <v>0.11638084170330032</v>
      </c>
      <c r="N423" s="121"/>
      <c r="O423" s="121"/>
      <c r="P423" s="121"/>
      <c r="R423">
        <v>194.73563484743366</v>
      </c>
      <c r="S423">
        <v>55.749541632514529</v>
      </c>
      <c r="T423">
        <v>266.6021206398068</v>
      </c>
      <c r="U423">
        <v>92.837825217486113</v>
      </c>
      <c r="X423">
        <v>0.58797170071555838</v>
      </c>
      <c r="Y423">
        <v>0.85535539120027126</v>
      </c>
      <c r="Z423">
        <v>0.70091823641955375</v>
      </c>
      <c r="AA423">
        <v>0.73671222178672224</v>
      </c>
      <c r="AB423">
        <v>0.91804848822424523</v>
      </c>
      <c r="AC423">
        <v>0.71565653969972975</v>
      </c>
      <c r="AD423">
        <v>0.8847399349146261</v>
      </c>
      <c r="AE423">
        <v>0.9299690690660074</v>
      </c>
      <c r="AH423">
        <v>0.12161343204586794</v>
      </c>
      <c r="AI423">
        <v>2.0577187079578008E-2</v>
      </c>
      <c r="AJ423">
        <v>0.24738600204150096</v>
      </c>
      <c r="AK423">
        <v>8.6949708029952721E-2</v>
      </c>
      <c r="AL423">
        <v>6.3829736783011959E-2</v>
      </c>
      <c r="AM423">
        <v>2.4107858947535865E-2</v>
      </c>
      <c r="AN423">
        <v>5.7615355297138793E-2</v>
      </c>
      <c r="AO423">
        <v>0.24887975158854114</v>
      </c>
      <c r="AR423">
        <v>8.7621749252088778E-4</v>
      </c>
      <c r="AS423">
        <v>4.672777080241719E-3</v>
      </c>
      <c r="AT423">
        <v>4.9571597402011669E-3</v>
      </c>
      <c r="AU423">
        <v>2.0945099990754557E-3</v>
      </c>
      <c r="AV423">
        <v>2.1661196231654856E-3</v>
      </c>
      <c r="AW423">
        <v>3.6147813932601025E-3</v>
      </c>
      <c r="AX423">
        <v>4.6266366121128222E-4</v>
      </c>
      <c r="AY423">
        <v>3.7283753047750605E-4</v>
      </c>
      <c r="BB423">
        <v>4.6234749340494624E-2</v>
      </c>
      <c r="BC423">
        <v>2.5372620533983939E-2</v>
      </c>
      <c r="BE423">
        <v>70658.448552950431</v>
      </c>
      <c r="BF423">
        <v>16.674578050184017</v>
      </c>
      <c r="BG423">
        <v>71870.78430492655</v>
      </c>
      <c r="BH423">
        <v>16.558197208480717</v>
      </c>
      <c r="BI423">
        <v>-1212.3357519761194</v>
      </c>
      <c r="BJ423">
        <v>0.11638084170330032</v>
      </c>
    </row>
    <row r="424" spans="3:62" x14ac:dyDescent="0.2">
      <c r="C424" s="121">
        <v>70906.253665796292</v>
      </c>
      <c r="D424" s="121">
        <v>17.123792904223087</v>
      </c>
      <c r="E424" s="121">
        <v>72683.074613603763</v>
      </c>
      <c r="F424" s="121">
        <v>16.997150225788541</v>
      </c>
      <c r="G424" s="121">
        <v>-1776.8209478074714</v>
      </c>
      <c r="H424" s="121">
        <v>0.12664267843454624</v>
      </c>
      <c r="N424" s="121"/>
      <c r="O424" s="121"/>
      <c r="P424" s="121"/>
      <c r="R424">
        <v>392.83382489549729</v>
      </c>
      <c r="S424">
        <v>79.026701879437368</v>
      </c>
      <c r="T424">
        <v>272.97070956441621</v>
      </c>
      <c r="U424">
        <v>91.108934181136192</v>
      </c>
      <c r="X424">
        <v>0.65855214436298604</v>
      </c>
      <c r="Y424">
        <v>0.6214720420174823</v>
      </c>
      <c r="Z424">
        <v>0.76814216892672804</v>
      </c>
      <c r="AA424">
        <v>0.87044469328622021</v>
      </c>
      <c r="AB424">
        <v>0.79263007739182778</v>
      </c>
      <c r="AC424">
        <v>0.56504113880922469</v>
      </c>
      <c r="AD424">
        <v>0.74804703626209212</v>
      </c>
      <c r="AE424">
        <v>0.76430998660174365</v>
      </c>
      <c r="AH424">
        <v>0.16845038951368618</v>
      </c>
      <c r="AI424">
        <v>4.9358040705456241E-2</v>
      </c>
      <c r="AJ424">
        <v>0.1746073080168713</v>
      </c>
      <c r="AK424">
        <v>4.8300136703014029E-2</v>
      </c>
      <c r="AL424">
        <v>0.35164440158967447</v>
      </c>
      <c r="AM424">
        <v>9.5237018703297815E-2</v>
      </c>
      <c r="AN424">
        <v>5.0778624386938254E-2</v>
      </c>
      <c r="AO424">
        <v>7.2390915242795284E-2</v>
      </c>
      <c r="AR424">
        <v>7.0013235833563667E-4</v>
      </c>
      <c r="AS424">
        <v>4.0874703344889098E-3</v>
      </c>
      <c r="AT424">
        <v>4.8032933511572978E-3</v>
      </c>
      <c r="AU424">
        <v>2.2473480310971627E-3</v>
      </c>
      <c r="AV424">
        <v>1.8554112843765537E-3</v>
      </c>
      <c r="AW424">
        <v>3.5612899741065407E-3</v>
      </c>
      <c r="AX424">
        <v>3.2232953814504805E-4</v>
      </c>
      <c r="AY424">
        <v>5.142417578587466E-4</v>
      </c>
      <c r="BB424">
        <v>4.1479987161968934E-2</v>
      </c>
      <c r="BC424">
        <v>2.3117126119164194E-2</v>
      </c>
      <c r="BE424">
        <v>70906.253665796292</v>
      </c>
      <c r="BF424">
        <v>17.123792904223087</v>
      </c>
      <c r="BG424">
        <v>72683.074613603763</v>
      </c>
      <c r="BH424">
        <v>16.997150225788541</v>
      </c>
      <c r="BI424">
        <v>-1776.8209478074714</v>
      </c>
      <c r="BJ424">
        <v>0.12664267843454624</v>
      </c>
    </row>
    <row r="425" spans="3:62" x14ac:dyDescent="0.2">
      <c r="C425" s="121">
        <v>58188.546868142868</v>
      </c>
      <c r="D425" s="121">
        <v>18.355725539113344</v>
      </c>
      <c r="E425" s="121">
        <v>59703.534951327892</v>
      </c>
      <c r="F425" s="121">
        <v>18.253550336588532</v>
      </c>
      <c r="G425" s="121">
        <v>-1514.9880831850242</v>
      </c>
      <c r="H425" s="121">
        <v>0.10217520252481194</v>
      </c>
      <c r="N425" s="121"/>
      <c r="O425" s="121"/>
      <c r="P425" s="121"/>
      <c r="R425">
        <v>178.55520709119071</v>
      </c>
      <c r="S425">
        <v>63.625430054206859</v>
      </c>
      <c r="T425">
        <v>241.92484316228717</v>
      </c>
      <c r="U425">
        <v>102.31240040473207</v>
      </c>
      <c r="X425">
        <v>0.84572782517508105</v>
      </c>
      <c r="Y425">
        <v>0.83723369593146812</v>
      </c>
      <c r="Z425">
        <v>0.77501219669461441</v>
      </c>
      <c r="AA425">
        <v>0.83210083496898801</v>
      </c>
      <c r="AB425">
        <v>0.74735831945745657</v>
      </c>
      <c r="AC425">
        <v>0.85352460045726042</v>
      </c>
      <c r="AD425">
        <v>0.85423419781025911</v>
      </c>
      <c r="AE425">
        <v>0.89804432071088125</v>
      </c>
      <c r="AH425">
        <v>0.32218306819157616</v>
      </c>
      <c r="AI425">
        <v>0.16179761629327039</v>
      </c>
      <c r="AJ425">
        <v>0.26119974189263262</v>
      </c>
      <c r="AK425">
        <v>7.729200128351843E-2</v>
      </c>
      <c r="AL425">
        <v>0.10335104156918895</v>
      </c>
      <c r="AM425">
        <v>0.15801462646401476</v>
      </c>
      <c r="AN425">
        <v>0.2088519866400339</v>
      </c>
      <c r="AO425">
        <v>0.21156815766154535</v>
      </c>
      <c r="AR425">
        <v>8.9824363696588971E-4</v>
      </c>
      <c r="AS425">
        <v>4.5146908218762771E-3</v>
      </c>
      <c r="AT425">
        <v>4.7763068463068251E-3</v>
      </c>
      <c r="AU425">
        <v>2.1451567291378426E-3</v>
      </c>
      <c r="AV425">
        <v>1.9148825520626763E-3</v>
      </c>
      <c r="AW425">
        <v>3.3058785454557721E-3</v>
      </c>
      <c r="AX425">
        <v>3.9908013288725286E-4</v>
      </c>
      <c r="AY425">
        <v>4.6758859457673996E-4</v>
      </c>
      <c r="BB425">
        <v>5.5687365270340239E-2</v>
      </c>
      <c r="BC425">
        <v>5.08889713074544E-2</v>
      </c>
      <c r="BE425">
        <v>58188.546868142868</v>
      </c>
      <c r="BF425">
        <v>18.355725539113344</v>
      </c>
      <c r="BG425">
        <v>59703.534951327892</v>
      </c>
      <c r="BH425">
        <v>18.253550336588532</v>
      </c>
      <c r="BI425">
        <v>-1514.9880831850242</v>
      </c>
      <c r="BJ425">
        <v>0.10217520252481194</v>
      </c>
    </row>
    <row r="426" spans="3:62" x14ac:dyDescent="0.2">
      <c r="C426" s="121">
        <v>67613.988214234545</v>
      </c>
      <c r="D426" s="121">
        <v>16.768622837455077</v>
      </c>
      <c r="E426" s="121">
        <v>69002.215979468718</v>
      </c>
      <c r="F426" s="121">
        <v>16.605923330435196</v>
      </c>
      <c r="G426" s="121">
        <v>-1388.2277652341727</v>
      </c>
      <c r="H426" s="121">
        <v>0.16269950701988023</v>
      </c>
      <c r="N426" s="121"/>
      <c r="O426" s="121"/>
      <c r="P426" s="121"/>
      <c r="R426">
        <v>322.10674552781211</v>
      </c>
      <c r="S426">
        <v>68.753811367271837</v>
      </c>
      <c r="T426">
        <v>222.26163002341428</v>
      </c>
      <c r="U426">
        <v>92.126642394654041</v>
      </c>
      <c r="X426">
        <v>0.88954236606755788</v>
      </c>
      <c r="Y426">
        <v>0.80669543654069009</v>
      </c>
      <c r="Z426">
        <v>0.39901981748668475</v>
      </c>
      <c r="AA426">
        <v>0.73908692812205434</v>
      </c>
      <c r="AB426">
        <v>0.59425679926364072</v>
      </c>
      <c r="AC426">
        <v>0.78949446451076921</v>
      </c>
      <c r="AD426">
        <v>0.90209905815765823</v>
      </c>
      <c r="AE426">
        <v>0.74243380819094429</v>
      </c>
      <c r="AH426">
        <v>0.14907472455702464</v>
      </c>
      <c r="AI426">
        <v>0.29080304204755014</v>
      </c>
      <c r="AJ426">
        <v>0.30401751636900998</v>
      </c>
      <c r="AK426">
        <v>3.7579349781832749E-2</v>
      </c>
      <c r="AL426">
        <v>0.10461964721069594</v>
      </c>
      <c r="AM426">
        <v>8.5522177412539424E-2</v>
      </c>
      <c r="AN426">
        <v>9.2306127155770801E-2</v>
      </c>
      <c r="AO426">
        <v>0.23756080796388113</v>
      </c>
      <c r="AR426">
        <v>8.2017738945874927E-4</v>
      </c>
      <c r="AS426">
        <v>4.6612953730713613E-3</v>
      </c>
      <c r="AT426">
        <v>5.1772715283050497E-3</v>
      </c>
      <c r="AU426">
        <v>1.9811556943911067E-3</v>
      </c>
      <c r="AV426">
        <v>2.2323028740285356E-3</v>
      </c>
      <c r="AW426">
        <v>3.3247236902107158E-3</v>
      </c>
      <c r="AX426">
        <v>3.7608402438092127E-4</v>
      </c>
      <c r="AY426">
        <v>5.3150568127491304E-4</v>
      </c>
      <c r="BB426">
        <v>6.1194861627660302E-2</v>
      </c>
      <c r="BC426">
        <v>3.7086518117112589E-2</v>
      </c>
      <c r="BE426">
        <v>67613.988214234545</v>
      </c>
      <c r="BF426">
        <v>16.768622837455077</v>
      </c>
      <c r="BG426">
        <v>69002.215979468718</v>
      </c>
      <c r="BH426">
        <v>16.605923330435196</v>
      </c>
      <c r="BI426">
        <v>-1388.2277652341727</v>
      </c>
      <c r="BJ426">
        <v>0.16269950701988023</v>
      </c>
    </row>
    <row r="427" spans="3:62" x14ac:dyDescent="0.2">
      <c r="C427" s="121">
        <v>78521.738526229019</v>
      </c>
      <c r="D427" s="121">
        <v>15.977372360800466</v>
      </c>
      <c r="E427" s="121">
        <v>80079.227145267287</v>
      </c>
      <c r="F427" s="121">
        <v>15.82687899822794</v>
      </c>
      <c r="G427" s="121">
        <v>-1557.4886190382676</v>
      </c>
      <c r="H427" s="121">
        <v>0.15049336257252577</v>
      </c>
      <c r="N427" s="121"/>
      <c r="O427" s="121"/>
      <c r="P427" s="121"/>
      <c r="R427">
        <v>365.62018161451937</v>
      </c>
      <c r="S427">
        <v>64.675107693609959</v>
      </c>
      <c r="T427">
        <v>298.44581410194104</v>
      </c>
      <c r="U427">
        <v>85.719199099896088</v>
      </c>
      <c r="X427">
        <v>0.97334102962567581</v>
      </c>
      <c r="Y427">
        <v>0.81008387950190985</v>
      </c>
      <c r="Z427">
        <v>0.69138780355297969</v>
      </c>
      <c r="AA427">
        <v>0.82261596878902266</v>
      </c>
      <c r="AB427">
        <v>0.82696341443220456</v>
      </c>
      <c r="AC427">
        <v>0.88073273068453029</v>
      </c>
      <c r="AD427">
        <v>0.85055954845728454</v>
      </c>
      <c r="AE427">
        <v>0.74696647846067543</v>
      </c>
      <c r="AH427">
        <v>0.26868215296111697</v>
      </c>
      <c r="AI427">
        <v>0.10233993324416046</v>
      </c>
      <c r="AJ427">
        <v>1.5267123734036159E-2</v>
      </c>
      <c r="AK427">
        <v>7.6967953615741935E-2</v>
      </c>
      <c r="AL427">
        <v>8.0455244600339482E-2</v>
      </c>
      <c r="AM427">
        <v>7.1074103634112262E-2</v>
      </c>
      <c r="AN427">
        <v>5.3961820063177512E-3</v>
      </c>
      <c r="AO427">
        <v>3.9110129745705491E-2</v>
      </c>
      <c r="AR427">
        <v>9.316499849445492E-4</v>
      </c>
      <c r="AS427">
        <v>4.1847418877080933E-3</v>
      </c>
      <c r="AT427">
        <v>4.8670850382124594E-3</v>
      </c>
      <c r="AU427">
        <v>1.9127924422971251E-3</v>
      </c>
      <c r="AV427">
        <v>2.0226636556214261E-3</v>
      </c>
      <c r="AW427">
        <v>3.3125430884932993E-3</v>
      </c>
      <c r="AX427">
        <v>5.0595574506129282E-4</v>
      </c>
      <c r="AY427">
        <v>5.1758461972617464E-4</v>
      </c>
      <c r="BB427">
        <v>4.8631817182825304E-2</v>
      </c>
      <c r="BC427">
        <v>3.6094120692102188E-2</v>
      </c>
      <c r="BE427">
        <v>78521.738526229019</v>
      </c>
      <c r="BF427">
        <v>15.977372360800466</v>
      </c>
      <c r="BG427">
        <v>80079.227145267287</v>
      </c>
      <c r="BH427">
        <v>15.82687899822794</v>
      </c>
      <c r="BI427">
        <v>-1557.4886190382676</v>
      </c>
      <c r="BJ427">
        <v>0.15049336257252577</v>
      </c>
    </row>
    <row r="428" spans="3:62" x14ac:dyDescent="0.2">
      <c r="C428" s="121">
        <v>67580.419894720675</v>
      </c>
      <c r="D428" s="121">
        <v>15.900516846911957</v>
      </c>
      <c r="E428" s="121">
        <v>69482.345810037659</v>
      </c>
      <c r="F428" s="121">
        <v>15.737250366366432</v>
      </c>
      <c r="G428" s="121">
        <v>-1901.9259153169842</v>
      </c>
      <c r="H428" s="121">
        <v>0.16326648054552528</v>
      </c>
      <c r="N428" s="121"/>
      <c r="O428" s="121"/>
      <c r="P428" s="121"/>
      <c r="R428">
        <v>179.88096909556759</v>
      </c>
      <c r="S428">
        <v>62.673397050022658</v>
      </c>
      <c r="T428">
        <v>214.00082812742158</v>
      </c>
      <c r="U428">
        <v>88.425133580768232</v>
      </c>
      <c r="X428">
        <v>0.85502735725667589</v>
      </c>
      <c r="Y428">
        <v>0.79309927769407162</v>
      </c>
      <c r="Z428">
        <v>0.88146694447744078</v>
      </c>
      <c r="AA428">
        <v>0.65558334644021854</v>
      </c>
      <c r="AB428">
        <v>0.46326683701039051</v>
      </c>
      <c r="AC428">
        <v>0.8481543428485363</v>
      </c>
      <c r="AD428">
        <v>0.69755710100682677</v>
      </c>
      <c r="AE428">
        <v>0.93050844840592717</v>
      </c>
      <c r="AH428">
        <v>0.12781397656545157</v>
      </c>
      <c r="AI428">
        <v>0.1864099104029876</v>
      </c>
      <c r="AJ428">
        <v>2.5334643884768138E-2</v>
      </c>
      <c r="AK428">
        <v>6.7860787776931053E-2</v>
      </c>
      <c r="AL428">
        <v>7.2321965589852488E-2</v>
      </c>
      <c r="AM428">
        <v>0.18807860567366075</v>
      </c>
      <c r="AN428">
        <v>0.10459721801704869</v>
      </c>
      <c r="AO428">
        <v>2.0335390796672792E-2</v>
      </c>
      <c r="AR428">
        <v>8.9525134943857498E-4</v>
      </c>
      <c r="AS428">
        <v>4.3183514402472161E-3</v>
      </c>
      <c r="AT428">
        <v>4.9208058835609808E-3</v>
      </c>
      <c r="AU428">
        <v>2.1816396220258882E-3</v>
      </c>
      <c r="AV428">
        <v>1.8777852767162555E-3</v>
      </c>
      <c r="AW428">
        <v>3.349895443149307E-3</v>
      </c>
      <c r="AX428">
        <v>3.6685038119332311E-4</v>
      </c>
      <c r="AY428">
        <v>3.5067001630289564E-4</v>
      </c>
      <c r="BB428">
        <v>4.7605727448162063E-2</v>
      </c>
      <c r="BC428">
        <v>3.865891773662769E-2</v>
      </c>
      <c r="BE428">
        <v>67580.419894720675</v>
      </c>
      <c r="BF428">
        <v>15.900516846911957</v>
      </c>
      <c r="BG428">
        <v>69482.345810037659</v>
      </c>
      <c r="BH428">
        <v>15.737250366366432</v>
      </c>
      <c r="BI428">
        <v>-1901.9259153169842</v>
      </c>
      <c r="BJ428">
        <v>0.16326648054552528</v>
      </c>
    </row>
    <row r="429" spans="3:62" x14ac:dyDescent="0.2">
      <c r="C429" s="121">
        <v>70336.148036944331</v>
      </c>
      <c r="D429" s="121">
        <v>18.013566735440055</v>
      </c>
      <c r="E429" s="121">
        <v>72388.662875613925</v>
      </c>
      <c r="F429" s="121">
        <v>17.892203089138793</v>
      </c>
      <c r="G429" s="121">
        <v>-2052.5148386695946</v>
      </c>
      <c r="H429" s="121">
        <v>0.12136364630126195</v>
      </c>
      <c r="N429" s="121"/>
      <c r="O429" s="121"/>
      <c r="P429" s="121"/>
      <c r="R429">
        <v>35.862981173375147</v>
      </c>
      <c r="S429">
        <v>59.625044897286763</v>
      </c>
      <c r="T429">
        <v>206.83985151369689</v>
      </c>
      <c r="U429">
        <v>106.04919394780821</v>
      </c>
      <c r="X429">
        <v>0.77331157241572979</v>
      </c>
      <c r="Y429">
        <v>0.82746792847930184</v>
      </c>
      <c r="Z429">
        <v>0.73767704576771331</v>
      </c>
      <c r="AA429">
        <v>0.61842513846833791</v>
      </c>
      <c r="AB429">
        <v>0.76230517639069173</v>
      </c>
      <c r="AC429">
        <v>0.61113273269032131</v>
      </c>
      <c r="AD429">
        <v>0.69899257740541998</v>
      </c>
      <c r="AE429">
        <v>0.5965405949986603</v>
      </c>
      <c r="AH429">
        <v>1.3272940133883804E-2</v>
      </c>
      <c r="AI429">
        <v>0.10587182266548434</v>
      </c>
      <c r="AJ429">
        <v>9.6096337936974585E-2</v>
      </c>
      <c r="AK429">
        <v>1.9899611487322444E-2</v>
      </c>
      <c r="AL429">
        <v>8.9456580865893143E-2</v>
      </c>
      <c r="AM429">
        <v>6.0990511834942973E-2</v>
      </c>
      <c r="AN429">
        <v>9.3357983324005467E-2</v>
      </c>
      <c r="AO429">
        <v>8.0970933162571979E-2</v>
      </c>
      <c r="AR429">
        <v>8.9964784381180163E-4</v>
      </c>
      <c r="AS429">
        <v>4.7057644537638055E-3</v>
      </c>
      <c r="AT429">
        <v>4.8983792373343965E-3</v>
      </c>
      <c r="AU429">
        <v>2.0579377216480843E-3</v>
      </c>
      <c r="AV429">
        <v>2.2411382376714695E-3</v>
      </c>
      <c r="AW429">
        <v>3.2133772284207414E-3</v>
      </c>
      <c r="AX429">
        <v>2.9460159667807963E-4</v>
      </c>
      <c r="AY429">
        <v>3.9232989988627337E-4</v>
      </c>
      <c r="BB429">
        <v>4.4319526684094508E-2</v>
      </c>
      <c r="BC429">
        <v>3.0990685670832338E-2</v>
      </c>
      <c r="BE429">
        <v>70336.148036944331</v>
      </c>
      <c r="BF429">
        <v>18.013566735440055</v>
      </c>
      <c r="BG429">
        <v>72388.662875613925</v>
      </c>
      <c r="BH429">
        <v>17.892203089138793</v>
      </c>
      <c r="BI429">
        <v>-2052.5148386695946</v>
      </c>
      <c r="BJ429">
        <v>0.12136364630126195</v>
      </c>
    </row>
    <row r="430" spans="3:62" x14ac:dyDescent="0.2">
      <c r="C430" s="121">
        <v>74978.515963986109</v>
      </c>
      <c r="D430" s="121">
        <v>15.121346281397383</v>
      </c>
      <c r="E430" s="121">
        <v>76772.359405843672</v>
      </c>
      <c r="F430" s="121">
        <v>14.919676417528809</v>
      </c>
      <c r="G430" s="121">
        <v>-1793.8434418575634</v>
      </c>
      <c r="H430" s="121">
        <v>0.20166986386857388</v>
      </c>
      <c r="N430" s="121"/>
      <c r="O430" s="121"/>
      <c r="P430" s="121"/>
      <c r="R430">
        <v>373.07125447623059</v>
      </c>
      <c r="S430">
        <v>64.46060331594731</v>
      </c>
      <c r="T430">
        <v>265.78214312412524</v>
      </c>
      <c r="U430">
        <v>82.823989889108162</v>
      </c>
      <c r="X430">
        <v>0.93004610942840282</v>
      </c>
      <c r="Y430">
        <v>0.49511112321507617</v>
      </c>
      <c r="Z430">
        <v>0.84979104205196032</v>
      </c>
      <c r="AA430">
        <v>0.82804191312901954</v>
      </c>
      <c r="AB430">
        <v>0.56288929266834442</v>
      </c>
      <c r="AC430">
        <v>0.92102469330782843</v>
      </c>
      <c r="AD430">
        <v>0.68349387556198993</v>
      </c>
      <c r="AE430">
        <v>0.83178548441154943</v>
      </c>
      <c r="AH430">
        <v>0.24790844851064919</v>
      </c>
      <c r="AI430">
        <v>8.3553655175518271E-2</v>
      </c>
      <c r="AJ430">
        <v>7.7823104377945373E-2</v>
      </c>
      <c r="AK430">
        <v>0.11472271803521084</v>
      </c>
      <c r="AL430">
        <v>0.30118905762473258</v>
      </c>
      <c r="AM430">
        <v>0.30380488785096949</v>
      </c>
      <c r="AN430">
        <v>0.22274612828678841</v>
      </c>
      <c r="AO430">
        <v>0.14253661500085879</v>
      </c>
      <c r="AR430">
        <v>8.9922588022273153E-4</v>
      </c>
      <c r="AS430">
        <v>4.1723669841687711E-3</v>
      </c>
      <c r="AT430">
        <v>4.9776130804226604E-3</v>
      </c>
      <c r="AU430">
        <v>1.9674729605583079E-3</v>
      </c>
      <c r="AV430">
        <v>2.0307889689832326E-3</v>
      </c>
      <c r="AW430">
        <v>3.5147167509801402E-3</v>
      </c>
      <c r="AX430">
        <v>5.0193507528806247E-4</v>
      </c>
      <c r="AY430">
        <v>5.4511511980237515E-4</v>
      </c>
      <c r="BB430">
        <v>5.5877365724226968E-2</v>
      </c>
      <c r="BC430">
        <v>1.9962254550823576E-2</v>
      </c>
      <c r="BE430">
        <v>74978.515963986109</v>
      </c>
      <c r="BF430">
        <v>15.121346281397383</v>
      </c>
      <c r="BG430">
        <v>76772.359405843672</v>
      </c>
      <c r="BH430">
        <v>14.919676417528809</v>
      </c>
      <c r="BI430">
        <v>-1793.8434418575634</v>
      </c>
      <c r="BJ430">
        <v>0.20166986386857388</v>
      </c>
    </row>
    <row r="431" spans="3:62" x14ac:dyDescent="0.2">
      <c r="C431" s="121">
        <v>70320.619227754258</v>
      </c>
      <c r="D431" s="121">
        <v>13.949412538645451</v>
      </c>
      <c r="E431" s="121">
        <v>71316.571343158124</v>
      </c>
      <c r="F431" s="121">
        <v>13.878454812415658</v>
      </c>
      <c r="G431" s="121">
        <v>-995.95211540386663</v>
      </c>
      <c r="H431" s="121">
        <v>7.0957726229792684E-2</v>
      </c>
      <c r="N431" s="121"/>
      <c r="O431" s="121"/>
      <c r="P431" s="121"/>
      <c r="R431">
        <v>168.80522323588769</v>
      </c>
      <c r="S431">
        <v>75.186466713530905</v>
      </c>
      <c r="T431">
        <v>283.70928665902943</v>
      </c>
      <c r="U431">
        <v>109.28264718027961</v>
      </c>
      <c r="X431">
        <v>0.50433081654361023</v>
      </c>
      <c r="Y431">
        <v>0.8126380355150955</v>
      </c>
      <c r="Z431">
        <v>0.80321941410065378</v>
      </c>
      <c r="AA431">
        <v>0.68530935662451598</v>
      </c>
      <c r="AB431">
        <v>0.60793536746876387</v>
      </c>
      <c r="AC431">
        <v>0.55318707932507261</v>
      </c>
      <c r="AD431">
        <v>0.80367824341977145</v>
      </c>
      <c r="AE431">
        <v>0.96387472252574424</v>
      </c>
      <c r="AH431">
        <v>8.3641927604993338E-2</v>
      </c>
      <c r="AI431">
        <v>0.12293502431390813</v>
      </c>
      <c r="AJ431">
        <v>0.15369180156238649</v>
      </c>
      <c r="AK431">
        <v>2.3694814711997525E-2</v>
      </c>
      <c r="AL431">
        <v>8.0861621799256378E-2</v>
      </c>
      <c r="AM431">
        <v>0.12230423114683309</v>
      </c>
      <c r="AN431">
        <v>0.12135048897829692</v>
      </c>
      <c r="AO431">
        <v>0.24099015684800051</v>
      </c>
      <c r="AR431">
        <v>8.9779526152478084E-4</v>
      </c>
      <c r="AS431">
        <v>4.4689907653315169E-3</v>
      </c>
      <c r="AT431">
        <v>5.3893365707367025E-3</v>
      </c>
      <c r="AU431">
        <v>1.7319826760207838E-3</v>
      </c>
      <c r="AV431">
        <v>1.7368971529293901E-3</v>
      </c>
      <c r="AW431">
        <v>3.5724025275313265E-3</v>
      </c>
      <c r="AX431">
        <v>3.7566290406289678E-4</v>
      </c>
      <c r="AY431">
        <v>3.3433261964227782E-4</v>
      </c>
      <c r="BB431">
        <v>4.7286529231791316E-2</v>
      </c>
      <c r="BC431">
        <v>2.5145044441026512E-2</v>
      </c>
      <c r="BE431">
        <v>70320.619227754258</v>
      </c>
      <c r="BF431">
        <v>13.949412538645451</v>
      </c>
      <c r="BG431">
        <v>71316.571343158124</v>
      </c>
      <c r="BH431">
        <v>13.878454812415658</v>
      </c>
      <c r="BI431">
        <v>-995.95211540386663</v>
      </c>
      <c r="BJ431">
        <v>7.0957726229792684E-2</v>
      </c>
    </row>
    <row r="432" spans="3:62" x14ac:dyDescent="0.2">
      <c r="C432" s="121">
        <v>68283.948597522336</v>
      </c>
      <c r="D432" s="121">
        <v>16.22087723631833</v>
      </c>
      <c r="E432" s="121">
        <v>68963.788350484014</v>
      </c>
      <c r="F432" s="121">
        <v>16.135562449306491</v>
      </c>
      <c r="G432" s="121">
        <v>-679.83975296167773</v>
      </c>
      <c r="H432" s="121">
        <v>8.5314787011839144E-2</v>
      </c>
      <c r="N432" s="121"/>
      <c r="O432" s="121"/>
      <c r="P432" s="121"/>
      <c r="R432">
        <v>319.46886799977426</v>
      </c>
      <c r="S432">
        <v>69.184057437752884</v>
      </c>
      <c r="T432">
        <v>271.16031344042835</v>
      </c>
      <c r="U432">
        <v>88.270068326201141</v>
      </c>
      <c r="X432">
        <v>0.8643279018903649</v>
      </c>
      <c r="Y432">
        <v>0.59190524721922677</v>
      </c>
      <c r="Z432">
        <v>0.72316485284781407</v>
      </c>
      <c r="AA432">
        <v>0.70703588415204321</v>
      </c>
      <c r="AB432">
        <v>0.56594840652890832</v>
      </c>
      <c r="AC432">
        <v>0.72414636679257893</v>
      </c>
      <c r="AD432">
        <v>0.87927544273051983</v>
      </c>
      <c r="AE432">
        <v>0.61481865686734827</v>
      </c>
      <c r="AH432">
        <v>0.13388757606180368</v>
      </c>
      <c r="AI432">
        <v>5.4206908985156455E-2</v>
      </c>
      <c r="AJ432">
        <v>0.24246992432328118</v>
      </c>
      <c r="AK432">
        <v>8.8190680547744593E-2</v>
      </c>
      <c r="AL432">
        <v>0.26680629926675237</v>
      </c>
      <c r="AM432">
        <v>0.14015805855214425</v>
      </c>
      <c r="AN432">
        <v>0.22777353909885567</v>
      </c>
      <c r="AO432">
        <v>2.3376283844463774E-2</v>
      </c>
      <c r="AR432">
        <v>7.6345506845927581E-4</v>
      </c>
      <c r="AS432">
        <v>4.2815963838646227E-3</v>
      </c>
      <c r="AT432">
        <v>5.1576421771862835E-3</v>
      </c>
      <c r="AU432">
        <v>2.054047760063793E-3</v>
      </c>
      <c r="AV432">
        <v>1.975896686594431E-3</v>
      </c>
      <c r="AW432">
        <v>3.5528908566712092E-3</v>
      </c>
      <c r="AX432">
        <v>4.9585702093346562E-4</v>
      </c>
      <c r="AY432">
        <v>3.4919989617017172E-4</v>
      </c>
      <c r="BB432">
        <v>5.154332649518123E-2</v>
      </c>
      <c r="BC432">
        <v>4.7067561346365472E-2</v>
      </c>
      <c r="BE432">
        <v>68283.948597522336</v>
      </c>
      <c r="BF432">
        <v>16.22087723631833</v>
      </c>
      <c r="BG432">
        <v>68963.788350484014</v>
      </c>
      <c r="BH432">
        <v>16.135562449306491</v>
      </c>
      <c r="BI432">
        <v>-679.83975296167773</v>
      </c>
      <c r="BJ432">
        <v>8.5314787011839144E-2</v>
      </c>
    </row>
    <row r="433" spans="3:62" x14ac:dyDescent="0.2">
      <c r="C433" s="121">
        <v>72458.973870581685</v>
      </c>
      <c r="D433" s="121">
        <v>15.461525660705028</v>
      </c>
      <c r="E433" s="121">
        <v>73633.883810227038</v>
      </c>
      <c r="F433" s="121">
        <v>15.346777771704186</v>
      </c>
      <c r="G433" s="121">
        <v>-1174.909939645353</v>
      </c>
      <c r="H433" s="121">
        <v>0.11474788900084221</v>
      </c>
      <c r="N433" s="121"/>
      <c r="O433" s="121"/>
      <c r="P433" s="121"/>
      <c r="R433">
        <v>146.73617603692236</v>
      </c>
      <c r="S433">
        <v>62.392304989642582</v>
      </c>
      <c r="T433">
        <v>246.1199149387991</v>
      </c>
      <c r="U433">
        <v>104.36311177738793</v>
      </c>
      <c r="X433">
        <v>0.64982006139933313</v>
      </c>
      <c r="Y433">
        <v>0.83662649455549054</v>
      </c>
      <c r="Z433">
        <v>0.83224256980155276</v>
      </c>
      <c r="AA433">
        <v>0.76460247387026181</v>
      </c>
      <c r="AB433">
        <v>0.35185081238212063</v>
      </c>
      <c r="AC433">
        <v>0.91414228128124109</v>
      </c>
      <c r="AD433">
        <v>0.60463964970151451</v>
      </c>
      <c r="AE433">
        <v>0.71010666522957266</v>
      </c>
      <c r="AH433">
        <v>0.28449678075274021</v>
      </c>
      <c r="AI433">
        <v>0.10706690423909726</v>
      </c>
      <c r="AJ433">
        <v>0.34568297731258468</v>
      </c>
      <c r="AK433">
        <v>0.1552961552045059</v>
      </c>
      <c r="AL433">
        <v>0.11609154917134445</v>
      </c>
      <c r="AM433">
        <v>0.13910643628744068</v>
      </c>
      <c r="AN433">
        <v>0.16595869143262443</v>
      </c>
      <c r="AO433">
        <v>0.12861688873020483</v>
      </c>
      <c r="AR433">
        <v>8.4589337844641289E-4</v>
      </c>
      <c r="AS433">
        <v>4.538636111511396E-3</v>
      </c>
      <c r="AT433">
        <v>5.0541050382348907E-3</v>
      </c>
      <c r="AU433">
        <v>1.6716614788820578E-3</v>
      </c>
      <c r="AV433">
        <v>1.9290602609207761E-3</v>
      </c>
      <c r="AW433">
        <v>3.4214661081132247E-3</v>
      </c>
      <c r="AX433">
        <v>4.4407024735926282E-4</v>
      </c>
      <c r="AY433">
        <v>4.2617796993321027E-4</v>
      </c>
      <c r="BB433">
        <v>4.6293188319806028E-2</v>
      </c>
      <c r="BC433">
        <v>3.1595531260176675E-2</v>
      </c>
      <c r="BE433">
        <v>72458.973870581685</v>
      </c>
      <c r="BF433">
        <v>15.461525660705028</v>
      </c>
      <c r="BG433">
        <v>73633.883810227038</v>
      </c>
      <c r="BH433">
        <v>15.346777771704186</v>
      </c>
      <c r="BI433">
        <v>-1174.909939645353</v>
      </c>
      <c r="BJ433">
        <v>0.11474788900084221</v>
      </c>
    </row>
    <row r="434" spans="3:62" x14ac:dyDescent="0.2">
      <c r="C434" s="121">
        <v>80346.039380675749</v>
      </c>
      <c r="D434" s="121">
        <v>15.545712877761416</v>
      </c>
      <c r="E434" s="121">
        <v>81427.71066661716</v>
      </c>
      <c r="F434" s="121">
        <v>15.406746351580116</v>
      </c>
      <c r="G434" s="121">
        <v>-1081.671285941411</v>
      </c>
      <c r="H434" s="121">
        <v>0.13896652618129934</v>
      </c>
      <c r="N434" s="121"/>
      <c r="O434" s="121"/>
      <c r="P434" s="121"/>
      <c r="R434">
        <v>229.98357392692245</v>
      </c>
      <c r="S434">
        <v>56.633412464240308</v>
      </c>
      <c r="T434">
        <v>256.51404835771416</v>
      </c>
      <c r="U434">
        <v>83.468388810361787</v>
      </c>
      <c r="X434">
        <v>0.9082085626952684</v>
      </c>
      <c r="Y434">
        <v>0.62025834684158709</v>
      </c>
      <c r="Z434">
        <v>0.87880494461519898</v>
      </c>
      <c r="AA434">
        <v>0.95115276815346728</v>
      </c>
      <c r="AB434">
        <v>0.871107662509778</v>
      </c>
      <c r="AC434">
        <v>0.87764110463809186</v>
      </c>
      <c r="AD434">
        <v>0.46341514074094053</v>
      </c>
      <c r="AE434">
        <v>0.73462469104083128</v>
      </c>
      <c r="AH434">
        <v>0.12516159645389957</v>
      </c>
      <c r="AI434">
        <v>0.11312259289100812</v>
      </c>
      <c r="AJ434">
        <v>0.18560755961393438</v>
      </c>
      <c r="AK434">
        <v>8.2509772556820238E-2</v>
      </c>
      <c r="AL434">
        <v>0.12867514646144607</v>
      </c>
      <c r="AM434">
        <v>0.24217313967822396</v>
      </c>
      <c r="AN434">
        <v>0.2777162865639401</v>
      </c>
      <c r="AO434">
        <v>4.3397225712596077E-2</v>
      </c>
      <c r="AR434">
        <v>8.6284697767676053E-4</v>
      </c>
      <c r="AS434">
        <v>4.1992573631355274E-3</v>
      </c>
      <c r="AT434">
        <v>4.6730323345988024E-3</v>
      </c>
      <c r="AU434">
        <v>1.8889658527760824E-3</v>
      </c>
      <c r="AV434">
        <v>2.0923224819754394E-3</v>
      </c>
      <c r="AW434">
        <v>3.4790412458695075E-3</v>
      </c>
      <c r="AX434">
        <v>4.1137290876780419E-4</v>
      </c>
      <c r="AY434">
        <v>3.8363315435809096E-4</v>
      </c>
      <c r="BB434">
        <v>6.0374108500750534E-2</v>
      </c>
      <c r="BC434">
        <v>1.7907899613517866E-2</v>
      </c>
      <c r="BE434">
        <v>80346.039380675749</v>
      </c>
      <c r="BF434">
        <v>15.545712877761416</v>
      </c>
      <c r="BG434">
        <v>81427.71066661716</v>
      </c>
      <c r="BH434">
        <v>15.406746351580116</v>
      </c>
      <c r="BI434">
        <v>-1081.671285941411</v>
      </c>
      <c r="BJ434">
        <v>0.13896652618129934</v>
      </c>
    </row>
    <row r="435" spans="3:62" x14ac:dyDescent="0.2">
      <c r="C435" s="121">
        <v>68702.227316198041</v>
      </c>
      <c r="D435" s="121">
        <v>15.429799955670434</v>
      </c>
      <c r="E435" s="121">
        <v>70828.842656348759</v>
      </c>
      <c r="F435" s="121">
        <v>15.277182735656337</v>
      </c>
      <c r="G435" s="121">
        <v>-2126.6153401507181</v>
      </c>
      <c r="H435" s="121">
        <v>0.15261722001409694</v>
      </c>
      <c r="N435" s="121"/>
      <c r="O435" s="121"/>
      <c r="P435" s="121"/>
      <c r="R435">
        <v>52.914016364225972</v>
      </c>
      <c r="S435">
        <v>65.143476762967254</v>
      </c>
      <c r="T435">
        <v>299.25823197810467</v>
      </c>
      <c r="U435">
        <v>82.974452776569834</v>
      </c>
      <c r="X435">
        <v>0.69497013890648784</v>
      </c>
      <c r="Y435">
        <v>0.77537677195250643</v>
      </c>
      <c r="Z435">
        <v>0.79247039923175744</v>
      </c>
      <c r="AA435">
        <v>0.77570319650197717</v>
      </c>
      <c r="AB435">
        <v>0.90736368554810998</v>
      </c>
      <c r="AC435">
        <v>0.90715648224483458</v>
      </c>
      <c r="AD435">
        <v>0.81774403593971756</v>
      </c>
      <c r="AE435">
        <v>0.71092397458350109</v>
      </c>
      <c r="AH435">
        <v>0.1281392199077438</v>
      </c>
      <c r="AI435">
        <v>0.40098603656649623</v>
      </c>
      <c r="AJ435">
        <v>2.4434763372525037E-2</v>
      </c>
      <c r="AK435">
        <v>4.3018396808671033E-2</v>
      </c>
      <c r="AL435">
        <v>6.6601871636365884E-2</v>
      </c>
      <c r="AM435">
        <v>0.10476828053437104</v>
      </c>
      <c r="AN435">
        <v>0.17322385038955068</v>
      </c>
      <c r="AO435">
        <v>0.18500507493947038</v>
      </c>
      <c r="AR435">
        <v>9.4018061424883115E-4</v>
      </c>
      <c r="AS435">
        <v>4.5507482042337344E-3</v>
      </c>
      <c r="AT435">
        <v>4.723999724126458E-3</v>
      </c>
      <c r="AU435">
        <v>1.9674034501215788E-3</v>
      </c>
      <c r="AV435">
        <v>2.4518555552537347E-3</v>
      </c>
      <c r="AW435">
        <v>3.4451976731234568E-3</v>
      </c>
      <c r="AX435">
        <v>3.2687232563523836E-4</v>
      </c>
      <c r="AY435">
        <v>4.3736174627921913E-4</v>
      </c>
      <c r="BB435">
        <v>6.2436544831442231E-2</v>
      </c>
      <c r="BC435">
        <v>5.9902542472639264E-2</v>
      </c>
      <c r="BE435">
        <v>68702.227316198041</v>
      </c>
      <c r="BF435">
        <v>15.429799955670434</v>
      </c>
      <c r="BG435">
        <v>70828.842656348759</v>
      </c>
      <c r="BH435">
        <v>15.277182735656337</v>
      </c>
      <c r="BI435">
        <v>-2126.6153401507181</v>
      </c>
      <c r="BJ435">
        <v>0.15261722001409694</v>
      </c>
    </row>
    <row r="436" spans="3:62" x14ac:dyDescent="0.2">
      <c r="C436" s="121">
        <v>67822.022484178276</v>
      </c>
      <c r="D436" s="121">
        <v>17.055963613136267</v>
      </c>
      <c r="E436" s="121">
        <v>68903.228377800595</v>
      </c>
      <c r="F436" s="121">
        <v>16.94323320287425</v>
      </c>
      <c r="G436" s="121">
        <v>-1081.2058936223184</v>
      </c>
      <c r="H436" s="121">
        <v>0.11273041026201724</v>
      </c>
      <c r="N436" s="121"/>
      <c r="O436" s="121"/>
      <c r="P436" s="121"/>
      <c r="R436">
        <v>235.24361409171871</v>
      </c>
      <c r="S436">
        <v>71.049277490099996</v>
      </c>
      <c r="T436">
        <v>230.43273268681818</v>
      </c>
      <c r="U436">
        <v>98.614100034114955</v>
      </c>
      <c r="X436">
        <v>0.60555205657735756</v>
      </c>
      <c r="Y436">
        <v>0.85344982773101197</v>
      </c>
      <c r="Z436">
        <v>0.85367721211010117</v>
      </c>
      <c r="AA436">
        <v>0.8618691039367834</v>
      </c>
      <c r="AB436">
        <v>0.40628556792747572</v>
      </c>
      <c r="AC436">
        <v>0.83692778578278282</v>
      </c>
      <c r="AD436">
        <v>0.84869324037708527</v>
      </c>
      <c r="AE436">
        <v>0.8962570039720581</v>
      </c>
      <c r="AH436">
        <v>0.15957377559747954</v>
      </c>
      <c r="AI436">
        <v>0.13611695340301433</v>
      </c>
      <c r="AJ436">
        <v>0.11563130025518653</v>
      </c>
      <c r="AK436">
        <v>7.0240918041168721E-2</v>
      </c>
      <c r="AL436">
        <v>0.12410433670930487</v>
      </c>
      <c r="AM436">
        <v>0.12079464115387517</v>
      </c>
      <c r="AN436">
        <v>0.2525183302229026</v>
      </c>
      <c r="AO436">
        <v>8.6655157909658387E-2</v>
      </c>
      <c r="AR436">
        <v>8.330801034405847E-4</v>
      </c>
      <c r="AS436">
        <v>4.3246970024370564E-3</v>
      </c>
      <c r="AT436">
        <v>4.9760649528122203E-3</v>
      </c>
      <c r="AU436">
        <v>1.8823154946232979E-3</v>
      </c>
      <c r="AV436">
        <v>2.0429121691163399E-3</v>
      </c>
      <c r="AW436">
        <v>3.286408605051631E-3</v>
      </c>
      <c r="AX436">
        <v>4.5046011997684765E-4</v>
      </c>
      <c r="AY436">
        <v>4.873949796947441E-4</v>
      </c>
      <c r="BB436">
        <v>4.7737141384318615E-2</v>
      </c>
      <c r="BC436">
        <v>3.3423282191022877E-2</v>
      </c>
      <c r="BE436">
        <v>67822.022484178276</v>
      </c>
      <c r="BF436">
        <v>17.055963613136267</v>
      </c>
      <c r="BG436">
        <v>68903.228377800595</v>
      </c>
      <c r="BH436">
        <v>16.94323320287425</v>
      </c>
      <c r="BI436">
        <v>-1081.2058936223184</v>
      </c>
      <c r="BJ436">
        <v>0.11273041026201724</v>
      </c>
    </row>
    <row r="437" spans="3:62" x14ac:dyDescent="0.2">
      <c r="C437" s="121">
        <v>68044.227770921658</v>
      </c>
      <c r="D437" s="121">
        <v>16.320012382648148</v>
      </c>
      <c r="E437" s="121">
        <v>69662.521935145967</v>
      </c>
      <c r="F437" s="121">
        <v>16.211308540810894</v>
      </c>
      <c r="G437" s="121">
        <v>-1618.2941642243095</v>
      </c>
      <c r="H437" s="121">
        <v>0.10870384183725434</v>
      </c>
      <c r="N437" s="121"/>
      <c r="O437" s="121"/>
      <c r="P437" s="121"/>
      <c r="R437">
        <v>223.93277664885304</v>
      </c>
      <c r="S437">
        <v>56.894448171870039</v>
      </c>
      <c r="T437">
        <v>202.34426454832439</v>
      </c>
      <c r="U437">
        <v>94.486995993120345</v>
      </c>
      <c r="X437">
        <v>0.75025884545833421</v>
      </c>
      <c r="Y437">
        <v>0.83881829186589907</v>
      </c>
      <c r="Z437">
        <v>0.70539809615685511</v>
      </c>
      <c r="AA437">
        <v>0.822197330486796</v>
      </c>
      <c r="AB437">
        <v>0.66383450632503749</v>
      </c>
      <c r="AC437">
        <v>0.6752221071504666</v>
      </c>
      <c r="AD437">
        <v>0.89416007441520584</v>
      </c>
      <c r="AE437">
        <v>0.92727762609009001</v>
      </c>
      <c r="AH437">
        <v>7.8458188733762757E-2</v>
      </c>
      <c r="AI437">
        <v>4.5217034185951022E-2</v>
      </c>
      <c r="AJ437">
        <v>8.5538261645477842E-2</v>
      </c>
      <c r="AK437">
        <v>0.30610183341388952</v>
      </c>
      <c r="AL437">
        <v>0.36275299228135482</v>
      </c>
      <c r="AM437">
        <v>0.12127356174500947</v>
      </c>
      <c r="AN437">
        <v>0.1217546357927588</v>
      </c>
      <c r="AO437">
        <v>0.32642023740260084</v>
      </c>
      <c r="AR437">
        <v>8.6836683053160364E-4</v>
      </c>
      <c r="AS437">
        <v>4.8800629570261433E-3</v>
      </c>
      <c r="AT437">
        <v>4.9078752267934581E-3</v>
      </c>
      <c r="AU437">
        <v>2.1401417752631158E-3</v>
      </c>
      <c r="AV437">
        <v>2.1085787458854366E-3</v>
      </c>
      <c r="AW437">
        <v>3.6200513745520135E-3</v>
      </c>
      <c r="AX437">
        <v>3.4129357442060955E-4</v>
      </c>
      <c r="AY437">
        <v>3.9381879627869699E-4</v>
      </c>
      <c r="BB437">
        <v>4.9035832760182571E-2</v>
      </c>
      <c r="BC437">
        <v>7.585869071047302E-2</v>
      </c>
      <c r="BE437">
        <v>68044.227770921658</v>
      </c>
      <c r="BF437">
        <v>16.320012382648148</v>
      </c>
      <c r="BG437">
        <v>69662.521935145967</v>
      </c>
      <c r="BH437">
        <v>16.211308540810894</v>
      </c>
      <c r="BI437">
        <v>-1618.2941642243095</v>
      </c>
      <c r="BJ437">
        <v>0.10870384183725434</v>
      </c>
    </row>
    <row r="438" spans="3:62" x14ac:dyDescent="0.2">
      <c r="C438" s="121">
        <v>67611.947308039016</v>
      </c>
      <c r="D438" s="121">
        <v>17.382161038718838</v>
      </c>
      <c r="E438" s="121">
        <v>69361.795915980751</v>
      </c>
      <c r="F438" s="121">
        <v>17.258860236539061</v>
      </c>
      <c r="G438" s="121">
        <v>-1749.8486079417344</v>
      </c>
      <c r="H438" s="121">
        <v>0.12330080217977724</v>
      </c>
      <c r="N438" s="121"/>
      <c r="O438" s="121"/>
      <c r="P438" s="121"/>
      <c r="R438">
        <v>283.69986091523151</v>
      </c>
      <c r="S438">
        <v>52.707388171390221</v>
      </c>
      <c r="T438">
        <v>253.98246507415405</v>
      </c>
      <c r="U438">
        <v>91.319655978817735</v>
      </c>
      <c r="X438">
        <v>0.87630093762757932</v>
      </c>
      <c r="Y438">
        <v>0.49853418992864545</v>
      </c>
      <c r="Z438">
        <v>0.53180283689333052</v>
      </c>
      <c r="AA438">
        <v>0.68795309356570244</v>
      </c>
      <c r="AB438">
        <v>0.78123066624063608</v>
      </c>
      <c r="AC438">
        <v>0.92140484263486866</v>
      </c>
      <c r="AD438">
        <v>0.70849012232358743</v>
      </c>
      <c r="AE438">
        <v>0.88990632074631359</v>
      </c>
      <c r="AH438">
        <v>3.8686147198139786E-2</v>
      </c>
      <c r="AI438">
        <v>0.12281018542029232</v>
      </c>
      <c r="AJ438">
        <v>0.28806233166155226</v>
      </c>
      <c r="AK438">
        <v>0.17499572274646902</v>
      </c>
      <c r="AL438">
        <v>0.21968719815602433</v>
      </c>
      <c r="AM438">
        <v>1.6283976590077742E-2</v>
      </c>
      <c r="AN438">
        <v>0.18810566374910642</v>
      </c>
      <c r="AO438">
        <v>4.5618110969661618E-2</v>
      </c>
      <c r="AR438">
        <v>9.0285319593430557E-4</v>
      </c>
      <c r="AS438">
        <v>4.5467433113061118E-3</v>
      </c>
      <c r="AT438">
        <v>4.8193521913506105E-3</v>
      </c>
      <c r="AU438">
        <v>2.1661489557485147E-3</v>
      </c>
      <c r="AV438">
        <v>2.1235170578632889E-3</v>
      </c>
      <c r="AW438">
        <v>3.4381309434740048E-3</v>
      </c>
      <c r="AX438">
        <v>3.8350702371645512E-4</v>
      </c>
      <c r="AY438">
        <v>4.8254150566962029E-4</v>
      </c>
      <c r="BB438">
        <v>5.0516182102253282E-2</v>
      </c>
      <c r="BC438">
        <v>3.6968132584066123E-2</v>
      </c>
      <c r="BE438">
        <v>67611.947308039016</v>
      </c>
      <c r="BF438">
        <v>17.382161038718838</v>
      </c>
      <c r="BG438">
        <v>69361.795915980751</v>
      </c>
      <c r="BH438">
        <v>17.258860236539061</v>
      </c>
      <c r="BI438">
        <v>-1749.8486079417344</v>
      </c>
      <c r="BJ438">
        <v>0.12330080217977724</v>
      </c>
    </row>
    <row r="439" spans="3:62" x14ac:dyDescent="0.2">
      <c r="C439" s="121">
        <v>76844.926104246653</v>
      </c>
      <c r="D439" s="121">
        <v>15.838632199759926</v>
      </c>
      <c r="E439" s="121">
        <v>78873.380797976482</v>
      </c>
      <c r="F439" s="121">
        <v>15.651176844988646</v>
      </c>
      <c r="G439" s="121">
        <v>-2028.4546937298292</v>
      </c>
      <c r="H439" s="121">
        <v>0.18745535477128072</v>
      </c>
      <c r="N439" s="121"/>
      <c r="O439" s="121"/>
      <c r="P439" s="121"/>
      <c r="R439">
        <v>230.92880012776811</v>
      </c>
      <c r="S439">
        <v>59.926016230946665</v>
      </c>
      <c r="T439">
        <v>246.35507484129897</v>
      </c>
      <c r="U439">
        <v>108.10229298169835</v>
      </c>
      <c r="X439">
        <v>0.86623612465605948</v>
      </c>
      <c r="Y439">
        <v>0.7355809860199346</v>
      </c>
      <c r="Z439">
        <v>0.79277048696817143</v>
      </c>
      <c r="AA439">
        <v>0.24207798905171457</v>
      </c>
      <c r="AB439">
        <v>0.4802033244934017</v>
      </c>
      <c r="AC439">
        <v>0.71664733713531314</v>
      </c>
      <c r="AD439">
        <v>0.69642367505148417</v>
      </c>
      <c r="AE439">
        <v>0.87857316060979063</v>
      </c>
      <c r="AH439">
        <v>0.13744576796964814</v>
      </c>
      <c r="AI439">
        <v>0.21280423714023322</v>
      </c>
      <c r="AJ439">
        <v>0.20478112531759196</v>
      </c>
      <c r="AK439">
        <v>3.1479146860602381E-2</v>
      </c>
      <c r="AL439">
        <v>4.2825395049905568E-2</v>
      </c>
      <c r="AM439">
        <v>9.1721698317924427E-2</v>
      </c>
      <c r="AN439">
        <v>0.10241552382763053</v>
      </c>
      <c r="AO439">
        <v>0.29913651841494115</v>
      </c>
      <c r="AR439">
        <v>8.3225324104984927E-4</v>
      </c>
      <c r="AS439">
        <v>4.7386217925186047E-3</v>
      </c>
      <c r="AT439">
        <v>4.9356434525779109E-3</v>
      </c>
      <c r="AU439">
        <v>1.8853021590428535E-3</v>
      </c>
      <c r="AV439">
        <v>2.2076572820740603E-3</v>
      </c>
      <c r="AW439">
        <v>3.691861734797186E-3</v>
      </c>
      <c r="AX439">
        <v>3.8453944798145037E-4</v>
      </c>
      <c r="AY439">
        <v>4.5348402019662615E-4</v>
      </c>
      <c r="BB439">
        <v>5.1367402340483759E-2</v>
      </c>
      <c r="BC439">
        <v>6.4323468307724174E-2</v>
      </c>
      <c r="BE439">
        <v>76844.926104246653</v>
      </c>
      <c r="BF439">
        <v>15.838632199759926</v>
      </c>
      <c r="BG439">
        <v>78873.380797976482</v>
      </c>
      <c r="BH439">
        <v>15.651176844988646</v>
      </c>
      <c r="BI439">
        <v>-2028.4546937298292</v>
      </c>
      <c r="BJ439">
        <v>0.18745535477128072</v>
      </c>
    </row>
    <row r="440" spans="3:62" x14ac:dyDescent="0.2">
      <c r="C440" s="121">
        <v>64497.733610815667</v>
      </c>
      <c r="D440" s="121">
        <v>17.438347211711367</v>
      </c>
      <c r="E440" s="121">
        <v>65676.245597676359</v>
      </c>
      <c r="F440" s="121">
        <v>17.338822790075159</v>
      </c>
      <c r="G440" s="121">
        <v>-1178.5119868606926</v>
      </c>
      <c r="H440" s="121">
        <v>9.952442163620745E-2</v>
      </c>
      <c r="N440" s="121"/>
      <c r="O440" s="121"/>
      <c r="P440" s="121"/>
      <c r="R440">
        <v>238.30808576291545</v>
      </c>
      <c r="S440">
        <v>66.589132668271219</v>
      </c>
      <c r="T440">
        <v>234.11323286371663</v>
      </c>
      <c r="U440">
        <v>85.598765318768827</v>
      </c>
      <c r="X440">
        <v>0.51670432720085946</v>
      </c>
      <c r="Y440">
        <v>0.73974741463978733</v>
      </c>
      <c r="Z440">
        <v>0.61459656228248283</v>
      </c>
      <c r="AA440">
        <v>0.9107428262955124</v>
      </c>
      <c r="AB440">
        <v>0.66811279462266016</v>
      </c>
      <c r="AC440">
        <v>0.92460321649181521</v>
      </c>
      <c r="AD440">
        <v>0.7400222019076752</v>
      </c>
      <c r="AE440">
        <v>0.84581127388228317</v>
      </c>
      <c r="AH440">
        <v>0.10720107564308834</v>
      </c>
      <c r="AI440">
        <v>6.2978092248642037E-2</v>
      </c>
      <c r="AJ440">
        <v>0.1448840836681764</v>
      </c>
      <c r="AK440">
        <v>0.24400186795424128</v>
      </c>
      <c r="AL440">
        <v>1.6209403052464211E-2</v>
      </c>
      <c r="AM440">
        <v>7.3495899878530002E-2</v>
      </c>
      <c r="AN440">
        <v>0.33181250854053523</v>
      </c>
      <c r="AO440">
        <v>0.12685998487309402</v>
      </c>
      <c r="AR440">
        <v>7.7504482488276898E-4</v>
      </c>
      <c r="AS440">
        <v>4.737983376659205E-3</v>
      </c>
      <c r="AT440">
        <v>4.8798937107858206E-3</v>
      </c>
      <c r="AU440">
        <v>2.069366030070019E-3</v>
      </c>
      <c r="AV440">
        <v>1.8676638839803541E-3</v>
      </c>
      <c r="AW440">
        <v>3.3296047477653695E-3</v>
      </c>
      <c r="AX440">
        <v>3.8485454479150278E-4</v>
      </c>
      <c r="AY440">
        <v>4.6171431336250457E-4</v>
      </c>
      <c r="BB440">
        <v>4.9392193552484462E-2</v>
      </c>
      <c r="BC440">
        <v>1.2931473232537339E-2</v>
      </c>
      <c r="BE440">
        <v>64497.733610815667</v>
      </c>
      <c r="BF440">
        <v>17.438347211711367</v>
      </c>
      <c r="BG440">
        <v>65676.245597676359</v>
      </c>
      <c r="BH440">
        <v>17.338822790075159</v>
      </c>
      <c r="BI440">
        <v>-1178.5119868606926</v>
      </c>
      <c r="BJ440">
        <v>9.952442163620745E-2</v>
      </c>
    </row>
    <row r="441" spans="3:62" x14ac:dyDescent="0.2">
      <c r="C441" s="121">
        <v>71765.298454646792</v>
      </c>
      <c r="D441" s="121">
        <v>16.243973395524339</v>
      </c>
      <c r="E441" s="121">
        <v>73708.653047767628</v>
      </c>
      <c r="F441" s="121">
        <v>16.084612621081067</v>
      </c>
      <c r="G441" s="121">
        <v>-1943.3545931208355</v>
      </c>
      <c r="H441" s="121">
        <v>0.15936077444327168</v>
      </c>
      <c r="N441" s="121"/>
      <c r="O441" s="121"/>
      <c r="P441" s="121"/>
      <c r="R441">
        <v>295.80812519363457</v>
      </c>
      <c r="S441">
        <v>62.893273028688469</v>
      </c>
      <c r="T441">
        <v>260.44740260625474</v>
      </c>
      <c r="U441">
        <v>93.178579428019589</v>
      </c>
      <c r="X441">
        <v>0.39331097495203787</v>
      </c>
      <c r="Y441">
        <v>0.74990788326105495</v>
      </c>
      <c r="Z441">
        <v>0.36167152770787431</v>
      </c>
      <c r="AA441">
        <v>0.6926762926910609</v>
      </c>
      <c r="AB441">
        <v>0.76255496351367313</v>
      </c>
      <c r="AC441">
        <v>0.51339081755182081</v>
      </c>
      <c r="AD441">
        <v>0.6150854721711172</v>
      </c>
      <c r="AE441">
        <v>0.66670659923365616</v>
      </c>
      <c r="AH441">
        <v>7.8976580784380745E-2</v>
      </c>
      <c r="AI441">
        <v>0.12006506467024503</v>
      </c>
      <c r="AJ441">
        <v>0.11355428263041856</v>
      </c>
      <c r="AK441">
        <v>6.3821367758580827E-2</v>
      </c>
      <c r="AL441">
        <v>0.13349243794367738</v>
      </c>
      <c r="AM441">
        <v>0.12488112373438554</v>
      </c>
      <c r="AN441">
        <v>0.10795460935414403</v>
      </c>
      <c r="AO441">
        <v>0.14546957035180808</v>
      </c>
      <c r="AR441">
        <v>7.3348280854840416E-4</v>
      </c>
      <c r="AS441">
        <v>4.3228854451041023E-3</v>
      </c>
      <c r="AT441">
        <v>4.7514772308060909E-3</v>
      </c>
      <c r="AU441">
        <v>1.7442422591115816E-3</v>
      </c>
      <c r="AV441">
        <v>2.3128547629887031E-3</v>
      </c>
      <c r="AW441">
        <v>3.2386650862059156E-3</v>
      </c>
      <c r="AX441">
        <v>3.8830612276318318E-4</v>
      </c>
      <c r="AY441">
        <v>5.3787657557891055E-4</v>
      </c>
      <c r="BB441">
        <v>4.9356427321336986E-2</v>
      </c>
      <c r="BC441">
        <v>6.5823454501965251E-2</v>
      </c>
      <c r="BE441">
        <v>71765.298454646792</v>
      </c>
      <c r="BF441">
        <v>16.243973395524339</v>
      </c>
      <c r="BG441">
        <v>73708.653047767628</v>
      </c>
      <c r="BH441">
        <v>16.084612621081067</v>
      </c>
      <c r="BI441">
        <v>-1943.3545931208355</v>
      </c>
      <c r="BJ441">
        <v>0.15936077444327168</v>
      </c>
    </row>
    <row r="442" spans="3:62" x14ac:dyDescent="0.2">
      <c r="C442" s="121">
        <v>71749.388417171096</v>
      </c>
      <c r="D442" s="121">
        <v>15.709593139406513</v>
      </c>
      <c r="E442" s="121">
        <v>73355.761258029539</v>
      </c>
      <c r="F442" s="121">
        <v>15.542388412099331</v>
      </c>
      <c r="G442" s="121">
        <v>-1606.3728408584429</v>
      </c>
      <c r="H442" s="121">
        <v>0.1672047273071815</v>
      </c>
      <c r="N442" s="121"/>
      <c r="O442" s="121"/>
      <c r="P442" s="121"/>
      <c r="R442">
        <v>250.17976350622391</v>
      </c>
      <c r="S442">
        <v>59.41738354676442</v>
      </c>
      <c r="T442">
        <v>280.58307958178256</v>
      </c>
      <c r="U442">
        <v>81.657096349663675</v>
      </c>
      <c r="X442">
        <v>0.72209973614200795</v>
      </c>
      <c r="Y442">
        <v>0.91107582132379905</v>
      </c>
      <c r="Z442">
        <v>0.99023915752177705</v>
      </c>
      <c r="AA442">
        <v>0.85253304311807432</v>
      </c>
      <c r="AB442">
        <v>0.71109443367136982</v>
      </c>
      <c r="AC442">
        <v>0.84777968395334691</v>
      </c>
      <c r="AD442">
        <v>0.76940414138426361</v>
      </c>
      <c r="AE442">
        <v>0.68012463237840137</v>
      </c>
      <c r="AH442">
        <v>6.5440109013926273E-2</v>
      </c>
      <c r="AI442">
        <v>5.6723333031484358E-2</v>
      </c>
      <c r="AJ442">
        <v>9.1504674038220712E-2</v>
      </c>
      <c r="AK442">
        <v>8.8151025689354068E-2</v>
      </c>
      <c r="AL442">
        <v>7.1170636071705595E-2</v>
      </c>
      <c r="AM442">
        <v>0.21041435567067013</v>
      </c>
      <c r="AN442">
        <v>3.7398343141276325E-2</v>
      </c>
      <c r="AO442">
        <v>0.28935318623298112</v>
      </c>
      <c r="AR442">
        <v>9.9090370589993704E-4</v>
      </c>
      <c r="AS442">
        <v>4.5158355861781851E-3</v>
      </c>
      <c r="AT442">
        <v>4.6691393836288779E-3</v>
      </c>
      <c r="AU442">
        <v>2.1610814450979676E-3</v>
      </c>
      <c r="AV442">
        <v>2.2214223477742268E-3</v>
      </c>
      <c r="AW442">
        <v>3.4840638607722685E-3</v>
      </c>
      <c r="AX442">
        <v>4.6293242132311452E-4</v>
      </c>
      <c r="AY442">
        <v>4.5180208470618766E-4</v>
      </c>
      <c r="BB442">
        <v>5.2271278288999246E-2</v>
      </c>
      <c r="BC442">
        <v>8.75494344235761E-2</v>
      </c>
      <c r="BE442">
        <v>71749.388417171096</v>
      </c>
      <c r="BF442">
        <v>15.709593139406513</v>
      </c>
      <c r="BG442">
        <v>73355.761258029539</v>
      </c>
      <c r="BH442">
        <v>15.542388412099331</v>
      </c>
      <c r="BI442">
        <v>-1606.3728408584429</v>
      </c>
      <c r="BJ442">
        <v>0.1672047273071815</v>
      </c>
    </row>
    <row r="443" spans="3:62" x14ac:dyDescent="0.2">
      <c r="C443" s="121">
        <v>71589.04226755898</v>
      </c>
      <c r="D443" s="121">
        <v>13.888144594679652</v>
      </c>
      <c r="E443" s="121">
        <v>73137.765881410931</v>
      </c>
      <c r="F443" s="121">
        <v>13.833984081297759</v>
      </c>
      <c r="G443" s="121">
        <v>-1548.7236138519511</v>
      </c>
      <c r="H443" s="121">
        <v>5.4160513381892983E-2</v>
      </c>
      <c r="N443" s="121"/>
      <c r="O443" s="121"/>
      <c r="P443" s="121"/>
      <c r="R443">
        <v>302.87300981970759</v>
      </c>
      <c r="S443">
        <v>70.141238747389465</v>
      </c>
      <c r="T443">
        <v>251.28759322144745</v>
      </c>
      <c r="U443">
        <v>91.798613128644405</v>
      </c>
      <c r="X443">
        <v>0.65159802568377467</v>
      </c>
      <c r="Y443">
        <v>0.76051509858768462</v>
      </c>
      <c r="Z443">
        <v>0.67562957829760928</v>
      </c>
      <c r="AA443">
        <v>0.9114724970229332</v>
      </c>
      <c r="AB443">
        <v>0.83236297382303359</v>
      </c>
      <c r="AC443">
        <v>0.91709605816683848</v>
      </c>
      <c r="AD443">
        <v>0.71337720235684676</v>
      </c>
      <c r="AE443">
        <v>0.84254766106075252</v>
      </c>
      <c r="AH443">
        <v>3.2637442357961621E-2</v>
      </c>
      <c r="AI443">
        <v>8.48672261524831E-2</v>
      </c>
      <c r="AJ443">
        <v>7.3256121094862126E-2</v>
      </c>
      <c r="AK443">
        <v>4.8730509530155008E-2</v>
      </c>
      <c r="AL443">
        <v>0.13789633938713874</v>
      </c>
      <c r="AM443">
        <v>0.1511906329094076</v>
      </c>
      <c r="AN443">
        <v>0.16346110704323269</v>
      </c>
      <c r="AO443">
        <v>1.6015121758031325E-2</v>
      </c>
      <c r="AR443">
        <v>8.3198062937639417E-4</v>
      </c>
      <c r="AS443">
        <v>4.1696869233633646E-3</v>
      </c>
      <c r="AT443">
        <v>5.10682944400076E-3</v>
      </c>
      <c r="AU443">
        <v>1.9791064184677435E-3</v>
      </c>
      <c r="AV443">
        <v>1.9915717897974828E-3</v>
      </c>
      <c r="AW443">
        <v>3.6042773207004553E-3</v>
      </c>
      <c r="AX443">
        <v>4.3101905879305846E-4</v>
      </c>
      <c r="AY443">
        <v>4.9833310552960253E-4</v>
      </c>
      <c r="BB443">
        <v>5.0405564835963257E-2</v>
      </c>
      <c r="BC443">
        <v>8.4827185453458243E-2</v>
      </c>
      <c r="BE443">
        <v>71589.04226755898</v>
      </c>
      <c r="BF443">
        <v>13.888144594679652</v>
      </c>
      <c r="BG443">
        <v>73137.765881410931</v>
      </c>
      <c r="BH443">
        <v>13.833984081297759</v>
      </c>
      <c r="BI443">
        <v>-1548.7236138519511</v>
      </c>
      <c r="BJ443">
        <v>5.4160513381892983E-2</v>
      </c>
    </row>
    <row r="444" spans="3:62" x14ac:dyDescent="0.2">
      <c r="C444" s="121">
        <v>70261.904451178954</v>
      </c>
      <c r="D444" s="121">
        <v>15.984552561353151</v>
      </c>
      <c r="E444" s="121">
        <v>71672.149045918515</v>
      </c>
      <c r="F444" s="121">
        <v>15.852112383363131</v>
      </c>
      <c r="G444" s="121">
        <v>-1410.2445947395609</v>
      </c>
      <c r="H444" s="121">
        <v>0.13244017799001995</v>
      </c>
      <c r="N444" s="121"/>
      <c r="O444" s="121"/>
      <c r="P444" s="121"/>
      <c r="R444">
        <v>414.39828741964811</v>
      </c>
      <c r="S444">
        <v>58.799444284385011</v>
      </c>
      <c r="T444">
        <v>204.28933936053022</v>
      </c>
      <c r="U444">
        <v>86.236977374172014</v>
      </c>
      <c r="X444">
        <v>0.86098187085197952</v>
      </c>
      <c r="Y444">
        <v>0.85112110043341871</v>
      </c>
      <c r="Z444">
        <v>0.84199026516069853</v>
      </c>
      <c r="AA444">
        <v>0.96022371117798011</v>
      </c>
      <c r="AB444">
        <v>0.66270618097695588</v>
      </c>
      <c r="AC444">
        <v>0.62843512339803653</v>
      </c>
      <c r="AD444">
        <v>0.79020192310240267</v>
      </c>
      <c r="AE444">
        <v>0.90512374856474209</v>
      </c>
      <c r="AH444">
        <v>0.13801517335343361</v>
      </c>
      <c r="AI444">
        <v>0.12709989553403567</v>
      </c>
      <c r="AJ444">
        <v>2.2114668212873001E-2</v>
      </c>
      <c r="AK444">
        <v>0.14903856384817482</v>
      </c>
      <c r="AL444">
        <v>1.8927294208385903E-2</v>
      </c>
      <c r="AM444">
        <v>2.9888519320638296E-2</v>
      </c>
      <c r="AN444">
        <v>0.10366159543676201</v>
      </c>
      <c r="AO444">
        <v>0.20338925155439502</v>
      </c>
      <c r="AR444">
        <v>9.5198291492060161E-4</v>
      </c>
      <c r="AS444">
        <v>4.4921173690899135E-3</v>
      </c>
      <c r="AT444">
        <v>5.2024764337220697E-3</v>
      </c>
      <c r="AU444">
        <v>1.9922509472153644E-3</v>
      </c>
      <c r="AV444">
        <v>1.9519748513526175E-3</v>
      </c>
      <c r="AW444">
        <v>3.7316854262271493E-3</v>
      </c>
      <c r="AX444">
        <v>3.467198829141733E-4</v>
      </c>
      <c r="AY444">
        <v>4.5077463599363377E-4</v>
      </c>
      <c r="BB444">
        <v>4.7268214038374674E-2</v>
      </c>
      <c r="BC444">
        <v>2.3646848552806479E-2</v>
      </c>
      <c r="BE444">
        <v>70261.904451178954</v>
      </c>
      <c r="BF444">
        <v>15.984552561353151</v>
      </c>
      <c r="BG444">
        <v>71672.149045918515</v>
      </c>
      <c r="BH444">
        <v>15.852112383363131</v>
      </c>
      <c r="BI444">
        <v>-1410.2445947395609</v>
      </c>
      <c r="BJ444">
        <v>0.13244017799001995</v>
      </c>
    </row>
    <row r="445" spans="3:62" x14ac:dyDescent="0.2">
      <c r="C445" s="121">
        <v>73940.630982126182</v>
      </c>
      <c r="D445" s="121">
        <v>16.444279279036586</v>
      </c>
      <c r="E445" s="121">
        <v>75846.220520686329</v>
      </c>
      <c r="F445" s="121">
        <v>16.310285445018323</v>
      </c>
      <c r="G445" s="121">
        <v>-1905.589538560147</v>
      </c>
      <c r="H445" s="121">
        <v>0.1339938340182627</v>
      </c>
      <c r="N445" s="121"/>
      <c r="O445" s="121"/>
      <c r="P445" s="121"/>
      <c r="R445">
        <v>287.21593383979047</v>
      </c>
      <c r="S445">
        <v>49.335065264012911</v>
      </c>
      <c r="T445">
        <v>286.72788963011442</v>
      </c>
      <c r="U445">
        <v>83.316982770153615</v>
      </c>
      <c r="X445">
        <v>0.8842052359940572</v>
      </c>
      <c r="Y445">
        <v>0.82754421643604892</v>
      </c>
      <c r="Z445">
        <v>0.6981230908641094</v>
      </c>
      <c r="AA445">
        <v>0.77949143053510073</v>
      </c>
      <c r="AB445">
        <v>0.67108995436806229</v>
      </c>
      <c r="AC445">
        <v>0.52200651887816352</v>
      </c>
      <c r="AD445">
        <v>0.7898977404372447</v>
      </c>
      <c r="AE445">
        <v>0.72815600413541604</v>
      </c>
      <c r="AH445">
        <v>3.6059288823594216E-2</v>
      </c>
      <c r="AI445">
        <v>0.1046853182808628</v>
      </c>
      <c r="AJ445">
        <v>0.19439699455818082</v>
      </c>
      <c r="AK445">
        <v>9.7000527537482673E-2</v>
      </c>
      <c r="AL445">
        <v>5.6710216400099434E-2</v>
      </c>
      <c r="AM445">
        <v>0.1739036962335152</v>
      </c>
      <c r="AN445">
        <v>0.18188381345656446</v>
      </c>
      <c r="AO445">
        <v>9.4590428886138223E-2</v>
      </c>
      <c r="AR445">
        <v>8.9880535254172056E-4</v>
      </c>
      <c r="AS445">
        <v>4.3298463158049872E-3</v>
      </c>
      <c r="AT445">
        <v>4.7203221078945283E-3</v>
      </c>
      <c r="AU445">
        <v>1.9861146815147853E-3</v>
      </c>
      <c r="AV445">
        <v>2.0462007675113858E-3</v>
      </c>
      <c r="AW445">
        <v>3.6211671255195199E-3</v>
      </c>
      <c r="AX445">
        <v>4.4670674734714755E-4</v>
      </c>
      <c r="AY445">
        <v>4.6021121577799473E-4</v>
      </c>
      <c r="BB445">
        <v>5.5754730596275781E-2</v>
      </c>
      <c r="BC445">
        <v>6.6210889452262944E-2</v>
      </c>
      <c r="BE445">
        <v>73940.630982126182</v>
      </c>
      <c r="BF445">
        <v>16.444279279036586</v>
      </c>
      <c r="BG445">
        <v>75846.220520686329</v>
      </c>
      <c r="BH445">
        <v>16.310285445018323</v>
      </c>
      <c r="BI445">
        <v>-1905.589538560147</v>
      </c>
      <c r="BJ445">
        <v>0.1339938340182627</v>
      </c>
    </row>
    <row r="446" spans="3:62" x14ac:dyDescent="0.2">
      <c r="C446" s="121">
        <v>71371.309467393919</v>
      </c>
      <c r="D446" s="121">
        <v>16.136513988268501</v>
      </c>
      <c r="E446" s="121">
        <v>73524.957222174911</v>
      </c>
      <c r="F446" s="121">
        <v>15.967825828599617</v>
      </c>
      <c r="G446" s="121">
        <v>-2153.6477547809918</v>
      </c>
      <c r="H446" s="121">
        <v>0.16868815966888384</v>
      </c>
      <c r="N446" s="121"/>
      <c r="O446" s="121"/>
      <c r="P446" s="121"/>
      <c r="R446">
        <v>120.72761856496072</v>
      </c>
      <c r="S446">
        <v>65.361124699585972</v>
      </c>
      <c r="T446">
        <v>202.60906378508486</v>
      </c>
      <c r="U446">
        <v>114.33714353297444</v>
      </c>
      <c r="X446">
        <v>0.80351922640693618</v>
      </c>
      <c r="Y446">
        <v>0.6227804745387856</v>
      </c>
      <c r="Z446">
        <v>0.57657133891051238</v>
      </c>
      <c r="AA446">
        <v>0.33437127704303926</v>
      </c>
      <c r="AB446">
        <v>0.52570842250622796</v>
      </c>
      <c r="AC446">
        <v>0.78067040523363918</v>
      </c>
      <c r="AD446">
        <v>0.8539034279207216</v>
      </c>
      <c r="AE446">
        <v>0.81270564224746888</v>
      </c>
      <c r="AH446">
        <v>3.6758279424021545E-2</v>
      </c>
      <c r="AI446">
        <v>5.1251285192026375E-2</v>
      </c>
      <c r="AJ446">
        <v>0.21072348902000804</v>
      </c>
      <c r="AK446">
        <v>0.17060260905022862</v>
      </c>
      <c r="AL446">
        <v>0.18614885348890187</v>
      </c>
      <c r="AM446">
        <v>3.1837379537740351E-2</v>
      </c>
      <c r="AN446">
        <v>4.9531749753849552E-2</v>
      </c>
      <c r="AO446">
        <v>0.1626372717611394</v>
      </c>
      <c r="AR446">
        <v>7.5964793226928208E-4</v>
      </c>
      <c r="AS446">
        <v>4.7344415924314154E-3</v>
      </c>
      <c r="AT446">
        <v>5.4016199971841372E-3</v>
      </c>
      <c r="AU446">
        <v>2.0500899790679705E-3</v>
      </c>
      <c r="AV446">
        <v>2.0556529340519658E-3</v>
      </c>
      <c r="AW446">
        <v>3.4310883984550733E-3</v>
      </c>
      <c r="AX446">
        <v>5.1622870058343207E-4</v>
      </c>
      <c r="AY446">
        <v>4.8373372670917902E-4</v>
      </c>
      <c r="BB446">
        <v>4.9449578522110946E-2</v>
      </c>
      <c r="BC446">
        <v>3.8305601960157691E-2</v>
      </c>
      <c r="BE446">
        <v>71371.309467393919</v>
      </c>
      <c r="BF446">
        <v>16.136513988268501</v>
      </c>
      <c r="BG446">
        <v>73524.957222174911</v>
      </c>
      <c r="BH446">
        <v>15.967825828599617</v>
      </c>
      <c r="BI446">
        <v>-2153.6477547809918</v>
      </c>
      <c r="BJ446">
        <v>0.16868815966888384</v>
      </c>
    </row>
    <row r="447" spans="3:62" x14ac:dyDescent="0.2">
      <c r="C447" s="121">
        <v>66854.913150398759</v>
      </c>
      <c r="D447" s="121">
        <v>19.011157678913339</v>
      </c>
      <c r="E447" s="121">
        <v>68827.599202150799</v>
      </c>
      <c r="F447" s="121">
        <v>18.882353744671665</v>
      </c>
      <c r="G447" s="121">
        <v>-1972.6860517520399</v>
      </c>
      <c r="H447" s="121">
        <v>0.1288039342416738</v>
      </c>
      <c r="N447" s="121"/>
      <c r="O447" s="121"/>
      <c r="P447" s="121"/>
      <c r="R447">
        <v>316.86016362890177</v>
      </c>
      <c r="S447">
        <v>71.307594040120222</v>
      </c>
      <c r="T447">
        <v>213.010613040528</v>
      </c>
      <c r="U447">
        <v>91.999171143547073</v>
      </c>
      <c r="X447">
        <v>0.94017223709171416</v>
      </c>
      <c r="Y447">
        <v>0.49271224749922232</v>
      </c>
      <c r="Z447">
        <v>0.88508172277645669</v>
      </c>
      <c r="AA447">
        <v>0.77562043432983496</v>
      </c>
      <c r="AB447">
        <v>0.88148092626011487</v>
      </c>
      <c r="AC447">
        <v>0.87481715664242554</v>
      </c>
      <c r="AD447">
        <v>0.61882013743382291</v>
      </c>
      <c r="AE447">
        <v>0.82672993150204621</v>
      </c>
      <c r="AH447">
        <v>6.2071894387575322E-2</v>
      </c>
      <c r="AI447">
        <v>0.27009022040170438</v>
      </c>
      <c r="AJ447">
        <v>0.10951065304993768</v>
      </c>
      <c r="AK447">
        <v>0.14643102071416436</v>
      </c>
      <c r="AL447">
        <v>7.0992779281781271E-2</v>
      </c>
      <c r="AM447">
        <v>0.10077130301945347</v>
      </c>
      <c r="AN447">
        <v>0.1050378444199388</v>
      </c>
      <c r="AO447">
        <v>0.13552569986292828</v>
      </c>
      <c r="AR447">
        <v>1.0087609530883279E-3</v>
      </c>
      <c r="AS447">
        <v>4.6839200749556609E-3</v>
      </c>
      <c r="AT447">
        <v>5.3715920986452392E-3</v>
      </c>
      <c r="AU447">
        <v>2.0911889512399418E-3</v>
      </c>
      <c r="AV447">
        <v>1.918731066177721E-3</v>
      </c>
      <c r="AW447">
        <v>3.3125888467722309E-3</v>
      </c>
      <c r="AX447">
        <v>4.6475312405591662E-4</v>
      </c>
      <c r="AY447">
        <v>5.1198428095156068E-4</v>
      </c>
      <c r="BB447">
        <v>5.6719283581588065E-2</v>
      </c>
      <c r="BC447">
        <v>6.3614038036259646E-2</v>
      </c>
      <c r="BE447">
        <v>66854.913150398759</v>
      </c>
      <c r="BF447">
        <v>19.011157678913339</v>
      </c>
      <c r="BG447">
        <v>68827.599202150799</v>
      </c>
      <c r="BH447">
        <v>18.882353744671665</v>
      </c>
      <c r="BI447">
        <v>-1972.6860517520399</v>
      </c>
      <c r="BJ447">
        <v>0.1288039342416738</v>
      </c>
    </row>
    <row r="448" spans="3:62" x14ac:dyDescent="0.2">
      <c r="C448" s="121">
        <v>60222.532918805002</v>
      </c>
      <c r="D448" s="121">
        <v>17.957926790908104</v>
      </c>
      <c r="E448" s="121">
        <v>61154.603995248872</v>
      </c>
      <c r="F448" s="121">
        <v>17.86173676216611</v>
      </c>
      <c r="G448" s="121">
        <v>-932.07107644386997</v>
      </c>
      <c r="H448" s="121">
        <v>9.6190028741993672E-2</v>
      </c>
      <c r="N448" s="121"/>
      <c r="O448" s="121"/>
      <c r="P448" s="121"/>
      <c r="R448">
        <v>218.62572367251545</v>
      </c>
      <c r="S448">
        <v>69.491678013539314</v>
      </c>
      <c r="T448">
        <v>261.54262466781034</v>
      </c>
      <c r="U448">
        <v>97.179061751650664</v>
      </c>
      <c r="X448">
        <v>0.77127152369521257</v>
      </c>
      <c r="Y448">
        <v>0.92606469053648244</v>
      </c>
      <c r="Z448">
        <v>0.81541373495598468</v>
      </c>
      <c r="AA448">
        <v>0.69882158573087894</v>
      </c>
      <c r="AB448">
        <v>0.74368607660647224</v>
      </c>
      <c r="AC448">
        <v>0.68799685015825163</v>
      </c>
      <c r="AD448">
        <v>0.77762544409998513</v>
      </c>
      <c r="AE448">
        <v>0.63937058139134151</v>
      </c>
      <c r="AH448">
        <v>0.14937401296368247</v>
      </c>
      <c r="AI448">
        <v>0.14060081135869162</v>
      </c>
      <c r="AJ448">
        <v>0.21012757858654785</v>
      </c>
      <c r="AK448">
        <v>3.180593558496736E-2</v>
      </c>
      <c r="AL448">
        <v>0.16442409842344285</v>
      </c>
      <c r="AM448">
        <v>0.18255287575164247</v>
      </c>
      <c r="AN448">
        <v>0.15780614191654085</v>
      </c>
      <c r="AO448">
        <v>4.2177464485661065E-2</v>
      </c>
      <c r="AR448">
        <v>8.9643787801374497E-4</v>
      </c>
      <c r="AS448">
        <v>4.2588076145204101E-3</v>
      </c>
      <c r="AT448">
        <v>4.8445439371127448E-3</v>
      </c>
      <c r="AU448">
        <v>1.9167149300268222E-3</v>
      </c>
      <c r="AV448">
        <v>2.0603213726407832E-3</v>
      </c>
      <c r="AW448">
        <v>3.39046789279678E-3</v>
      </c>
      <c r="AX448">
        <v>4.1824175578275558E-4</v>
      </c>
      <c r="AY448">
        <v>4.0545012566650955E-4</v>
      </c>
      <c r="BB448">
        <v>5.492577605708282E-2</v>
      </c>
      <c r="BC448">
        <v>2.7178417650901801E-2</v>
      </c>
      <c r="BE448">
        <v>60222.532918805002</v>
      </c>
      <c r="BF448">
        <v>17.957926790908104</v>
      </c>
      <c r="BG448">
        <v>61154.603995248872</v>
      </c>
      <c r="BH448">
        <v>17.86173676216611</v>
      </c>
      <c r="BI448">
        <v>-932.07107644386997</v>
      </c>
      <c r="BJ448">
        <v>9.6190028741993672E-2</v>
      </c>
    </row>
    <row r="449" spans="3:62" x14ac:dyDescent="0.2">
      <c r="C449" s="121">
        <v>76000.044502595265</v>
      </c>
      <c r="D449" s="121">
        <v>13.822633470347906</v>
      </c>
      <c r="E449" s="121">
        <v>77024.043560036371</v>
      </c>
      <c r="F449" s="121">
        <v>13.685528986079342</v>
      </c>
      <c r="G449" s="121">
        <v>-1023.9990574411058</v>
      </c>
      <c r="H449" s="121">
        <v>0.13710448426856381</v>
      </c>
      <c r="N449" s="121"/>
      <c r="O449" s="121"/>
      <c r="P449" s="121"/>
      <c r="R449">
        <v>274.94251782586207</v>
      </c>
      <c r="S449">
        <v>67.080115762438169</v>
      </c>
      <c r="T449">
        <v>281.1408083416087</v>
      </c>
      <c r="U449">
        <v>87.814244673717326</v>
      </c>
      <c r="X449">
        <v>0.77847770438317132</v>
      </c>
      <c r="Y449">
        <v>0.90560579443939426</v>
      </c>
      <c r="Z449">
        <v>0.72380597541299141</v>
      </c>
      <c r="AA449">
        <v>0.68972031385017751</v>
      </c>
      <c r="AB449">
        <v>0.8576959952727442</v>
      </c>
      <c r="AC449">
        <v>0.79924209291412662</v>
      </c>
      <c r="AD449">
        <v>0.64441819613629636</v>
      </c>
      <c r="AE449">
        <v>0.75130108515706695</v>
      </c>
      <c r="AH449">
        <v>9.6868867132933634E-2</v>
      </c>
      <c r="AI449">
        <v>6.7214749001276552E-2</v>
      </c>
      <c r="AJ449">
        <v>8.0161222206738048E-2</v>
      </c>
      <c r="AK449">
        <v>0.10616403025941001</v>
      </c>
      <c r="AL449">
        <v>7.7399540187039539E-2</v>
      </c>
      <c r="AM449">
        <v>0.15420266623577439</v>
      </c>
      <c r="AN449">
        <v>0.11407863784689776</v>
      </c>
      <c r="AO449">
        <v>0.1302821821944754</v>
      </c>
      <c r="AR449">
        <v>8.6523665474048635E-4</v>
      </c>
      <c r="AS449">
        <v>4.9033555628034131E-3</v>
      </c>
      <c r="AT449">
        <v>4.9471372173894856E-3</v>
      </c>
      <c r="AU449">
        <v>2.1042896314837911E-3</v>
      </c>
      <c r="AV449">
        <v>1.9554430841420482E-3</v>
      </c>
      <c r="AW449">
        <v>3.3884927140905765E-3</v>
      </c>
      <c r="AX449">
        <v>3.7705643718274814E-4</v>
      </c>
      <c r="AY449">
        <v>4.9901749387271099E-4</v>
      </c>
      <c r="BB449">
        <v>5.1579131044068638E-2</v>
      </c>
      <c r="BC449">
        <v>7.7834313325934712E-2</v>
      </c>
      <c r="BE449">
        <v>76000.044502595265</v>
      </c>
      <c r="BF449">
        <v>13.822633470347906</v>
      </c>
      <c r="BG449">
        <v>77024.043560036371</v>
      </c>
      <c r="BH449">
        <v>13.685528986079342</v>
      </c>
      <c r="BI449">
        <v>-1023.9990574411058</v>
      </c>
      <c r="BJ449">
        <v>0.13710448426856381</v>
      </c>
    </row>
    <row r="450" spans="3:62" x14ac:dyDescent="0.2">
      <c r="C450" s="121">
        <v>73784.103068335186</v>
      </c>
      <c r="D450" s="121">
        <v>14.119805710711516</v>
      </c>
      <c r="E450" s="121">
        <v>75462.956773951824</v>
      </c>
      <c r="F450" s="121">
        <v>14.090520009121223</v>
      </c>
      <c r="G450" s="121">
        <v>-1678.8537056166388</v>
      </c>
      <c r="H450" s="121">
        <v>2.9285701590293201E-2</v>
      </c>
      <c r="N450" s="121"/>
      <c r="O450" s="121"/>
      <c r="P450" s="121"/>
      <c r="R450">
        <v>202.67905852528406</v>
      </c>
      <c r="S450">
        <v>61.15822319460159</v>
      </c>
      <c r="T450">
        <v>192.01511276236766</v>
      </c>
      <c r="U450">
        <v>99.843070971242241</v>
      </c>
      <c r="X450">
        <v>0.92766020140297423</v>
      </c>
      <c r="Y450">
        <v>0.8738005378323308</v>
      </c>
      <c r="Z450">
        <v>0.76670391653023484</v>
      </c>
      <c r="AA450">
        <v>0.70023453347428033</v>
      </c>
      <c r="AB450">
        <v>0.85892613647643634</v>
      </c>
      <c r="AC450">
        <v>0.79097713084875143</v>
      </c>
      <c r="AD450">
        <v>0.67648885958991889</v>
      </c>
      <c r="AE450">
        <v>0.76365047388856144</v>
      </c>
      <c r="AH450">
        <v>8.8900365164708228E-2</v>
      </c>
      <c r="AI450">
        <v>0.11042959924524898</v>
      </c>
      <c r="AJ450">
        <v>0.30615830232982844</v>
      </c>
      <c r="AK450">
        <v>8.1984515971030403E-2</v>
      </c>
      <c r="AL450">
        <v>0.15415011497186126</v>
      </c>
      <c r="AM450">
        <v>2.2738668613413671E-2</v>
      </c>
      <c r="AN450">
        <v>9.2791424298614089E-2</v>
      </c>
      <c r="AO450">
        <v>9.3007206180287572E-2</v>
      </c>
      <c r="AR450">
        <v>9.4374220367698936E-4</v>
      </c>
      <c r="AS450">
        <v>4.5839196807530014E-3</v>
      </c>
      <c r="AT450">
        <v>4.6503742550059041E-3</v>
      </c>
      <c r="AU450">
        <v>2.1054406301844741E-3</v>
      </c>
      <c r="AV450">
        <v>2.1308326419798851E-3</v>
      </c>
      <c r="AW450">
        <v>3.580580165900682E-3</v>
      </c>
      <c r="AX450">
        <v>4.4558902808666812E-4</v>
      </c>
      <c r="AY450">
        <v>4.8758868307097192E-4</v>
      </c>
      <c r="BB450">
        <v>5.0361657641774249E-2</v>
      </c>
      <c r="BC450">
        <v>7.8707482349641422E-2</v>
      </c>
      <c r="BE450">
        <v>73784.103068335186</v>
      </c>
      <c r="BF450">
        <v>14.119805710711516</v>
      </c>
      <c r="BG450">
        <v>75462.956773951824</v>
      </c>
      <c r="BH450">
        <v>14.090520009121223</v>
      </c>
      <c r="BI450">
        <v>-1678.8537056166388</v>
      </c>
      <c r="BJ450">
        <v>2.9285701590293201E-2</v>
      </c>
    </row>
    <row r="451" spans="3:62" x14ac:dyDescent="0.2">
      <c r="C451" s="121">
        <v>71212.102392418921</v>
      </c>
      <c r="D451" s="121">
        <v>15.454667360245281</v>
      </c>
      <c r="E451" s="121">
        <v>73140.76092787199</v>
      </c>
      <c r="F451" s="121">
        <v>15.289794684872858</v>
      </c>
      <c r="G451" s="121">
        <v>-1928.6585354530689</v>
      </c>
      <c r="H451" s="121">
        <v>0.16487267537242367</v>
      </c>
      <c r="N451" s="121"/>
      <c r="O451" s="121"/>
      <c r="P451" s="121"/>
      <c r="R451">
        <v>500.30280230799008</v>
      </c>
      <c r="S451">
        <v>61.283695620492054</v>
      </c>
      <c r="T451">
        <v>206.12053255379607</v>
      </c>
      <c r="U451">
        <v>77.465002250106252</v>
      </c>
      <c r="X451">
        <v>0.78781229720598556</v>
      </c>
      <c r="Y451">
        <v>0.65328503666713711</v>
      </c>
      <c r="Z451">
        <v>0.72872108194957741</v>
      </c>
      <c r="AA451">
        <v>0.95951215459934214</v>
      </c>
      <c r="AB451">
        <v>0.9387733183335526</v>
      </c>
      <c r="AC451">
        <v>0.79612202599423165</v>
      </c>
      <c r="AD451">
        <v>0.69875160721577467</v>
      </c>
      <c r="AE451">
        <v>0.73916035806798286</v>
      </c>
      <c r="AH451">
        <v>0.25878295240209959</v>
      </c>
      <c r="AI451">
        <v>1.7200872294648617E-2</v>
      </c>
      <c r="AJ451">
        <v>0.2017397004506789</v>
      </c>
      <c r="AK451">
        <v>8.108471969134734E-2</v>
      </c>
      <c r="AL451">
        <v>7.4648782057900598E-2</v>
      </c>
      <c r="AM451">
        <v>0.17581675958294496</v>
      </c>
      <c r="AN451">
        <v>0.18281560316845935</v>
      </c>
      <c r="AO451">
        <v>0.13813893318713388</v>
      </c>
      <c r="AR451">
        <v>9.6411057396184052E-4</v>
      </c>
      <c r="AS451">
        <v>4.525613877009893E-3</v>
      </c>
      <c r="AT451">
        <v>5.1193401916780346E-3</v>
      </c>
      <c r="AU451">
        <v>2.259437112402396E-3</v>
      </c>
      <c r="AV451">
        <v>2.134651745980487E-3</v>
      </c>
      <c r="AW451">
        <v>3.5049833082485549E-3</v>
      </c>
      <c r="AX451">
        <v>3.2832824789469746E-4</v>
      </c>
      <c r="AY451">
        <v>3.985514339466376E-4</v>
      </c>
      <c r="BB451">
        <v>4.5592183565866487E-2</v>
      </c>
      <c r="BC451">
        <v>7.8823989756247603E-2</v>
      </c>
      <c r="BE451">
        <v>71212.102392418921</v>
      </c>
      <c r="BF451">
        <v>15.454667360245281</v>
      </c>
      <c r="BG451">
        <v>73140.76092787199</v>
      </c>
      <c r="BH451">
        <v>15.289794684872858</v>
      </c>
      <c r="BI451">
        <v>-1928.6585354530689</v>
      </c>
      <c r="BJ451">
        <v>0.16487267537242367</v>
      </c>
    </row>
    <row r="452" spans="3:62" x14ac:dyDescent="0.2">
      <c r="C452" s="121">
        <v>68890.826559178109</v>
      </c>
      <c r="D452" s="121">
        <v>14.961372185602171</v>
      </c>
      <c r="E452" s="121">
        <v>70045.30887583502</v>
      </c>
      <c r="F452" s="121">
        <v>14.85622908762409</v>
      </c>
      <c r="G452" s="121">
        <v>-1154.4823166569113</v>
      </c>
      <c r="H452" s="121">
        <v>0.10514309797808075</v>
      </c>
      <c r="N452" s="121"/>
      <c r="O452" s="121"/>
      <c r="P452" s="121"/>
      <c r="R452">
        <v>215.93991169345404</v>
      </c>
      <c r="S452">
        <v>57.261495358844456</v>
      </c>
      <c r="T452">
        <v>259.63708663578183</v>
      </c>
      <c r="U452">
        <v>92.254553994120769</v>
      </c>
      <c r="X452">
        <v>0.658200838276773</v>
      </c>
      <c r="Y452">
        <v>0.67779637196657339</v>
      </c>
      <c r="Z452">
        <v>0.85013711823126181</v>
      </c>
      <c r="AA452">
        <v>0.6633956423523536</v>
      </c>
      <c r="AB452">
        <v>0.89363144605676814</v>
      </c>
      <c r="AC452">
        <v>0.8774848329556828</v>
      </c>
      <c r="AD452">
        <v>0.64224640501463126</v>
      </c>
      <c r="AE452">
        <v>0.59374298072608012</v>
      </c>
      <c r="AH452">
        <v>7.211842518281375E-2</v>
      </c>
      <c r="AI452">
        <v>9.2800969671185229E-2</v>
      </c>
      <c r="AJ452">
        <v>0.12562100024734923</v>
      </c>
      <c r="AK452">
        <v>4.3798463451555025E-2</v>
      </c>
      <c r="AL452">
        <v>0.17886370173668764</v>
      </c>
      <c r="AM452">
        <v>0.17321430730468312</v>
      </c>
      <c r="AN452">
        <v>7.0748075393929133E-2</v>
      </c>
      <c r="AO452">
        <v>3.6677001346711369E-2</v>
      </c>
      <c r="AR452">
        <v>8.6122474462272303E-4</v>
      </c>
      <c r="AS452">
        <v>4.1925591575515155E-3</v>
      </c>
      <c r="AT452">
        <v>4.7468335045026538E-3</v>
      </c>
      <c r="AU452">
        <v>2.2194451696104789E-3</v>
      </c>
      <c r="AV452">
        <v>1.9185679980501576E-3</v>
      </c>
      <c r="AW452">
        <v>3.4745870370798126E-3</v>
      </c>
      <c r="AX452">
        <v>4.4189855948584267E-4</v>
      </c>
      <c r="AY452">
        <v>6.3149607823476117E-4</v>
      </c>
      <c r="BB452">
        <v>5.01441431275087E-2</v>
      </c>
      <c r="BC452">
        <v>3.220737429634022E-2</v>
      </c>
      <c r="BE452">
        <v>68890.826559178109</v>
      </c>
      <c r="BF452">
        <v>14.961372185602171</v>
      </c>
      <c r="BG452">
        <v>70045.30887583502</v>
      </c>
      <c r="BH452">
        <v>14.85622908762409</v>
      </c>
      <c r="BI452">
        <v>-1154.4823166569113</v>
      </c>
      <c r="BJ452">
        <v>0.10514309797808075</v>
      </c>
    </row>
    <row r="453" spans="3:62" x14ac:dyDescent="0.2">
      <c r="C453" s="121">
        <v>65444.693289614079</v>
      </c>
      <c r="D453" s="121">
        <v>16.788915677661858</v>
      </c>
      <c r="E453" s="121">
        <v>67088.956456972752</v>
      </c>
      <c r="F453" s="121">
        <v>16.672002413916982</v>
      </c>
      <c r="G453" s="121">
        <v>-1644.2631673586729</v>
      </c>
      <c r="H453" s="121">
        <v>0.11691326374487687</v>
      </c>
      <c r="N453" s="121"/>
      <c r="O453" s="121"/>
      <c r="P453" s="121"/>
      <c r="R453">
        <v>231.98752975863596</v>
      </c>
      <c r="S453">
        <v>56.093092962991172</v>
      </c>
      <c r="T453">
        <v>215.08960574702857</v>
      </c>
      <c r="U453">
        <v>76.095216903723482</v>
      </c>
      <c r="X453">
        <v>0.7600940678418705</v>
      </c>
      <c r="Y453">
        <v>0.65911460972710045</v>
      </c>
      <c r="Z453">
        <v>0.88368450108866814</v>
      </c>
      <c r="AA453">
        <v>0.83046642608349963</v>
      </c>
      <c r="AB453">
        <v>0.82026899561384992</v>
      </c>
      <c r="AC453">
        <v>0.81365803536113568</v>
      </c>
      <c r="AD453">
        <v>0.68642010621849703</v>
      </c>
      <c r="AE453">
        <v>0.72370602909419246</v>
      </c>
      <c r="AH453">
        <v>0.12702487874773416</v>
      </c>
      <c r="AI453">
        <v>0.10961856471521814</v>
      </c>
      <c r="AJ453">
        <v>3.008037781344941E-2</v>
      </c>
      <c r="AK453">
        <v>3.9583448790535769E-2</v>
      </c>
      <c r="AL453">
        <v>0.10279267701336958</v>
      </c>
      <c r="AM453">
        <v>0.15864205436962642</v>
      </c>
      <c r="AN453">
        <v>0.16605774281644836</v>
      </c>
      <c r="AO453">
        <v>0.31517969850883432</v>
      </c>
      <c r="AR453">
        <v>8.6503516094645527E-4</v>
      </c>
      <c r="AS453">
        <v>4.3174844416884713E-3</v>
      </c>
      <c r="AT453">
        <v>4.9157531218286072E-3</v>
      </c>
      <c r="AU453">
        <v>1.873148025299122E-3</v>
      </c>
      <c r="AV453">
        <v>1.9548444400105587E-3</v>
      </c>
      <c r="AW453">
        <v>3.3040529202774207E-3</v>
      </c>
      <c r="AX453">
        <v>3.7561187563365741E-4</v>
      </c>
      <c r="AY453">
        <v>4.3312758265236684E-4</v>
      </c>
      <c r="BB453">
        <v>5.1046492522747289E-2</v>
      </c>
      <c r="BC453">
        <v>2.3510782179542927E-2</v>
      </c>
      <c r="BE453">
        <v>65444.693289614079</v>
      </c>
      <c r="BF453">
        <v>16.788915677661858</v>
      </c>
      <c r="BG453">
        <v>67088.956456972752</v>
      </c>
      <c r="BH453">
        <v>16.672002413916982</v>
      </c>
      <c r="BI453">
        <v>-1644.2631673586729</v>
      </c>
      <c r="BJ453">
        <v>0.11691326374487687</v>
      </c>
    </row>
    <row r="454" spans="3:62" x14ac:dyDescent="0.2">
      <c r="C454" s="121">
        <v>61677.903177926302</v>
      </c>
      <c r="D454" s="121">
        <v>16.478138051399039</v>
      </c>
      <c r="E454" s="121">
        <v>63750.338076161752</v>
      </c>
      <c r="F454" s="121">
        <v>16.286925907375259</v>
      </c>
      <c r="G454" s="121">
        <v>-2072.4348982354495</v>
      </c>
      <c r="H454" s="121">
        <v>0.19121214402377973</v>
      </c>
      <c r="N454" s="121"/>
      <c r="O454" s="121"/>
      <c r="P454" s="121"/>
      <c r="R454">
        <v>197.4053474777092</v>
      </c>
      <c r="S454">
        <v>64.424997830386673</v>
      </c>
      <c r="T454">
        <v>247.26905535784056</v>
      </c>
      <c r="U454">
        <v>98.015230142188699</v>
      </c>
      <c r="X454">
        <v>0.56636230114368669</v>
      </c>
      <c r="Y454">
        <v>0.72314180916351078</v>
      </c>
      <c r="Z454">
        <v>0.47979232818357409</v>
      </c>
      <c r="AA454">
        <v>0.53531235595546223</v>
      </c>
      <c r="AB454">
        <v>0.89744654841300908</v>
      </c>
      <c r="AC454">
        <v>0.53442624097413183</v>
      </c>
      <c r="AD454">
        <v>0.67630144282352755</v>
      </c>
      <c r="AE454">
        <v>0.93815965356658115</v>
      </c>
      <c r="AH454">
        <v>6.4740140509179755E-2</v>
      </c>
      <c r="AI454">
        <v>0.10931683677483828</v>
      </c>
      <c r="AJ454">
        <v>0.13233182764694462</v>
      </c>
      <c r="AK454">
        <v>0.10243228734642273</v>
      </c>
      <c r="AL454">
        <v>0.17168013442030416</v>
      </c>
      <c r="AM454">
        <v>1.7561048264897461E-2</v>
      </c>
      <c r="AN454">
        <v>9.4877245530565979E-2</v>
      </c>
      <c r="AO454">
        <v>0.11303770488581222</v>
      </c>
      <c r="AR454">
        <v>1.0209956344074955E-3</v>
      </c>
      <c r="AS454">
        <v>4.4763225031980314E-3</v>
      </c>
      <c r="AT454">
        <v>4.7506250135413916E-3</v>
      </c>
      <c r="AU454">
        <v>2.0989660981672875E-3</v>
      </c>
      <c r="AV454">
        <v>2.0650026945684408E-3</v>
      </c>
      <c r="AW454">
        <v>3.2902512967592098E-3</v>
      </c>
      <c r="AX454">
        <v>4.3817133046919476E-4</v>
      </c>
      <c r="AY454">
        <v>5.0276867774545764E-4</v>
      </c>
      <c r="BB454">
        <v>4.6850164143829857E-2</v>
      </c>
      <c r="BC454">
        <v>4.4582378132938937E-2</v>
      </c>
      <c r="BE454">
        <v>61677.903177926302</v>
      </c>
      <c r="BF454">
        <v>16.478138051399039</v>
      </c>
      <c r="BG454">
        <v>63750.338076161752</v>
      </c>
      <c r="BH454">
        <v>16.286925907375259</v>
      </c>
      <c r="BI454">
        <v>-2072.4348982354495</v>
      </c>
      <c r="BJ454">
        <v>0.19121214402377973</v>
      </c>
    </row>
    <row r="455" spans="3:62" x14ac:dyDescent="0.2">
      <c r="C455" s="121">
        <v>66648.67634384305</v>
      </c>
      <c r="D455" s="121">
        <v>15.500391539943461</v>
      </c>
      <c r="E455" s="121">
        <v>68614.077241608829</v>
      </c>
      <c r="F455" s="121">
        <v>15.35738391933482</v>
      </c>
      <c r="G455" s="121">
        <v>-1965.4008977657795</v>
      </c>
      <c r="H455" s="121">
        <v>0.14300762060864081</v>
      </c>
      <c r="N455" s="121"/>
      <c r="O455" s="121"/>
      <c r="P455" s="121"/>
      <c r="R455">
        <v>238.78536889029328</v>
      </c>
      <c r="S455">
        <v>65.174325766351146</v>
      </c>
      <c r="T455">
        <v>252.93690542383658</v>
      </c>
      <c r="U455">
        <v>101.10254873277383</v>
      </c>
      <c r="X455">
        <v>0.89881705571460924</v>
      </c>
      <c r="Y455">
        <v>0.74395565422093612</v>
      </c>
      <c r="Z455">
        <v>0.78297212317495513</v>
      </c>
      <c r="AA455">
        <v>0.89220814514769597</v>
      </c>
      <c r="AB455">
        <v>0.9076266312710638</v>
      </c>
      <c r="AC455">
        <v>0.6011295584947115</v>
      </c>
      <c r="AD455">
        <v>0.709343337535423</v>
      </c>
      <c r="AE455">
        <v>0.68504960325645647</v>
      </c>
      <c r="AH455">
        <v>0.13506240622006138</v>
      </c>
      <c r="AI455">
        <v>0.13308445088895482</v>
      </c>
      <c r="AJ455">
        <v>0.21172541636951014</v>
      </c>
      <c r="AK455">
        <v>0.112712933268027</v>
      </c>
      <c r="AL455">
        <v>0.13788941083693118</v>
      </c>
      <c r="AM455">
        <v>0.16923279785252154</v>
      </c>
      <c r="AN455">
        <v>8.8527851943423386E-2</v>
      </c>
      <c r="AO455">
        <v>9.6025928672931249E-2</v>
      </c>
      <c r="AR455">
        <v>9.7753173325798581E-4</v>
      </c>
      <c r="AS455">
        <v>4.6615125820012038E-3</v>
      </c>
      <c r="AT455">
        <v>5.1103578843143538E-3</v>
      </c>
      <c r="AU455">
        <v>2.1361644300214033E-3</v>
      </c>
      <c r="AV455">
        <v>2.0067863786668028E-3</v>
      </c>
      <c r="AW455">
        <v>3.4933111749649859E-3</v>
      </c>
      <c r="AX455">
        <v>2.8670171951790309E-4</v>
      </c>
      <c r="AY455">
        <v>3.8986804321534117E-4</v>
      </c>
      <c r="BB455">
        <v>5.2269618188813705E-2</v>
      </c>
      <c r="BC455">
        <v>3.4083710912322353E-2</v>
      </c>
      <c r="BE455">
        <v>66648.67634384305</v>
      </c>
      <c r="BF455">
        <v>15.500391539943461</v>
      </c>
      <c r="BG455">
        <v>68614.077241608829</v>
      </c>
      <c r="BH455">
        <v>15.35738391933482</v>
      </c>
      <c r="BI455">
        <v>-1965.4008977657795</v>
      </c>
      <c r="BJ455">
        <v>0.14300762060864081</v>
      </c>
    </row>
    <row r="456" spans="3:62" x14ac:dyDescent="0.2">
      <c r="C456" s="121">
        <v>66751.227156872686</v>
      </c>
      <c r="D456" s="121">
        <v>16.333129640161879</v>
      </c>
      <c r="E456" s="121">
        <v>68420.657594783857</v>
      </c>
      <c r="F456" s="121">
        <v>16.219202671945968</v>
      </c>
      <c r="G456" s="121">
        <v>-1669.4304379111709</v>
      </c>
      <c r="H456" s="121">
        <v>0.11392696821591031</v>
      </c>
      <c r="N456" s="121"/>
      <c r="O456" s="121"/>
      <c r="P456" s="121"/>
      <c r="R456">
        <v>205.54267244212778</v>
      </c>
      <c r="S456">
        <v>59.104423524911553</v>
      </c>
      <c r="T456">
        <v>292.08228047449415</v>
      </c>
      <c r="U456">
        <v>104.24444272307575</v>
      </c>
      <c r="X456">
        <v>0.55210654991668406</v>
      </c>
      <c r="Y456">
        <v>0.82566531436648982</v>
      </c>
      <c r="Z456">
        <v>0.80764680325683258</v>
      </c>
      <c r="AA456">
        <v>0.74566349522870501</v>
      </c>
      <c r="AB456">
        <v>0.61729962519897241</v>
      </c>
      <c r="AC456">
        <v>0.62204394872851299</v>
      </c>
      <c r="AD456">
        <v>0.67361437865686924</v>
      </c>
      <c r="AE456">
        <v>0.63573944626015999</v>
      </c>
      <c r="AH456">
        <v>1.8688153091615534E-2</v>
      </c>
      <c r="AI456">
        <v>0.1754906077457018</v>
      </c>
      <c r="AJ456">
        <v>8.9216071133804253E-2</v>
      </c>
      <c r="AK456">
        <v>5.6860257367828515E-2</v>
      </c>
      <c r="AL456">
        <v>7.2399842863229757E-2</v>
      </c>
      <c r="AM456">
        <v>0.11603798599725212</v>
      </c>
      <c r="AN456">
        <v>1.9767508144726831E-2</v>
      </c>
      <c r="AO456">
        <v>5.4830039022756072E-2</v>
      </c>
      <c r="AR456">
        <v>8.9680816415327325E-4</v>
      </c>
      <c r="AS456">
        <v>4.9077434216877602E-3</v>
      </c>
      <c r="AT456">
        <v>5.2074609832426511E-3</v>
      </c>
      <c r="AU456">
        <v>1.8395350322063808E-3</v>
      </c>
      <c r="AV456">
        <v>2.0930953458010437E-3</v>
      </c>
      <c r="AW456">
        <v>3.2628760052703263E-3</v>
      </c>
      <c r="AX456">
        <v>3.1064915930081882E-4</v>
      </c>
      <c r="AY456">
        <v>5.1516031506926296E-4</v>
      </c>
      <c r="BB456">
        <v>5.0313837595549304E-2</v>
      </c>
      <c r="BC456">
        <v>8.7743359418157141E-2</v>
      </c>
      <c r="BE456">
        <v>66751.227156872686</v>
      </c>
      <c r="BF456">
        <v>16.333129640161879</v>
      </c>
      <c r="BG456">
        <v>68420.657594783857</v>
      </c>
      <c r="BH456">
        <v>16.219202671945968</v>
      </c>
      <c r="BI456">
        <v>-1669.4304379111709</v>
      </c>
      <c r="BJ456">
        <v>0.11392696821591031</v>
      </c>
    </row>
    <row r="457" spans="3:62" x14ac:dyDescent="0.2">
      <c r="C457" s="121">
        <v>67931.275310939105</v>
      </c>
      <c r="D457" s="121">
        <v>19.323041238530724</v>
      </c>
      <c r="E457" s="121">
        <v>69519.737770488733</v>
      </c>
      <c r="F457" s="121">
        <v>19.227631915174175</v>
      </c>
      <c r="G457" s="121">
        <v>-1588.462459549628</v>
      </c>
      <c r="H457" s="121">
        <v>9.5409323356548725E-2</v>
      </c>
      <c r="N457" s="121"/>
      <c r="O457" s="121"/>
      <c r="P457" s="121"/>
      <c r="R457">
        <v>315.94703316407237</v>
      </c>
      <c r="S457">
        <v>56.949098836061864</v>
      </c>
      <c r="T457">
        <v>268.50165445896602</v>
      </c>
      <c r="U457">
        <v>110.92025364583532</v>
      </c>
      <c r="X457">
        <v>0.85275584304176955</v>
      </c>
      <c r="Y457">
        <v>0.87580790479710513</v>
      </c>
      <c r="Z457">
        <v>0.74659047591162364</v>
      </c>
      <c r="AA457">
        <v>0.55743865004610904</v>
      </c>
      <c r="AB457">
        <v>0.77776261230005828</v>
      </c>
      <c r="AC457">
        <v>0.61689118831312784</v>
      </c>
      <c r="AD457">
        <v>0.75981564431514781</v>
      </c>
      <c r="AE457">
        <v>0.94466848400358905</v>
      </c>
      <c r="AH457">
        <v>8.8802381865957458E-2</v>
      </c>
      <c r="AI457">
        <v>4.0917345140565775E-2</v>
      </c>
      <c r="AJ457">
        <v>0.13150063804874579</v>
      </c>
      <c r="AK457">
        <v>0.11113425996980264</v>
      </c>
      <c r="AL457">
        <v>0.26548789073096613</v>
      </c>
      <c r="AM457">
        <v>0.2027395918886219</v>
      </c>
      <c r="AN457">
        <v>8.6565935076025946E-2</v>
      </c>
      <c r="AO457">
        <v>0.17384836162146777</v>
      </c>
      <c r="AR457">
        <v>8.11466730093703E-4</v>
      </c>
      <c r="AS457">
        <v>4.2551163198166755E-3</v>
      </c>
      <c r="AT457">
        <v>4.6198852254453375E-3</v>
      </c>
      <c r="AU457">
        <v>2.0349481995534102E-3</v>
      </c>
      <c r="AV457">
        <v>2.2311019033696144E-3</v>
      </c>
      <c r="AW457">
        <v>3.5671209353566047E-3</v>
      </c>
      <c r="AX457">
        <v>3.9693354613445919E-4</v>
      </c>
      <c r="AY457">
        <v>4.6750276705476157E-4</v>
      </c>
      <c r="BB457">
        <v>4.7649766710024778E-2</v>
      </c>
      <c r="BC457">
        <v>6.511399319412059E-2</v>
      </c>
      <c r="BE457">
        <v>67931.275310939105</v>
      </c>
      <c r="BF457">
        <v>19.323041238530724</v>
      </c>
      <c r="BG457">
        <v>69519.737770488733</v>
      </c>
      <c r="BH457">
        <v>19.227631915174175</v>
      </c>
      <c r="BI457">
        <v>-1588.462459549628</v>
      </c>
      <c r="BJ457">
        <v>9.5409323356548725E-2</v>
      </c>
    </row>
    <row r="458" spans="3:62" x14ac:dyDescent="0.2">
      <c r="C458" s="121">
        <v>72630.567799982746</v>
      </c>
      <c r="D458" s="121">
        <v>17.282316797631118</v>
      </c>
      <c r="E458" s="121">
        <v>74183.024611855377</v>
      </c>
      <c r="F458" s="121">
        <v>17.161692331637848</v>
      </c>
      <c r="G458" s="121">
        <v>-1552.4568118726311</v>
      </c>
      <c r="H458" s="121">
        <v>0.12062446599327004</v>
      </c>
      <c r="N458" s="121"/>
      <c r="O458" s="121"/>
      <c r="P458" s="121"/>
      <c r="R458">
        <v>289.39568647384613</v>
      </c>
      <c r="S458">
        <v>76.309154415107017</v>
      </c>
      <c r="T458">
        <v>236.16039868780993</v>
      </c>
      <c r="U458">
        <v>112.96125020380239</v>
      </c>
      <c r="X458">
        <v>0.47126855545928031</v>
      </c>
      <c r="Y458">
        <v>0.76833932669564842</v>
      </c>
      <c r="Z458">
        <v>0.92490474166465253</v>
      </c>
      <c r="AA458">
        <v>0.83637915469692348</v>
      </c>
      <c r="AB458">
        <v>0.75267677414353773</v>
      </c>
      <c r="AC458">
        <v>0.89582097226800872</v>
      </c>
      <c r="AD458">
        <v>0.77004105201390594</v>
      </c>
      <c r="AE458">
        <v>0.6357505505539004</v>
      </c>
      <c r="AH458">
        <v>0.12265511064034607</v>
      </c>
      <c r="AI458">
        <v>0.17738763293956461</v>
      </c>
      <c r="AJ458">
        <v>0.20590504369428309</v>
      </c>
      <c r="AK458">
        <v>7.2194855796846036E-2</v>
      </c>
      <c r="AL458">
        <v>9.6379455090506161E-3</v>
      </c>
      <c r="AM458">
        <v>4.4872016469429177E-2</v>
      </c>
      <c r="AN458">
        <v>2.586982632294943E-2</v>
      </c>
      <c r="AO458">
        <v>8.8692502351036206E-2</v>
      </c>
      <c r="AR458">
        <v>9.575428645351991E-4</v>
      </c>
      <c r="AS458">
        <v>4.6775781850783016E-3</v>
      </c>
      <c r="AT458">
        <v>4.7484723361363897E-3</v>
      </c>
      <c r="AU458">
        <v>1.8312411011648739E-3</v>
      </c>
      <c r="AV458">
        <v>1.6977718258712169E-3</v>
      </c>
      <c r="AW458">
        <v>3.3981852026027637E-3</v>
      </c>
      <c r="AX458">
        <v>4.0405931587883526E-4</v>
      </c>
      <c r="AY458">
        <v>4.0092621167874492E-4</v>
      </c>
      <c r="BB458">
        <v>3.7084581370327337E-2</v>
      </c>
      <c r="BC458">
        <v>2.419687400271292E-2</v>
      </c>
      <c r="BE458">
        <v>72630.567799982746</v>
      </c>
      <c r="BF458">
        <v>17.282316797631118</v>
      </c>
      <c r="BG458">
        <v>74183.024611855377</v>
      </c>
      <c r="BH458">
        <v>17.161692331637848</v>
      </c>
      <c r="BI458">
        <v>-1552.4568118726311</v>
      </c>
      <c r="BJ458">
        <v>0.12062446599327004</v>
      </c>
    </row>
    <row r="459" spans="3:62" x14ac:dyDescent="0.2">
      <c r="C459" s="121">
        <v>64063.455132762632</v>
      </c>
      <c r="D459" s="121">
        <v>16.737284965921653</v>
      </c>
      <c r="E459" s="121">
        <v>64998.346909160216</v>
      </c>
      <c r="F459" s="121">
        <v>16.678299099656037</v>
      </c>
      <c r="G459" s="121">
        <v>-934.89177639758418</v>
      </c>
      <c r="H459" s="121">
        <v>5.8985866265615527E-2</v>
      </c>
      <c r="N459" s="121"/>
      <c r="O459" s="121"/>
      <c r="P459" s="121"/>
      <c r="R459">
        <v>141.99257840644384</v>
      </c>
      <c r="S459">
        <v>65.048124581054495</v>
      </c>
      <c r="T459">
        <v>234.14935313560335</v>
      </c>
      <c r="U459">
        <v>77.005271628367424</v>
      </c>
      <c r="X459">
        <v>0.92333017849779986</v>
      </c>
      <c r="Y459">
        <v>0.85344046575741916</v>
      </c>
      <c r="Z459">
        <v>0.91154811964081672</v>
      </c>
      <c r="AA459">
        <v>0.62870640052061422</v>
      </c>
      <c r="AB459">
        <v>0.87420583395879947</v>
      </c>
      <c r="AC459">
        <v>0.88164481860722832</v>
      </c>
      <c r="AD459">
        <v>0.61490118444938391</v>
      </c>
      <c r="AE459">
        <v>0.41454019519031915</v>
      </c>
      <c r="AH459">
        <v>3.5495070943332929E-2</v>
      </c>
      <c r="AI459">
        <v>0.32771560676453526</v>
      </c>
      <c r="AJ459">
        <v>0.15923174771290727</v>
      </c>
      <c r="AK459">
        <v>8.6299516578342339E-2</v>
      </c>
      <c r="AL459">
        <v>2.6210884687397296E-2</v>
      </c>
      <c r="AM459">
        <v>4.8231567124739305E-2</v>
      </c>
      <c r="AN459">
        <v>0.12228028920195333</v>
      </c>
      <c r="AO459">
        <v>9.180685475440975E-2</v>
      </c>
      <c r="AR459">
        <v>8.1475205598479988E-4</v>
      </c>
      <c r="AS459">
        <v>4.7289314157192841E-3</v>
      </c>
      <c r="AT459">
        <v>4.9027784936201317E-3</v>
      </c>
      <c r="AU459">
        <v>1.8708008671366257E-3</v>
      </c>
      <c r="AV459">
        <v>1.8049245570754726E-3</v>
      </c>
      <c r="AW459">
        <v>2.9934471874433336E-3</v>
      </c>
      <c r="AX459">
        <v>3.8899450778495859E-4</v>
      </c>
      <c r="AY459">
        <v>4.9595965824855703E-4</v>
      </c>
      <c r="BB459">
        <v>5.7844015685689198E-2</v>
      </c>
      <c r="BC459">
        <v>4.3819138750848891E-2</v>
      </c>
      <c r="BE459">
        <v>64063.455132762632</v>
      </c>
      <c r="BF459">
        <v>16.737284965921653</v>
      </c>
      <c r="BG459">
        <v>64998.346909160216</v>
      </c>
      <c r="BH459">
        <v>16.678299099656037</v>
      </c>
      <c r="BI459">
        <v>-934.89177639758418</v>
      </c>
      <c r="BJ459">
        <v>5.8985866265615527E-2</v>
      </c>
    </row>
    <row r="460" spans="3:62" x14ac:dyDescent="0.2">
      <c r="C460" s="121">
        <v>72521.137124547851</v>
      </c>
      <c r="D460" s="121">
        <v>15.332406587593811</v>
      </c>
      <c r="E460" s="121">
        <v>74426.966650578615</v>
      </c>
      <c r="F460" s="121">
        <v>15.145628237973822</v>
      </c>
      <c r="G460" s="121">
        <v>-1905.8295260307641</v>
      </c>
      <c r="H460" s="121">
        <v>0.1867783496199884</v>
      </c>
      <c r="N460" s="121"/>
      <c r="O460" s="121"/>
      <c r="P460" s="121"/>
      <c r="R460">
        <v>194.07223190536712</v>
      </c>
      <c r="S460">
        <v>60.974113389556123</v>
      </c>
      <c r="T460">
        <v>234.53298991728587</v>
      </c>
      <c r="U460">
        <v>112.77311273428964</v>
      </c>
      <c r="X460">
        <v>0.50068245581022963</v>
      </c>
      <c r="Y460">
        <v>0.84534457858968193</v>
      </c>
      <c r="Z460">
        <v>0.8258938142898099</v>
      </c>
      <c r="AA460">
        <v>0.65980068899859867</v>
      </c>
      <c r="AB460">
        <v>0.59594361991451128</v>
      </c>
      <c r="AC460">
        <v>0.63766038029334982</v>
      </c>
      <c r="AD460">
        <v>0.95239162153096024</v>
      </c>
      <c r="AE460">
        <v>0.73342461144066395</v>
      </c>
      <c r="AH460">
        <v>0.19482735599604295</v>
      </c>
      <c r="AI460">
        <v>5.325835523666711E-2</v>
      </c>
      <c r="AJ460">
        <v>5.4966160047823287E-2</v>
      </c>
      <c r="AK460">
        <v>0.20153530763071492</v>
      </c>
      <c r="AL460">
        <v>0.2342655322116588</v>
      </c>
      <c r="AM460">
        <v>8.7646207670410092E-2</v>
      </c>
      <c r="AN460">
        <v>0.24918547790570789</v>
      </c>
      <c r="AO460">
        <v>0.12679174768308021</v>
      </c>
      <c r="AR460">
        <v>9.7658982577963904E-4</v>
      </c>
      <c r="AS460">
        <v>4.4211547250667142E-3</v>
      </c>
      <c r="AT460">
        <v>5.2644220539368458E-3</v>
      </c>
      <c r="AU460">
        <v>1.8675312696223559E-3</v>
      </c>
      <c r="AV460">
        <v>1.9420744281194234E-3</v>
      </c>
      <c r="AW460">
        <v>3.2535456128820611E-3</v>
      </c>
      <c r="AX460">
        <v>3.3451833472325813E-4</v>
      </c>
      <c r="AY460">
        <v>3.9462388272220927E-4</v>
      </c>
      <c r="BB460">
        <v>5.1268347142233828E-2</v>
      </c>
      <c r="BC460">
        <v>3.4521576188319046E-2</v>
      </c>
      <c r="BE460">
        <v>72521.137124547851</v>
      </c>
      <c r="BF460">
        <v>15.332406587593811</v>
      </c>
      <c r="BG460">
        <v>74426.966650578615</v>
      </c>
      <c r="BH460">
        <v>15.145628237973822</v>
      </c>
      <c r="BI460">
        <v>-1905.8295260307641</v>
      </c>
      <c r="BJ460">
        <v>0.1867783496199884</v>
      </c>
    </row>
    <row r="461" spans="3:62" x14ac:dyDescent="0.2">
      <c r="C461" s="121">
        <v>66892.150363210778</v>
      </c>
      <c r="D461" s="121">
        <v>17.360928802651774</v>
      </c>
      <c r="E461" s="121">
        <v>68608.976331878774</v>
      </c>
      <c r="F461" s="121">
        <v>17.230023474700371</v>
      </c>
      <c r="G461" s="121">
        <v>-1716.8259686679958</v>
      </c>
      <c r="H461" s="121">
        <v>0.13090532795140319</v>
      </c>
      <c r="N461" s="121"/>
      <c r="O461" s="121"/>
      <c r="P461" s="121"/>
      <c r="R461">
        <v>238.88286459224912</v>
      </c>
      <c r="S461">
        <v>62.201856724133528</v>
      </c>
      <c r="T461">
        <v>246.32217690287277</v>
      </c>
      <c r="U461">
        <v>87.556207157835146</v>
      </c>
      <c r="X461">
        <v>0.84073185002039807</v>
      </c>
      <c r="Y461">
        <v>0.79245370132993109</v>
      </c>
      <c r="Z461">
        <v>0.78147164985335893</v>
      </c>
      <c r="AA461">
        <v>0.80552776849505392</v>
      </c>
      <c r="AB461">
        <v>0.55349189422813805</v>
      </c>
      <c r="AC461">
        <v>0.40400136511835638</v>
      </c>
      <c r="AD461">
        <v>0.68773454102043641</v>
      </c>
      <c r="AE461">
        <v>0.89792930089654976</v>
      </c>
      <c r="AH461">
        <v>0.2282078220754753</v>
      </c>
      <c r="AI461">
        <v>0.14638283063153701</v>
      </c>
      <c r="AJ461">
        <v>0.1757493503253541</v>
      </c>
      <c r="AK461">
        <v>2.8915000820548542E-2</v>
      </c>
      <c r="AL461">
        <v>0.30240734000904201</v>
      </c>
      <c r="AM461">
        <v>0.10698490544562267</v>
      </c>
      <c r="AN461">
        <v>0.13955826657525061</v>
      </c>
      <c r="AO461">
        <v>0.21865207557357946</v>
      </c>
      <c r="AR461">
        <v>8.6276236558589228E-4</v>
      </c>
      <c r="AS461">
        <v>4.6760891071091493E-3</v>
      </c>
      <c r="AT461">
        <v>4.8212165252440901E-3</v>
      </c>
      <c r="AU461">
        <v>2.0927431056552148E-3</v>
      </c>
      <c r="AV461">
        <v>1.7084081111939649E-3</v>
      </c>
      <c r="AW461">
        <v>3.4076352708376501E-3</v>
      </c>
      <c r="AX461">
        <v>3.612122111655568E-4</v>
      </c>
      <c r="AY461">
        <v>4.3100480533373776E-4</v>
      </c>
      <c r="BB461">
        <v>4.8145234954172514E-2</v>
      </c>
      <c r="BC461">
        <v>3.3265452585394338E-2</v>
      </c>
      <c r="BE461">
        <v>66892.150363210778</v>
      </c>
      <c r="BF461">
        <v>17.360928802651774</v>
      </c>
      <c r="BG461">
        <v>68608.976331878774</v>
      </c>
      <c r="BH461">
        <v>17.230023474700371</v>
      </c>
      <c r="BI461">
        <v>-1716.8259686679958</v>
      </c>
      <c r="BJ461">
        <v>0.13090532795140319</v>
      </c>
    </row>
    <row r="462" spans="3:62" x14ac:dyDescent="0.2">
      <c r="C462" s="121">
        <v>67659.617609590758</v>
      </c>
      <c r="D462" s="121">
        <v>15.390082178756632</v>
      </c>
      <c r="E462" s="121">
        <v>70635.495966533024</v>
      </c>
      <c r="F462" s="121">
        <v>15.314370578901485</v>
      </c>
      <c r="G462" s="121">
        <v>-2975.8783569422667</v>
      </c>
      <c r="H462" s="121">
        <v>7.5711599855146972E-2</v>
      </c>
      <c r="N462" s="121"/>
      <c r="O462" s="121"/>
      <c r="P462" s="121"/>
      <c r="R462">
        <v>128.08505844424982</v>
      </c>
      <c r="S462">
        <v>59.494058733622531</v>
      </c>
      <c r="T462">
        <v>233.85507883747806</v>
      </c>
      <c r="U462">
        <v>85.931332607912395</v>
      </c>
      <c r="X462">
        <v>0.92630953839441488</v>
      </c>
      <c r="Y462">
        <v>0.86517451741997875</v>
      </c>
      <c r="Z462">
        <v>0.93887135001283606</v>
      </c>
      <c r="AA462">
        <v>0.77108449630250808</v>
      </c>
      <c r="AB462">
        <v>0.72872228181453902</v>
      </c>
      <c r="AC462">
        <v>0.49268408970008049</v>
      </c>
      <c r="AD462">
        <v>0.84005992297413545</v>
      </c>
      <c r="AE462">
        <v>0.89669967366531622</v>
      </c>
      <c r="AH462">
        <v>0.13685142451959553</v>
      </c>
      <c r="AI462">
        <v>0.3751281605402188</v>
      </c>
      <c r="AJ462">
        <v>8.7723190449776611E-3</v>
      </c>
      <c r="AK462">
        <v>0.14357947591434617</v>
      </c>
      <c r="AL462">
        <v>0.11228040825332974</v>
      </c>
      <c r="AM462">
        <v>0.14028827876425365</v>
      </c>
      <c r="AN462">
        <v>0.23735570499157888</v>
      </c>
      <c r="AO462">
        <v>5.0976155283618207E-2</v>
      </c>
      <c r="AR462">
        <v>8.1120988370111512E-4</v>
      </c>
      <c r="AS462">
        <v>4.6761649606067435E-3</v>
      </c>
      <c r="AT462">
        <v>5.2644278430791225E-3</v>
      </c>
      <c r="AU462">
        <v>1.7716820766262912E-3</v>
      </c>
      <c r="AV462">
        <v>2.0242210823464557E-3</v>
      </c>
      <c r="AW462">
        <v>3.4046774953320463E-3</v>
      </c>
      <c r="AX462">
        <v>4.1679229141455831E-4</v>
      </c>
      <c r="AY462">
        <v>5.6018480220121347E-4</v>
      </c>
      <c r="BB462">
        <v>4.9135625792659864E-2</v>
      </c>
      <c r="BC462">
        <v>5.795837849233354E-2</v>
      </c>
      <c r="BE462">
        <v>67659.617609590758</v>
      </c>
      <c r="BF462">
        <v>15.390082178756632</v>
      </c>
      <c r="BG462">
        <v>70635.495966533024</v>
      </c>
      <c r="BH462">
        <v>15.314370578901485</v>
      </c>
      <c r="BI462">
        <v>-2975.8783569422667</v>
      </c>
      <c r="BJ462">
        <v>7.5711599855146972E-2</v>
      </c>
    </row>
    <row r="463" spans="3:62" x14ac:dyDescent="0.2">
      <c r="C463" s="121">
        <v>72205.181858189346</v>
      </c>
      <c r="D463" s="121">
        <v>13.710481818798284</v>
      </c>
      <c r="E463" s="121">
        <v>73096.944096961699</v>
      </c>
      <c r="F463" s="121">
        <v>13.642933156998104</v>
      </c>
      <c r="G463" s="121">
        <v>-891.76223877235316</v>
      </c>
      <c r="H463" s="121">
        <v>6.7548661800179488E-2</v>
      </c>
      <c r="N463" s="121"/>
      <c r="O463" s="121"/>
      <c r="P463" s="121"/>
      <c r="R463">
        <v>309.51104985768433</v>
      </c>
      <c r="S463">
        <v>70.116923963723323</v>
      </c>
      <c r="T463">
        <v>193.68070421327775</v>
      </c>
      <c r="U463">
        <v>97.150206707935638</v>
      </c>
      <c r="X463">
        <v>0.82662104791305901</v>
      </c>
      <c r="Y463">
        <v>0.88952475388004859</v>
      </c>
      <c r="Z463">
        <v>0.61109063654100859</v>
      </c>
      <c r="AA463">
        <v>0.94335687450303196</v>
      </c>
      <c r="AB463">
        <v>0.84717263209701787</v>
      </c>
      <c r="AC463">
        <v>0.63993013590337533</v>
      </c>
      <c r="AD463">
        <v>0.90721355061162512</v>
      </c>
      <c r="AE463">
        <v>0.87713341840707493</v>
      </c>
      <c r="AH463">
        <v>0.17705597745150525</v>
      </c>
      <c r="AI463">
        <v>6.7387879960115304E-2</v>
      </c>
      <c r="AJ463">
        <v>1.4638114345947639E-2</v>
      </c>
      <c r="AK463">
        <v>0.11755358360332357</v>
      </c>
      <c r="AL463">
        <v>0.29173685044295827</v>
      </c>
      <c r="AM463">
        <v>7.8289564846741433E-2</v>
      </c>
      <c r="AN463">
        <v>5.2188180342821022E-2</v>
      </c>
      <c r="AO463">
        <v>0.17174343127589198</v>
      </c>
      <c r="AR463">
        <v>9.8137186381752617E-4</v>
      </c>
      <c r="AS463">
        <v>4.8843631422188505E-3</v>
      </c>
      <c r="AT463">
        <v>4.7412995136127088E-3</v>
      </c>
      <c r="AU463">
        <v>2.3546136704106768E-3</v>
      </c>
      <c r="AV463">
        <v>2.0050053237407051E-3</v>
      </c>
      <c r="AW463">
        <v>3.690023304492307E-3</v>
      </c>
      <c r="AX463">
        <v>3.9622316048573166E-4</v>
      </c>
      <c r="AY463">
        <v>4.3888604433826742E-4</v>
      </c>
      <c r="BB463">
        <v>4.2274079746182934E-2</v>
      </c>
      <c r="BC463">
        <v>3.5401600385912231E-2</v>
      </c>
      <c r="BE463">
        <v>72205.181858189346</v>
      </c>
      <c r="BF463">
        <v>13.710481818798284</v>
      </c>
      <c r="BG463">
        <v>73096.944096961699</v>
      </c>
      <c r="BH463">
        <v>13.642933156998104</v>
      </c>
      <c r="BI463">
        <v>-891.76223877235316</v>
      </c>
      <c r="BJ463">
        <v>6.7548661800179488E-2</v>
      </c>
    </row>
    <row r="464" spans="3:62" x14ac:dyDescent="0.2">
      <c r="C464" s="121">
        <v>67463.239450549067</v>
      </c>
      <c r="D464" s="121">
        <v>15.103017076428012</v>
      </c>
      <c r="E464" s="121">
        <v>68897.211281541444</v>
      </c>
      <c r="F464" s="121">
        <v>14.966689537508195</v>
      </c>
      <c r="G464" s="121">
        <v>-1433.9718309923774</v>
      </c>
      <c r="H464" s="121">
        <v>0.13632753891981686</v>
      </c>
      <c r="N464" s="121"/>
      <c r="O464" s="121"/>
      <c r="P464" s="121"/>
      <c r="R464">
        <v>349.79295430520204</v>
      </c>
      <c r="S464">
        <v>71.856016769908337</v>
      </c>
      <c r="T464">
        <v>266.03767373744643</v>
      </c>
      <c r="U464">
        <v>116.54530572102885</v>
      </c>
      <c r="X464">
        <v>0.6085341432042205</v>
      </c>
      <c r="Y464">
        <v>0.79815561691369319</v>
      </c>
      <c r="Z464">
        <v>0.85356786974340215</v>
      </c>
      <c r="AA464">
        <v>0.75497791530223324</v>
      </c>
      <c r="AB464">
        <v>0.7471022657905394</v>
      </c>
      <c r="AC464">
        <v>0.91430574438132073</v>
      </c>
      <c r="AD464">
        <v>0.89798950604956218</v>
      </c>
      <c r="AE464">
        <v>0.73172313892690621</v>
      </c>
      <c r="AH464">
        <v>0.15418742864772539</v>
      </c>
      <c r="AI464">
        <v>0.19314200293176598</v>
      </c>
      <c r="AJ464">
        <v>4.5938613779282322E-2</v>
      </c>
      <c r="AK464">
        <v>8.6429305701798409E-2</v>
      </c>
      <c r="AL464">
        <v>4.773590873809308E-2</v>
      </c>
      <c r="AM464">
        <v>0.1556246192285895</v>
      </c>
      <c r="AN464">
        <v>4.5685468612492564E-2</v>
      </c>
      <c r="AO464">
        <v>0.13464582793066582</v>
      </c>
      <c r="AR464">
        <v>1.0048010266451302E-3</v>
      </c>
      <c r="AS464">
        <v>4.8300172404233122E-3</v>
      </c>
      <c r="AT464">
        <v>4.8759129562431485E-3</v>
      </c>
      <c r="AU464">
        <v>2.1501848591563011E-3</v>
      </c>
      <c r="AV464">
        <v>1.9078146738242664E-3</v>
      </c>
      <c r="AW464">
        <v>3.4347133397358842E-3</v>
      </c>
      <c r="AX464">
        <v>2.7538089007079949E-4</v>
      </c>
      <c r="AY464">
        <v>5.4881423295538578E-4</v>
      </c>
      <c r="BB464">
        <v>5.2321592526935246E-2</v>
      </c>
      <c r="BC464">
        <v>8.9396114862648979E-2</v>
      </c>
      <c r="BE464">
        <v>67463.239450549067</v>
      </c>
      <c r="BF464">
        <v>15.103017076428012</v>
      </c>
      <c r="BG464">
        <v>68897.211281541444</v>
      </c>
      <c r="BH464">
        <v>14.966689537508195</v>
      </c>
      <c r="BI464">
        <v>-1433.9718309923774</v>
      </c>
      <c r="BJ464">
        <v>0.13632753891981686</v>
      </c>
    </row>
    <row r="465" spans="3:62" x14ac:dyDescent="0.2">
      <c r="C465" s="121">
        <v>68163.186842799318</v>
      </c>
      <c r="D465" s="121">
        <v>13.295183179017187</v>
      </c>
      <c r="E465" s="121">
        <v>70024.853387997937</v>
      </c>
      <c r="F465" s="121">
        <v>13.148596476405315</v>
      </c>
      <c r="G465" s="121">
        <v>-1861.6665451986191</v>
      </c>
      <c r="H465" s="121">
        <v>0.1465867026118719</v>
      </c>
      <c r="N465" s="121"/>
      <c r="O465" s="121"/>
      <c r="P465" s="121"/>
      <c r="R465">
        <v>121.12429208257217</v>
      </c>
      <c r="S465">
        <v>59.016674407436383</v>
      </c>
      <c r="T465">
        <v>219.86145718337039</v>
      </c>
      <c r="U465">
        <v>98.131047251551635</v>
      </c>
      <c r="X465">
        <v>0.89071583600411941</v>
      </c>
      <c r="Y465">
        <v>0.58820819584172535</v>
      </c>
      <c r="Z465">
        <v>0.56967550605163031</v>
      </c>
      <c r="AA465">
        <v>0.7659335866874889</v>
      </c>
      <c r="AB465">
        <v>0.81022297858342696</v>
      </c>
      <c r="AC465">
        <v>0.79186940306244458</v>
      </c>
      <c r="AD465">
        <v>0.7476366310130933</v>
      </c>
      <c r="AE465">
        <v>0.81585473044345158</v>
      </c>
      <c r="AH465">
        <v>2.2889578850776138E-2</v>
      </c>
      <c r="AI465">
        <v>0.33037148494056345</v>
      </c>
      <c r="AJ465">
        <v>2.1057860022713815E-2</v>
      </c>
      <c r="AK465">
        <v>0.12873548615149655</v>
      </c>
      <c r="AL465">
        <v>0.26833553074409688</v>
      </c>
      <c r="AM465">
        <v>7.389938468759083E-2</v>
      </c>
      <c r="AN465">
        <v>0.32007795511557302</v>
      </c>
      <c r="AO465">
        <v>0.2890033000635116</v>
      </c>
      <c r="AR465">
        <v>8.2742569228864721E-4</v>
      </c>
      <c r="AS465">
        <v>4.1244030122718264E-3</v>
      </c>
      <c r="AT465">
        <v>5.1924255946661502E-3</v>
      </c>
      <c r="AU465">
        <v>1.9022219351227116E-3</v>
      </c>
      <c r="AV465">
        <v>2.2761419148857875E-3</v>
      </c>
      <c r="AW465">
        <v>3.3961578700280682E-3</v>
      </c>
      <c r="AX465">
        <v>3.4844950928933881E-4</v>
      </c>
      <c r="AY465">
        <v>4.4845224511147475E-4</v>
      </c>
      <c r="BB465">
        <v>5.8281982776918539E-2</v>
      </c>
      <c r="BC465">
        <v>2.1434743811897552E-2</v>
      </c>
      <c r="BE465">
        <v>68163.186842799318</v>
      </c>
      <c r="BF465">
        <v>13.295183179017187</v>
      </c>
      <c r="BG465">
        <v>70024.853387997937</v>
      </c>
      <c r="BH465">
        <v>13.148596476405315</v>
      </c>
      <c r="BI465">
        <v>-1861.6665451986191</v>
      </c>
      <c r="BJ465">
        <v>0.1465867026118719</v>
      </c>
    </row>
    <row r="466" spans="3:62" x14ac:dyDescent="0.2">
      <c r="C466" s="121">
        <v>72123.083858560669</v>
      </c>
      <c r="D466" s="121">
        <v>18.967413690744344</v>
      </c>
      <c r="E466" s="121">
        <v>74198.374518711265</v>
      </c>
      <c r="F466" s="121">
        <v>18.836586199586112</v>
      </c>
      <c r="G466" s="121">
        <v>-2075.2906601505965</v>
      </c>
      <c r="H466" s="121">
        <v>0.13082749115823233</v>
      </c>
      <c r="N466" s="121"/>
      <c r="O466" s="121"/>
      <c r="P466" s="121"/>
      <c r="R466">
        <v>177.17691039430161</v>
      </c>
      <c r="S466">
        <v>54.621495939052195</v>
      </c>
      <c r="T466">
        <v>218.77814421996777</v>
      </c>
      <c r="U466">
        <v>104.8527164158959</v>
      </c>
      <c r="X466">
        <v>0.62978658971618329</v>
      </c>
      <c r="Y466">
        <v>0.46673445334039521</v>
      </c>
      <c r="Z466">
        <v>0.74600111979208639</v>
      </c>
      <c r="AA466">
        <v>0.84915408041769447</v>
      </c>
      <c r="AB466">
        <v>0.5485126174704289</v>
      </c>
      <c r="AC466">
        <v>0.74770897836927341</v>
      </c>
      <c r="AD466">
        <v>0.85548663279467929</v>
      </c>
      <c r="AE466">
        <v>0.77938480317573</v>
      </c>
      <c r="AH466">
        <v>4.6004468510788099E-2</v>
      </c>
      <c r="AI466">
        <v>6.9926668576075546E-2</v>
      </c>
      <c r="AJ466">
        <v>6.6644308302377775E-2</v>
      </c>
      <c r="AK466">
        <v>0.12458906350220555</v>
      </c>
      <c r="AL466">
        <v>8.8882856798592202E-2</v>
      </c>
      <c r="AM466">
        <v>9.6992994124450616E-2</v>
      </c>
      <c r="AN466">
        <v>0.34803714328167579</v>
      </c>
      <c r="AO466">
        <v>0.22016677919487548</v>
      </c>
      <c r="AR466">
        <v>8.4040172142674533E-4</v>
      </c>
      <c r="AS466">
        <v>4.7359986844685009E-3</v>
      </c>
      <c r="AT466">
        <v>4.935529336350203E-3</v>
      </c>
      <c r="AU466">
        <v>2.1865085287875452E-3</v>
      </c>
      <c r="AV466">
        <v>1.9093644749715467E-3</v>
      </c>
      <c r="AW466">
        <v>3.412902692103259E-3</v>
      </c>
      <c r="AX466">
        <v>4.0511270086451834E-4</v>
      </c>
      <c r="AY466">
        <v>4.4055473798415047E-4</v>
      </c>
      <c r="BB466">
        <v>4.879884030858448E-2</v>
      </c>
      <c r="BC466">
        <v>3.3663878798067592E-2</v>
      </c>
      <c r="BE466">
        <v>72123.083858560669</v>
      </c>
      <c r="BF466">
        <v>18.967413690744344</v>
      </c>
      <c r="BG466">
        <v>74198.374518711265</v>
      </c>
      <c r="BH466">
        <v>18.836586199586112</v>
      </c>
      <c r="BI466">
        <v>-2075.2906601505965</v>
      </c>
      <c r="BJ466">
        <v>0.13082749115823233</v>
      </c>
    </row>
    <row r="467" spans="3:62" x14ac:dyDescent="0.2">
      <c r="C467" s="121">
        <v>70346.552967209398</v>
      </c>
      <c r="D467" s="121">
        <v>17.811826109835369</v>
      </c>
      <c r="E467" s="121">
        <v>71027.160652450984</v>
      </c>
      <c r="F467" s="121">
        <v>17.738716996856205</v>
      </c>
      <c r="G467" s="121">
        <v>-680.6076852415863</v>
      </c>
      <c r="H467" s="121">
        <v>7.3109112979164337E-2</v>
      </c>
      <c r="N467" s="121"/>
      <c r="O467" s="121"/>
      <c r="P467" s="121"/>
      <c r="R467">
        <v>279.857179041672</v>
      </c>
      <c r="S467">
        <v>69.031711632010143</v>
      </c>
      <c r="T467">
        <v>237.36466659537592</v>
      </c>
      <c r="U467">
        <v>93.334154157556327</v>
      </c>
      <c r="X467">
        <v>0.89569864122884746</v>
      </c>
      <c r="Y467">
        <v>0.789443761797743</v>
      </c>
      <c r="Z467">
        <v>0.64731374425298283</v>
      </c>
      <c r="AA467">
        <v>0.81979609012259358</v>
      </c>
      <c r="AB467">
        <v>0.9161611583338084</v>
      </c>
      <c r="AC467">
        <v>0.6049022260675111</v>
      </c>
      <c r="AD467">
        <v>0.75850625069998867</v>
      </c>
      <c r="AE467">
        <v>0.58122279033872493</v>
      </c>
      <c r="AH467">
        <v>8.981339943778377E-2</v>
      </c>
      <c r="AI467">
        <v>0.1256699159497372</v>
      </c>
      <c r="AJ467">
        <v>0.15632613540858198</v>
      </c>
      <c r="AK467">
        <v>7.7284450016327888E-2</v>
      </c>
      <c r="AL467">
        <v>2.6131910598247043E-2</v>
      </c>
      <c r="AM467">
        <v>9.9524523873923298E-2</v>
      </c>
      <c r="AN467">
        <v>2.1174875544381466E-2</v>
      </c>
      <c r="AO467">
        <v>6.8384835898932406E-2</v>
      </c>
      <c r="AR467">
        <v>9.4675468440774679E-4</v>
      </c>
      <c r="AS467">
        <v>4.8683739085759736E-3</v>
      </c>
      <c r="AT467">
        <v>4.9600841747718949E-3</v>
      </c>
      <c r="AU467">
        <v>2.2172624392927665E-3</v>
      </c>
      <c r="AV467">
        <v>1.8586708717689352E-3</v>
      </c>
      <c r="AW467">
        <v>3.442366205672287E-3</v>
      </c>
      <c r="AX467">
        <v>2.5294893426422205E-4</v>
      </c>
      <c r="AY467">
        <v>4.4899224539851623E-4</v>
      </c>
      <c r="BB467">
        <v>5.2304370767784381E-2</v>
      </c>
      <c r="BC467">
        <v>1.1199087394718501E-2</v>
      </c>
      <c r="BE467">
        <v>70346.552967209398</v>
      </c>
      <c r="BF467">
        <v>17.811826109835369</v>
      </c>
      <c r="BG467">
        <v>71027.160652450984</v>
      </c>
      <c r="BH467">
        <v>17.738716996856205</v>
      </c>
      <c r="BI467">
        <v>-680.6076852415863</v>
      </c>
      <c r="BJ467">
        <v>7.3109112979164337E-2</v>
      </c>
    </row>
    <row r="468" spans="3:62" x14ac:dyDescent="0.2">
      <c r="C468" s="121">
        <v>70639.864150298454</v>
      </c>
      <c r="D468" s="121">
        <v>16.529268088680979</v>
      </c>
      <c r="E468" s="121">
        <v>72917.892865454982</v>
      </c>
      <c r="F468" s="121">
        <v>16.360532992722909</v>
      </c>
      <c r="G468" s="121">
        <v>-2278.0287151565281</v>
      </c>
      <c r="H468" s="121">
        <v>0.16873509595806979</v>
      </c>
      <c r="N468" s="121"/>
      <c r="O468" s="121"/>
      <c r="P468" s="121"/>
      <c r="R468">
        <v>225.40317502117958</v>
      </c>
      <c r="S468">
        <v>57.303247738783455</v>
      </c>
      <c r="T468">
        <v>250.36985394134112</v>
      </c>
      <c r="U468">
        <v>94.927939823910222</v>
      </c>
      <c r="X468">
        <v>0.51725773168245781</v>
      </c>
      <c r="Y468">
        <v>0.50768636642472686</v>
      </c>
      <c r="Z468">
        <v>0.68266776171770405</v>
      </c>
      <c r="AA468">
        <v>0.79294841315330555</v>
      </c>
      <c r="AB468">
        <v>0.81809054413544446</v>
      </c>
      <c r="AC468">
        <v>0.49942854818583721</v>
      </c>
      <c r="AD468">
        <v>0.97839376925243615</v>
      </c>
      <c r="AE468">
        <v>0.53777987579507769</v>
      </c>
      <c r="AH468">
        <v>0.26229399984367963</v>
      </c>
      <c r="AI468">
        <v>0.10271049676740163</v>
      </c>
      <c r="AJ468">
        <v>0.27492996156652072</v>
      </c>
      <c r="AK468">
        <v>0.13392530581589301</v>
      </c>
      <c r="AL468">
        <v>0.1206891600118839</v>
      </c>
      <c r="AM468">
        <v>4.9416719171805124E-2</v>
      </c>
      <c r="AN468">
        <v>0.17500782979026475</v>
      </c>
      <c r="AO468">
        <v>0.21605735991201402</v>
      </c>
      <c r="AR468">
        <v>8.9426457594599107E-4</v>
      </c>
      <c r="AS468">
        <v>4.8166189971791118E-3</v>
      </c>
      <c r="AT468">
        <v>4.931234401932859E-3</v>
      </c>
      <c r="AU468">
        <v>2.0241781332883679E-3</v>
      </c>
      <c r="AV468">
        <v>1.8900775044676562E-3</v>
      </c>
      <c r="AW468">
        <v>3.2267220736343269E-3</v>
      </c>
      <c r="AX468">
        <v>4.0846408062800155E-4</v>
      </c>
      <c r="AY468">
        <v>4.2567371207509995E-4</v>
      </c>
      <c r="BB468">
        <v>5.2050593091753417E-2</v>
      </c>
      <c r="BC468">
        <v>3.6953694956564385E-2</v>
      </c>
      <c r="BE468">
        <v>70639.864150298454</v>
      </c>
      <c r="BF468">
        <v>16.529268088680979</v>
      </c>
      <c r="BG468">
        <v>72917.892865454982</v>
      </c>
      <c r="BH468">
        <v>16.360532992722909</v>
      </c>
      <c r="BI468">
        <v>-2278.0287151565281</v>
      </c>
      <c r="BJ468">
        <v>0.16873509595806979</v>
      </c>
    </row>
    <row r="469" spans="3:62" x14ac:dyDescent="0.2">
      <c r="C469" s="121">
        <v>68410.877667606241</v>
      </c>
      <c r="D469" s="121">
        <v>17.543583956305611</v>
      </c>
      <c r="E469" s="121">
        <v>70456.546579467496</v>
      </c>
      <c r="F469" s="121">
        <v>17.414225555973157</v>
      </c>
      <c r="G469" s="121">
        <v>-2045.6689118612558</v>
      </c>
      <c r="H469" s="121">
        <v>0.12935840033245327</v>
      </c>
      <c r="N469" s="121"/>
      <c r="O469" s="121"/>
      <c r="P469" s="121"/>
      <c r="R469">
        <v>132.35578973085131</v>
      </c>
      <c r="S469">
        <v>56.664582653389161</v>
      </c>
      <c r="T469">
        <v>268.10956324388383</v>
      </c>
      <c r="U469">
        <v>96.127536491506675</v>
      </c>
      <c r="X469">
        <v>0.81947432277787646</v>
      </c>
      <c r="Y469">
        <v>0.29589411089702466</v>
      </c>
      <c r="Z469">
        <v>0.77986262380087723</v>
      </c>
      <c r="AA469">
        <v>0.55790070231805977</v>
      </c>
      <c r="AB469">
        <v>0.44138538855022386</v>
      </c>
      <c r="AC469">
        <v>0.87437120667267776</v>
      </c>
      <c r="AD469">
        <v>0.44511652858341272</v>
      </c>
      <c r="AE469">
        <v>0.58179869652083238</v>
      </c>
      <c r="AH469">
        <v>7.8903785334349719E-2</v>
      </c>
      <c r="AI469">
        <v>7.213617332979283E-2</v>
      </c>
      <c r="AJ469">
        <v>8.1036442509495488E-2</v>
      </c>
      <c r="AK469">
        <v>3.6672928437758823E-2</v>
      </c>
      <c r="AL469">
        <v>3.4594490414862289E-2</v>
      </c>
      <c r="AM469">
        <v>7.7307575618610791E-2</v>
      </c>
      <c r="AN469">
        <v>0.22635463999957006</v>
      </c>
      <c r="AO469">
        <v>8.3794299685211793E-2</v>
      </c>
      <c r="AR469">
        <v>9.3392207401687966E-4</v>
      </c>
      <c r="AS469">
        <v>4.093826293274005E-3</v>
      </c>
      <c r="AT469">
        <v>4.9345300988026747E-3</v>
      </c>
      <c r="AU469">
        <v>2.1244330357469421E-3</v>
      </c>
      <c r="AV469">
        <v>2.0587338554013401E-3</v>
      </c>
      <c r="AW469">
        <v>3.6746188566202376E-3</v>
      </c>
      <c r="AX469">
        <v>3.0935046022200337E-4</v>
      </c>
      <c r="AY469">
        <v>3.6764573349360515E-4</v>
      </c>
      <c r="BB469">
        <v>4.5972960674926198E-2</v>
      </c>
      <c r="BC469">
        <v>3.5983038587237733E-2</v>
      </c>
      <c r="BE469">
        <v>68410.877667606241</v>
      </c>
      <c r="BF469">
        <v>17.543583956305611</v>
      </c>
      <c r="BG469">
        <v>70456.546579467496</v>
      </c>
      <c r="BH469">
        <v>17.414225555973157</v>
      </c>
      <c r="BI469">
        <v>-2045.6689118612558</v>
      </c>
      <c r="BJ469">
        <v>0.12935840033245327</v>
      </c>
    </row>
    <row r="470" spans="3:62" x14ac:dyDescent="0.2">
      <c r="C470" s="121">
        <v>67421.649115927154</v>
      </c>
      <c r="D470">
        <v>16.623125962941558</v>
      </c>
      <c r="E470" s="121">
        <v>69061.411628797432</v>
      </c>
      <c r="F470" s="121">
        <v>16.479023580365251</v>
      </c>
      <c r="G470" s="121">
        <v>-1639.7625128702784</v>
      </c>
      <c r="H470" s="121">
        <v>0.14410238257630681</v>
      </c>
      <c r="N470" s="121"/>
      <c r="O470" s="121"/>
      <c r="P470" s="121"/>
      <c r="R470">
        <v>259.61346250618271</v>
      </c>
      <c r="S470">
        <v>74.935078902371586</v>
      </c>
      <c r="T470">
        <v>222.34776402859001</v>
      </c>
      <c r="U470">
        <v>88.384720128591169</v>
      </c>
      <c r="X470">
        <v>0.61513689024921236</v>
      </c>
      <c r="Y470">
        <v>0.77675139681474947</v>
      </c>
      <c r="Z470">
        <v>0.93447419198138004</v>
      </c>
      <c r="AA470">
        <v>0.85567733029731685</v>
      </c>
      <c r="AB470">
        <v>0.64234370166014565</v>
      </c>
      <c r="AC470">
        <v>0.66747248760376288</v>
      </c>
      <c r="AD470">
        <v>0.45353515325189359</v>
      </c>
      <c r="AE470">
        <v>0.65408997714534933</v>
      </c>
      <c r="AH470">
        <v>0.13748723154162246</v>
      </c>
      <c r="AI470">
        <v>8.3777680161458257E-2</v>
      </c>
      <c r="AJ470">
        <v>8.2793420520845817E-3</v>
      </c>
      <c r="AK470">
        <v>0.11983569128017391</v>
      </c>
      <c r="AL470">
        <v>8.4196436781667106E-2</v>
      </c>
      <c r="AM470">
        <v>0.16715947905842743</v>
      </c>
      <c r="AN470">
        <v>8.7240167391005929E-2</v>
      </c>
      <c r="AO470">
        <v>8.3641712066004903E-2</v>
      </c>
      <c r="AR470">
        <v>9.0111655256452927E-4</v>
      </c>
      <c r="AS470">
        <v>4.3006932981438607E-3</v>
      </c>
      <c r="AT470">
        <v>4.848496482213009E-3</v>
      </c>
      <c r="AU470">
        <v>2.0833858051956256E-3</v>
      </c>
      <c r="AV470">
        <v>1.8841800820153856E-3</v>
      </c>
      <c r="AW470">
        <v>3.4015517082945706E-3</v>
      </c>
      <c r="AX470">
        <v>3.2313603224556187E-4</v>
      </c>
      <c r="AY470">
        <v>3.5360231537547721E-4</v>
      </c>
      <c r="BB470">
        <v>4.9165612358630539E-2</v>
      </c>
      <c r="BC470">
        <v>8.3224195424615566E-2</v>
      </c>
      <c r="BE470">
        <v>67421.649115927154</v>
      </c>
      <c r="BF470">
        <v>16.623125962941558</v>
      </c>
      <c r="BG470">
        <v>69061.411628797432</v>
      </c>
      <c r="BH470">
        <v>16.479023580365251</v>
      </c>
      <c r="BI470">
        <v>-1639.7625128702784</v>
      </c>
      <c r="BJ470">
        <v>0.14410238257630681</v>
      </c>
    </row>
    <row r="471" spans="3:62" x14ac:dyDescent="0.2">
      <c r="C471" s="121">
        <v>78667.19262460967</v>
      </c>
      <c r="D471">
        <v>14.920765101473284</v>
      </c>
      <c r="E471" s="121">
        <v>81246.731365555213</v>
      </c>
      <c r="F471" s="121">
        <v>14.679463377640465</v>
      </c>
      <c r="G471" s="121">
        <v>-2579.5387409455434</v>
      </c>
      <c r="H471" s="121">
        <v>0.24130172383281945</v>
      </c>
      <c r="N471" s="121"/>
      <c r="O471" s="121"/>
      <c r="P471" s="121"/>
      <c r="R471">
        <v>276.81346071079622</v>
      </c>
      <c r="S471">
        <v>68.487889632695172</v>
      </c>
      <c r="T471">
        <v>239.03221661575998</v>
      </c>
      <c r="U471">
        <v>79.031000864137667</v>
      </c>
      <c r="X471">
        <v>0.74510825098889666</v>
      </c>
      <c r="Y471">
        <v>0.76043758465169897</v>
      </c>
      <c r="Z471">
        <v>0.6856549132098837</v>
      </c>
      <c r="AA471">
        <v>0.60075384322355385</v>
      </c>
      <c r="AB471">
        <v>0.77058860717590361</v>
      </c>
      <c r="AC471">
        <v>0.9287150457136315</v>
      </c>
      <c r="AD471">
        <v>0.86447123131928283</v>
      </c>
      <c r="AE471">
        <v>0.93558878083859365</v>
      </c>
      <c r="AH471">
        <v>0.124844521571018</v>
      </c>
      <c r="AI471">
        <v>6.6781859820195244E-2</v>
      </c>
      <c r="AJ471">
        <v>7.8533992994948676E-2</v>
      </c>
      <c r="AK471">
        <v>3.9457344054915078E-2</v>
      </c>
      <c r="AL471">
        <v>0.11913262166487903</v>
      </c>
      <c r="AM471">
        <v>0.10634593099968381</v>
      </c>
      <c r="AN471">
        <v>4.7562145194577576E-2</v>
      </c>
      <c r="AO471">
        <v>0.14792131271796338</v>
      </c>
      <c r="AR471">
        <v>8.5606961113202052E-4</v>
      </c>
      <c r="AS471">
        <v>4.0427859267735226E-3</v>
      </c>
      <c r="AT471">
        <v>4.9888214067074221E-3</v>
      </c>
      <c r="AU471">
        <v>1.7863133916776318E-3</v>
      </c>
      <c r="AV471">
        <v>2.0881514489123898E-3</v>
      </c>
      <c r="AW471">
        <v>3.2845017932292366E-3</v>
      </c>
      <c r="AX471">
        <v>3.4167002363992414E-4</v>
      </c>
      <c r="AY471">
        <v>4.8169099607120458E-4</v>
      </c>
      <c r="BB471">
        <v>5.366083046462411E-2</v>
      </c>
      <c r="BC471">
        <v>3.7408223373566446E-2</v>
      </c>
      <c r="BE471">
        <v>78667.19262460967</v>
      </c>
      <c r="BF471">
        <v>14.920765101473284</v>
      </c>
      <c r="BG471">
        <v>81246.731365555213</v>
      </c>
      <c r="BH471">
        <v>14.679463377640465</v>
      </c>
      <c r="BI471">
        <v>-2579.5387409455434</v>
      </c>
      <c r="BJ471">
        <v>0.24130172383281945</v>
      </c>
    </row>
    <row r="472" spans="3:62" x14ac:dyDescent="0.2">
      <c r="C472" s="121">
        <v>68260.667821545969</v>
      </c>
      <c r="D472">
        <v>14.830131006709939</v>
      </c>
      <c r="E472" s="121">
        <v>69709.728021139061</v>
      </c>
      <c r="F472" s="121">
        <v>14.696729160698432</v>
      </c>
      <c r="G472" s="121">
        <v>-1449.060199593092</v>
      </c>
      <c r="H472" s="121">
        <v>0.13340184601150717</v>
      </c>
      <c r="N472" s="121"/>
      <c r="O472" s="121"/>
      <c r="P472" s="121"/>
      <c r="R472">
        <v>319.7315215789464</v>
      </c>
      <c r="S472">
        <v>67.53291128532743</v>
      </c>
      <c r="T472">
        <v>278.24980965720925</v>
      </c>
      <c r="U472">
        <v>98.659614869249751</v>
      </c>
      <c r="X472">
        <v>0.86086652259047713</v>
      </c>
      <c r="Y472">
        <v>0.805217404785878</v>
      </c>
      <c r="Z472">
        <v>0.69314718726042446</v>
      </c>
      <c r="AA472">
        <v>0.94623929922536076</v>
      </c>
      <c r="AB472">
        <v>0.66365132932363891</v>
      </c>
      <c r="AC472">
        <v>0.62968794436098852</v>
      </c>
      <c r="AD472">
        <v>0.56321872185578015</v>
      </c>
      <c r="AE472">
        <v>0.63665195923755835</v>
      </c>
      <c r="AH472">
        <v>4.8701728327092964E-3</v>
      </c>
      <c r="AI472">
        <v>8.732186235901862E-2</v>
      </c>
      <c r="AJ472">
        <v>0.13467620670749092</v>
      </c>
      <c r="AK472">
        <v>0.15469539712821145</v>
      </c>
      <c r="AL472">
        <v>8.3636459724032663E-2</v>
      </c>
      <c r="AM472">
        <v>0.29922139897508937</v>
      </c>
      <c r="AN472">
        <v>9.0326869239498953E-2</v>
      </c>
      <c r="AO472">
        <v>0.10862232896906743</v>
      </c>
      <c r="AR472">
        <v>8.0741890262795335E-4</v>
      </c>
      <c r="AS472">
        <v>4.4478529382901266E-3</v>
      </c>
      <c r="AT472">
        <v>5.2468725220350398E-3</v>
      </c>
      <c r="AU472">
        <v>2.0743304277381913E-3</v>
      </c>
      <c r="AV472">
        <v>2.0273189844468575E-3</v>
      </c>
      <c r="AW472">
        <v>3.2500785781097129E-3</v>
      </c>
      <c r="AX472">
        <v>5.8902991959919326E-4</v>
      </c>
      <c r="AY472">
        <v>3.8355187930786999E-4</v>
      </c>
      <c r="BB472">
        <v>5.301872932322782E-2</v>
      </c>
      <c r="BC472">
        <v>6.7440253897672719E-2</v>
      </c>
      <c r="BE472">
        <v>68260.667821545969</v>
      </c>
      <c r="BF472">
        <v>14.830131006709939</v>
      </c>
      <c r="BG472">
        <v>69709.728021139061</v>
      </c>
      <c r="BH472">
        <v>14.696729160698432</v>
      </c>
      <c r="BI472">
        <v>-1449.060199593092</v>
      </c>
      <c r="BJ472">
        <v>0.13340184601150717</v>
      </c>
    </row>
    <row r="473" spans="3:62" x14ac:dyDescent="0.2">
      <c r="C473" s="121">
        <v>65084.946668169418</v>
      </c>
      <c r="D473">
        <v>16.11719148413264</v>
      </c>
      <c r="E473" s="121">
        <v>66520.266897627531</v>
      </c>
      <c r="F473" s="121">
        <v>16.002258920298864</v>
      </c>
      <c r="G473" s="121">
        <v>-1435.3202294581133</v>
      </c>
      <c r="H473" s="121">
        <v>0.1149325638337757</v>
      </c>
      <c r="N473" s="121"/>
      <c r="O473" s="121"/>
      <c r="P473" s="121"/>
      <c r="R473">
        <v>366.01683425106773</v>
      </c>
      <c r="S473">
        <v>58.839933253492532</v>
      </c>
      <c r="T473">
        <v>254.95411704288671</v>
      </c>
      <c r="U473">
        <v>92.233036308782289</v>
      </c>
      <c r="X473">
        <v>0.64431779922852794</v>
      </c>
      <c r="Y473">
        <v>0.65130390317739117</v>
      </c>
      <c r="Z473">
        <v>0.78194752599915451</v>
      </c>
      <c r="AA473">
        <v>0.68799442364752428</v>
      </c>
      <c r="AB473">
        <v>0.74761257335131115</v>
      </c>
      <c r="AC473">
        <v>0.982744982861262</v>
      </c>
      <c r="AD473">
        <v>0.5679629724802655</v>
      </c>
      <c r="AE473">
        <v>0.82345688781007553</v>
      </c>
      <c r="AH473">
        <v>6.2757406223204804E-2</v>
      </c>
      <c r="AI473">
        <v>4.6035036020933395E-2</v>
      </c>
      <c r="AJ473">
        <v>0.12012935555114956</v>
      </c>
      <c r="AK473">
        <v>6.1120164037822278E-2</v>
      </c>
      <c r="AL473">
        <v>0.18169926859589947</v>
      </c>
      <c r="AM473">
        <v>0.17612953720141855</v>
      </c>
      <c r="AN473">
        <v>0.25390630762200972</v>
      </c>
      <c r="AO473">
        <v>0.41363328839380664</v>
      </c>
      <c r="AR473">
        <v>9.7553266953098738E-4</v>
      </c>
      <c r="AS473">
        <v>4.6535083786383158E-3</v>
      </c>
      <c r="AT473">
        <v>4.8603536926231285E-3</v>
      </c>
      <c r="AU473">
        <v>2.1099834997204692E-3</v>
      </c>
      <c r="AV473">
        <v>2.172761693118197E-3</v>
      </c>
      <c r="AW473">
        <v>3.2819178097424845E-3</v>
      </c>
      <c r="AX473">
        <v>5.6030161531550604E-4</v>
      </c>
      <c r="AY473">
        <v>4.8845700012956073E-4</v>
      </c>
      <c r="BB473">
        <v>5.2475226986237411E-2</v>
      </c>
      <c r="BC473">
        <v>6.5157851454429538E-2</v>
      </c>
      <c r="BE473">
        <v>65084.946668169418</v>
      </c>
      <c r="BF473">
        <v>16.11719148413264</v>
      </c>
      <c r="BG473">
        <v>66520.266897627531</v>
      </c>
      <c r="BH473">
        <v>16.002258920298864</v>
      </c>
      <c r="BI473">
        <v>-1435.3202294581133</v>
      </c>
      <c r="BJ473">
        <v>0.1149325638337757</v>
      </c>
    </row>
    <row r="474" spans="3:62" x14ac:dyDescent="0.2">
      <c r="C474" s="121">
        <v>72399.660312644119</v>
      </c>
      <c r="D474">
        <v>15.428616173701554</v>
      </c>
      <c r="E474" s="121">
        <v>73961.705638916348</v>
      </c>
      <c r="F474" s="121">
        <v>15.285738450163672</v>
      </c>
      <c r="G474" s="121">
        <v>-1562.0453262722294</v>
      </c>
      <c r="H474" s="121">
        <v>0.14287772353788242</v>
      </c>
      <c r="N474" s="121"/>
      <c r="O474" s="121"/>
      <c r="P474" s="121"/>
      <c r="R474">
        <v>134.35377237096264</v>
      </c>
      <c r="S474">
        <v>66.722349746842639</v>
      </c>
      <c r="T474">
        <v>291.21574988323562</v>
      </c>
      <c r="U474">
        <v>98.966830781347824</v>
      </c>
      <c r="X474">
        <v>0.86467939798004589</v>
      </c>
      <c r="Y474">
        <v>0.62285704162389266</v>
      </c>
      <c r="Z474">
        <v>0.59337112518899682</v>
      </c>
      <c r="AA474">
        <v>0.71022549375645205</v>
      </c>
      <c r="AB474">
        <v>0.77461339019989262</v>
      </c>
      <c r="AC474">
        <v>0.71592716555049551</v>
      </c>
      <c r="AD474">
        <v>0.83391526319474718</v>
      </c>
      <c r="AE474">
        <v>0.46873757993159615</v>
      </c>
      <c r="AH474">
        <v>7.115316808313854E-2</v>
      </c>
      <c r="AI474">
        <v>0.10377772110814854</v>
      </c>
      <c r="AJ474">
        <v>0.13046136213971493</v>
      </c>
      <c r="AK474">
        <v>0.11695725755470299</v>
      </c>
      <c r="AL474">
        <v>1.5148681615157034E-2</v>
      </c>
      <c r="AM474">
        <v>2.9064250798444657E-2</v>
      </c>
      <c r="AN474">
        <v>4.3698570722739305E-2</v>
      </c>
      <c r="AO474">
        <v>0.14522785649170422</v>
      </c>
      <c r="AR474">
        <v>7.9164306613431447E-4</v>
      </c>
      <c r="AS474">
        <v>4.3046285300532812E-3</v>
      </c>
      <c r="AT474">
        <v>5.1090963832413072E-3</v>
      </c>
      <c r="AU474">
        <v>2.1454401067325657E-3</v>
      </c>
      <c r="AV474">
        <v>2.0714821714951093E-3</v>
      </c>
      <c r="AW474">
        <v>3.2439732981208802E-3</v>
      </c>
      <c r="AX474">
        <v>4.1262388329188493E-4</v>
      </c>
      <c r="AY474">
        <v>4.0092114054281663E-4</v>
      </c>
      <c r="BB474">
        <v>4.5716575437041003E-2</v>
      </c>
      <c r="BC474">
        <v>5.7864451343922374E-2</v>
      </c>
      <c r="BE474">
        <v>72399.660312644119</v>
      </c>
      <c r="BF474">
        <v>15.428616173701554</v>
      </c>
      <c r="BG474">
        <v>73961.705638916348</v>
      </c>
      <c r="BH474">
        <v>15.285738450163672</v>
      </c>
      <c r="BI474">
        <v>-1562.0453262722294</v>
      </c>
      <c r="BJ474">
        <v>0.14287772353788242</v>
      </c>
    </row>
    <row r="475" spans="3:62" x14ac:dyDescent="0.2">
      <c r="C475" s="121">
        <v>76132.46106971924</v>
      </c>
      <c r="D475">
        <v>15.058265862032597</v>
      </c>
      <c r="E475" s="121">
        <v>77292.31693747644</v>
      </c>
      <c r="F475" s="121">
        <v>14.910861581115421</v>
      </c>
      <c r="G475" s="121">
        <v>-1159.8558677572</v>
      </c>
      <c r="H475" s="121">
        <v>0.14740428091717561</v>
      </c>
      <c r="N475" s="121"/>
      <c r="O475" s="121"/>
      <c r="P475" s="121"/>
      <c r="R475">
        <v>218.96519335962046</v>
      </c>
      <c r="S475">
        <v>61.239810446639353</v>
      </c>
      <c r="T475">
        <v>228.45617281443128</v>
      </c>
      <c r="U475">
        <v>100.1766937574356</v>
      </c>
      <c r="X475">
        <v>0.67343658512646387</v>
      </c>
      <c r="Y475">
        <v>0.71780910652947905</v>
      </c>
      <c r="Z475">
        <v>0.6492520370050856</v>
      </c>
      <c r="AA475">
        <v>0.53665071547939125</v>
      </c>
      <c r="AB475">
        <v>0.98687502468921773</v>
      </c>
      <c r="AC475">
        <v>0.66462282952240104</v>
      </c>
      <c r="AD475">
        <v>0.98001765561829068</v>
      </c>
      <c r="AE475">
        <v>0.39619326976795499</v>
      </c>
      <c r="AH475">
        <v>9.9156602802216276E-2</v>
      </c>
      <c r="AI475">
        <v>4.2564646613532431E-2</v>
      </c>
      <c r="AJ475">
        <v>0.19765792307491492</v>
      </c>
      <c r="AK475">
        <v>5.165142226943642E-2</v>
      </c>
      <c r="AL475">
        <v>8.6099177246751646E-2</v>
      </c>
      <c r="AM475">
        <v>0.35969167287125525</v>
      </c>
      <c r="AN475">
        <v>0.14155304030216798</v>
      </c>
      <c r="AO475">
        <v>4.8570143721734627E-2</v>
      </c>
      <c r="AR475">
        <v>1.0033758040652874E-3</v>
      </c>
      <c r="AS475">
        <v>4.3706604247527245E-3</v>
      </c>
      <c r="AT475">
        <v>4.8769283964889415E-3</v>
      </c>
      <c r="AU475">
        <v>2.0741390337196686E-3</v>
      </c>
      <c r="AV475">
        <v>2.0623480927862703E-3</v>
      </c>
      <c r="AW475">
        <v>3.2594980013331627E-3</v>
      </c>
      <c r="AX475">
        <v>3.5733466140196901E-4</v>
      </c>
      <c r="AY475">
        <v>3.4156052021581409E-4</v>
      </c>
      <c r="BB475">
        <v>5.1693034193741827E-2</v>
      </c>
      <c r="BC475">
        <v>9.0925232420134283E-2</v>
      </c>
      <c r="BE475">
        <v>76132.46106971924</v>
      </c>
      <c r="BF475">
        <v>15.058265862032597</v>
      </c>
      <c r="BG475">
        <v>77292.31693747644</v>
      </c>
      <c r="BH475">
        <v>14.910861581115421</v>
      </c>
      <c r="BI475">
        <v>-1159.8558677572</v>
      </c>
      <c r="BJ475">
        <v>0.14740428091717561</v>
      </c>
    </row>
    <row r="476" spans="3:62" x14ac:dyDescent="0.2">
      <c r="C476" s="121">
        <v>71423.038439001728</v>
      </c>
      <c r="D476">
        <v>16.454643864826899</v>
      </c>
      <c r="E476" s="121">
        <v>74047.533471939663</v>
      </c>
      <c r="F476" s="121">
        <v>16.298566464814353</v>
      </c>
      <c r="G476" s="121">
        <v>-2624.4950329379353</v>
      </c>
      <c r="H476" s="121">
        <v>0.15607740001254555</v>
      </c>
      <c r="N476" s="121"/>
      <c r="O476" s="121"/>
      <c r="P476" s="121"/>
      <c r="R476">
        <v>106.01093612922278</v>
      </c>
      <c r="S476">
        <v>67.966831870367983</v>
      </c>
      <c r="T476">
        <v>237.9676356486176</v>
      </c>
      <c r="U476">
        <v>101.85303846234521</v>
      </c>
      <c r="X476">
        <v>0.8399249738510397</v>
      </c>
      <c r="Y476">
        <v>0.65147587980010369</v>
      </c>
      <c r="Z476">
        <v>0.71407915169622227</v>
      </c>
      <c r="AA476">
        <v>0.77357730364398058</v>
      </c>
      <c r="AB476">
        <v>0.71194438106837199</v>
      </c>
      <c r="AC476">
        <v>0.84901884570696962</v>
      </c>
      <c r="AD476">
        <v>0.67283480834235621</v>
      </c>
      <c r="AE476">
        <v>0.71961410265742576</v>
      </c>
      <c r="AH476">
        <v>9.0586706530060068E-2</v>
      </c>
      <c r="AI476">
        <v>0.33718579889202893</v>
      </c>
      <c r="AJ476">
        <v>7.4473851913237188E-2</v>
      </c>
      <c r="AK476">
        <v>5.0293453662585197E-2</v>
      </c>
      <c r="AL476">
        <v>0.12810931254119806</v>
      </c>
      <c r="AM476">
        <v>4.6212487866234109E-2</v>
      </c>
      <c r="AN476">
        <v>7.5353668252945871E-2</v>
      </c>
      <c r="AO476">
        <v>4.1948035474309808E-2</v>
      </c>
      <c r="AR476">
        <v>7.3889251621253897E-4</v>
      </c>
      <c r="AS476">
        <v>4.3566921360705616E-3</v>
      </c>
      <c r="AT476">
        <v>4.486688684829784E-3</v>
      </c>
      <c r="AU476">
        <v>2.3266607401311035E-3</v>
      </c>
      <c r="AV476">
        <v>2.2279477373342571E-3</v>
      </c>
      <c r="AW476">
        <v>3.1305230921380559E-3</v>
      </c>
      <c r="AX476">
        <v>4.2941183070510647E-4</v>
      </c>
      <c r="AY476">
        <v>4.2244380824098341E-4</v>
      </c>
      <c r="BB476">
        <v>4.914266331327475E-2</v>
      </c>
      <c r="BC476">
        <v>3.4267158782381048E-2</v>
      </c>
      <c r="BE476">
        <v>71423.038439001728</v>
      </c>
      <c r="BF476">
        <v>16.454643864826899</v>
      </c>
      <c r="BG476">
        <v>74047.533471939663</v>
      </c>
      <c r="BH476">
        <v>16.298566464814353</v>
      </c>
      <c r="BI476">
        <v>-2624.4950329379353</v>
      </c>
      <c r="BJ476">
        <v>0.15607740001254555</v>
      </c>
    </row>
    <row r="477" spans="3:62" x14ac:dyDescent="0.2">
      <c r="C477" s="121">
        <v>66018.332889895813</v>
      </c>
      <c r="D477">
        <v>16.299923678960496</v>
      </c>
      <c r="E477" s="121">
        <v>67734.879554295723</v>
      </c>
      <c r="F477" s="121">
        <v>16.156763227310986</v>
      </c>
      <c r="G477" s="121">
        <v>-1716.5466643999098</v>
      </c>
      <c r="H477" s="121">
        <v>0.14316045164951063</v>
      </c>
      <c r="N477" s="121"/>
      <c r="O477" s="121"/>
      <c r="P477" s="121"/>
      <c r="R477">
        <v>256.70991081008202</v>
      </c>
      <c r="S477">
        <v>66.461529832097483</v>
      </c>
      <c r="T477">
        <v>292.54358361167846</v>
      </c>
      <c r="U477">
        <v>112.95115815931435</v>
      </c>
      <c r="X477">
        <v>0.83880526684647283</v>
      </c>
      <c r="Y477">
        <v>0.53134790686286726</v>
      </c>
      <c r="Z477">
        <v>0.51086734682855439</v>
      </c>
      <c r="AA477">
        <v>0.91247547256624872</v>
      </c>
      <c r="AB477">
        <v>0.65708105842106856</v>
      </c>
      <c r="AC477">
        <v>0.64638797484455479</v>
      </c>
      <c r="AD477">
        <v>0.69139873905324822</v>
      </c>
      <c r="AE477">
        <v>0.89727298183150284</v>
      </c>
      <c r="AH477">
        <v>0.31242449215326384</v>
      </c>
      <c r="AI477">
        <v>8.6173588512414856E-2</v>
      </c>
      <c r="AJ477">
        <v>0.10260331547893453</v>
      </c>
      <c r="AK477">
        <v>0.13256812367737125</v>
      </c>
      <c r="AL477">
        <v>5.3156965951641766E-2</v>
      </c>
      <c r="AM477">
        <v>0.23301097904112689</v>
      </c>
      <c r="AN477">
        <v>0.10531778198749397</v>
      </c>
      <c r="AO477">
        <v>7.4379520492283802E-2</v>
      </c>
      <c r="AR477">
        <v>8.3596020128639723E-4</v>
      </c>
      <c r="AS477">
        <v>4.7119708786159675E-3</v>
      </c>
      <c r="AT477">
        <v>5.1875398036115294E-3</v>
      </c>
      <c r="AU477">
        <v>2.1068184819770241E-3</v>
      </c>
      <c r="AV477">
        <v>1.7979307081825826E-3</v>
      </c>
      <c r="AW477">
        <v>3.579487126684211E-3</v>
      </c>
      <c r="AX477">
        <v>4.5966333985292263E-4</v>
      </c>
      <c r="AY477">
        <v>3.8167651738645622E-4</v>
      </c>
      <c r="BB477">
        <v>5.0204009260085836E-2</v>
      </c>
      <c r="BC477">
        <v>4.2487057800783316E-2</v>
      </c>
      <c r="BE477">
        <v>66018.332889895813</v>
      </c>
      <c r="BF477">
        <v>16.299923678960496</v>
      </c>
      <c r="BG477">
        <v>67734.879554295723</v>
      </c>
      <c r="BH477">
        <v>16.156763227310986</v>
      </c>
      <c r="BI477">
        <v>-1716.5466643999098</v>
      </c>
      <c r="BJ477">
        <v>0.14316045164951063</v>
      </c>
    </row>
    <row r="478" spans="3:62" x14ac:dyDescent="0.2">
      <c r="C478" s="121">
        <v>74528.238793138109</v>
      </c>
      <c r="D478">
        <v>15.957293992865132</v>
      </c>
      <c r="E478" s="121">
        <v>76787.952185802846</v>
      </c>
      <c r="F478" s="121">
        <v>15.757691217233377</v>
      </c>
      <c r="G478" s="121">
        <v>-2259.7133926647366</v>
      </c>
      <c r="H478" s="121">
        <v>0.19960277563175488</v>
      </c>
      <c r="N478" s="121"/>
      <c r="O478" s="121"/>
      <c r="P478" s="121"/>
      <c r="R478">
        <v>234.23541990639083</v>
      </c>
      <c r="S478">
        <v>70.35658464452797</v>
      </c>
      <c r="T478">
        <v>246.83625168290985</v>
      </c>
      <c r="U478">
        <v>84.017717448956262</v>
      </c>
      <c r="X478">
        <v>0.80991184629667101</v>
      </c>
      <c r="Y478">
        <v>0.90259733730162717</v>
      </c>
      <c r="Z478">
        <v>0.671334276706535</v>
      </c>
      <c r="AA478">
        <v>0.92026164102738806</v>
      </c>
      <c r="AB478">
        <v>0.6721483107075884</v>
      </c>
      <c r="AC478">
        <v>0.79858522420141564</v>
      </c>
      <c r="AD478">
        <v>0.7046698753844991</v>
      </c>
      <c r="AE478">
        <v>0.79678814540847009</v>
      </c>
      <c r="AH478">
        <v>0.36281825774720755</v>
      </c>
      <c r="AI478">
        <v>6.741794074362506E-2</v>
      </c>
      <c r="AJ478">
        <v>0.10213505751293117</v>
      </c>
      <c r="AK478">
        <v>0.15621600236431532</v>
      </c>
      <c r="AL478">
        <v>0.17791959859504181</v>
      </c>
      <c r="AM478">
        <v>8.0311165360227754E-2</v>
      </c>
      <c r="AN478">
        <v>3.2258831262769183E-2</v>
      </c>
      <c r="AO478">
        <v>6.0391003326753068E-2</v>
      </c>
      <c r="AR478">
        <v>8.1854528248647546E-4</v>
      </c>
      <c r="AS478">
        <v>4.7422143140954942E-3</v>
      </c>
      <c r="AT478">
        <v>4.9016770412212956E-3</v>
      </c>
      <c r="AU478">
        <v>2.0237076396613096E-3</v>
      </c>
      <c r="AV478">
        <v>1.9121995642925082E-3</v>
      </c>
      <c r="AW478">
        <v>3.5595964148981141E-3</v>
      </c>
      <c r="AX478">
        <v>4.5267268712478881E-4</v>
      </c>
      <c r="AY478">
        <v>4.4790675946326797E-4</v>
      </c>
      <c r="BB478">
        <v>5.4903330301077746E-2</v>
      </c>
      <c r="BC478">
        <v>3.9383560624113127E-2</v>
      </c>
      <c r="BE478">
        <v>74528.238793138109</v>
      </c>
      <c r="BF478">
        <v>15.957293992865132</v>
      </c>
      <c r="BG478">
        <v>76787.952185802846</v>
      </c>
      <c r="BH478">
        <v>15.757691217233377</v>
      </c>
      <c r="BI478">
        <v>-2259.7133926647366</v>
      </c>
      <c r="BJ478">
        <v>0.19960277563175488</v>
      </c>
    </row>
    <row r="479" spans="3:62" x14ac:dyDescent="0.2">
      <c r="C479" s="121">
        <v>67792.172617564385</v>
      </c>
      <c r="D479">
        <v>15.211711257001641</v>
      </c>
      <c r="E479" s="121">
        <v>69666.524795942038</v>
      </c>
      <c r="F479" s="121">
        <v>15.057896489539818</v>
      </c>
      <c r="G479" s="121">
        <v>-1874.3521783776523</v>
      </c>
      <c r="H479" s="121">
        <v>0.15381476746182265</v>
      </c>
      <c r="N479" s="121"/>
      <c r="O479" s="121"/>
      <c r="P479" s="121"/>
      <c r="R479">
        <v>306.54744782807614</v>
      </c>
      <c r="S479">
        <v>54.275121954121509</v>
      </c>
      <c r="T479">
        <v>240.58033326817358</v>
      </c>
      <c r="U479">
        <v>93.01638608798622</v>
      </c>
      <c r="X479">
        <v>0.96102839611483959</v>
      </c>
      <c r="Y479">
        <v>0.67144950372224921</v>
      </c>
      <c r="Z479">
        <v>0.89356588284536942</v>
      </c>
      <c r="AA479">
        <v>0.90539723633502922</v>
      </c>
      <c r="AB479">
        <v>0.82520749981972563</v>
      </c>
      <c r="AC479">
        <v>0.89904820379333827</v>
      </c>
      <c r="AD479">
        <v>0.86603233718022343</v>
      </c>
      <c r="AE479">
        <v>0.88601150380251892</v>
      </c>
      <c r="AH479">
        <v>6.7611890560637988E-2</v>
      </c>
      <c r="AI479">
        <v>0.16605151694815323</v>
      </c>
      <c r="AJ479">
        <v>0.11913175538920295</v>
      </c>
      <c r="AK479">
        <v>0.17868687384419701</v>
      </c>
      <c r="AL479">
        <v>3.7184589097992937E-2</v>
      </c>
      <c r="AM479">
        <v>0.1258041309139758</v>
      </c>
      <c r="AN479">
        <v>0.14646983055042562</v>
      </c>
      <c r="AO479">
        <v>9.7275991275388662E-2</v>
      </c>
      <c r="AR479">
        <v>1.0147301393159669E-3</v>
      </c>
      <c r="AS479">
        <v>4.8311401137384191E-3</v>
      </c>
      <c r="AT479">
        <v>4.8357664119344328E-3</v>
      </c>
      <c r="AU479">
        <v>2.1767482696425366E-3</v>
      </c>
      <c r="AV479">
        <v>2.0245950586185169E-3</v>
      </c>
      <c r="AW479">
        <v>3.6295114797857408E-3</v>
      </c>
      <c r="AX479">
        <v>5.2011458564338309E-4</v>
      </c>
      <c r="AY479">
        <v>5.3789112713464871E-4</v>
      </c>
      <c r="BB479">
        <v>5.2775943172205797E-2</v>
      </c>
      <c r="BC479">
        <v>0.10876039026679318</v>
      </c>
      <c r="BE479">
        <v>67792.172617564385</v>
      </c>
      <c r="BF479">
        <v>15.211711257001641</v>
      </c>
      <c r="BG479">
        <v>69666.524795942038</v>
      </c>
      <c r="BH479">
        <v>15.057896489539818</v>
      </c>
      <c r="BI479">
        <v>-1874.3521783776523</v>
      </c>
      <c r="BJ479">
        <v>0.15381476746182265</v>
      </c>
    </row>
    <row r="480" spans="3:62" x14ac:dyDescent="0.2">
      <c r="C480" s="121">
        <v>62527.171691578478</v>
      </c>
      <c r="D480">
        <v>17.185229584620739</v>
      </c>
      <c r="E480" s="121">
        <v>63654.996405890226</v>
      </c>
      <c r="F480" s="121">
        <v>17.085884338111466</v>
      </c>
      <c r="G480" s="121">
        <v>-1127.8247143117478</v>
      </c>
      <c r="H480" s="121">
        <v>9.9345246509273011E-2</v>
      </c>
      <c r="N480" s="121"/>
      <c r="O480" s="121"/>
      <c r="P480" s="121"/>
      <c r="R480">
        <v>232.76616938653746</v>
      </c>
      <c r="S480">
        <v>61.369162039219141</v>
      </c>
      <c r="T480">
        <v>264.29590973897007</v>
      </c>
      <c r="U480">
        <v>105.63160811329793</v>
      </c>
      <c r="X480">
        <v>0.75048641705570462</v>
      </c>
      <c r="Y480">
        <v>0.74775703158386775</v>
      </c>
      <c r="Z480">
        <v>0.88989972075168478</v>
      </c>
      <c r="AA480">
        <v>0.88188848141653531</v>
      </c>
      <c r="AB480">
        <v>0.97641511667470471</v>
      </c>
      <c r="AC480">
        <v>0.74616272839238573</v>
      </c>
      <c r="AD480">
        <v>0.70789396769791768</v>
      </c>
      <c r="AE480">
        <v>0.60887650004922489</v>
      </c>
      <c r="AH480">
        <v>0.1964265020664856</v>
      </c>
      <c r="AI480">
        <v>0.14852630856824434</v>
      </c>
      <c r="AJ480">
        <v>5.9143970573508731E-2</v>
      </c>
      <c r="AK480">
        <v>6.3981014952237958E-2</v>
      </c>
      <c r="AL480">
        <v>8.6131453296559135E-2</v>
      </c>
      <c r="AM480">
        <v>0.11900292546476243</v>
      </c>
      <c r="AN480">
        <v>6.2419230924345648E-2</v>
      </c>
      <c r="AO480">
        <v>0.12487277503466043</v>
      </c>
      <c r="AR480">
        <v>8.5670010015543631E-4</v>
      </c>
      <c r="AS480">
        <v>4.4838358064394832E-3</v>
      </c>
      <c r="AT480">
        <v>5.189777559478026E-3</v>
      </c>
      <c r="AU480">
        <v>1.8436784604650952E-3</v>
      </c>
      <c r="AV480">
        <v>1.9574754635939234E-3</v>
      </c>
      <c r="AW480">
        <v>3.2643369327744619E-3</v>
      </c>
      <c r="AX480">
        <v>3.9671826825116163E-4</v>
      </c>
      <c r="AY480">
        <v>4.3347473199747917E-4</v>
      </c>
      <c r="BB480">
        <v>3.9795655125285219E-2</v>
      </c>
      <c r="BC480">
        <v>4.2692585802892535E-2</v>
      </c>
      <c r="BE480">
        <v>62527.171691578478</v>
      </c>
      <c r="BF480">
        <v>17.185229584620739</v>
      </c>
      <c r="BG480">
        <v>63654.996405890226</v>
      </c>
      <c r="BH480">
        <v>17.085884338111466</v>
      </c>
      <c r="BI480">
        <v>-1127.8247143117478</v>
      </c>
      <c r="BJ480">
        <v>9.9345246509273011E-2</v>
      </c>
    </row>
    <row r="481" spans="3:62" x14ac:dyDescent="0.2">
      <c r="C481" s="121">
        <v>77839.19071676211</v>
      </c>
      <c r="D481">
        <v>16.146297334790994</v>
      </c>
      <c r="E481" s="121">
        <v>79288.575771161253</v>
      </c>
      <c r="F481" s="121">
        <v>16.005184066079543</v>
      </c>
      <c r="G481" s="121">
        <v>-1449.385054399143</v>
      </c>
      <c r="H481" s="121">
        <v>0.14111326871145025</v>
      </c>
      <c r="N481" s="121"/>
      <c r="O481" s="121"/>
      <c r="P481" s="121"/>
      <c r="R481">
        <v>152.6227794165622</v>
      </c>
      <c r="S481">
        <v>50.020328475215273</v>
      </c>
      <c r="T481">
        <v>246.67411544996057</v>
      </c>
      <c r="U481">
        <v>106.48314509992366</v>
      </c>
      <c r="X481">
        <v>0.94411012318284693</v>
      </c>
      <c r="Y481">
        <v>0.5369950459457361</v>
      </c>
      <c r="Z481">
        <v>0.79195185846480365</v>
      </c>
      <c r="AA481">
        <v>0.48228595318382639</v>
      </c>
      <c r="AB481">
        <v>0.80862408139530728</v>
      </c>
      <c r="AC481">
        <v>0.87953244130925545</v>
      </c>
      <c r="AD481">
        <v>0.93147930627051079</v>
      </c>
      <c r="AE481">
        <v>0.76393234822889355</v>
      </c>
      <c r="AH481">
        <v>5.8616030748434689E-2</v>
      </c>
      <c r="AI481">
        <v>2.9505284505860985E-2</v>
      </c>
      <c r="AJ481">
        <v>8.584282365520246E-2</v>
      </c>
      <c r="AK481">
        <v>0.1649467026657595</v>
      </c>
      <c r="AL481">
        <v>0.10739721250468992</v>
      </c>
      <c r="AM481">
        <v>5.9800989152476891E-2</v>
      </c>
      <c r="AN481">
        <v>0.17207546979278432</v>
      </c>
      <c r="AO481">
        <v>0.29717100137472052</v>
      </c>
      <c r="AR481">
        <v>7.6260303553310515E-4</v>
      </c>
      <c r="AS481">
        <v>4.5115655935673571E-3</v>
      </c>
      <c r="AT481">
        <v>4.9118439826506275E-3</v>
      </c>
      <c r="AU481">
        <v>2.0831572699560041E-3</v>
      </c>
      <c r="AV481">
        <v>1.7785965598201864E-3</v>
      </c>
      <c r="AW481">
        <v>3.1591230928905071E-3</v>
      </c>
      <c r="AX481">
        <v>3.5780998138204242E-4</v>
      </c>
      <c r="AY481">
        <v>4.1730824922182425E-4</v>
      </c>
      <c r="BB481">
        <v>4.7741793297579709E-2</v>
      </c>
      <c r="BC481">
        <v>3.3938924506785359E-2</v>
      </c>
      <c r="BE481">
        <v>77839.19071676211</v>
      </c>
      <c r="BF481">
        <v>16.146297334790994</v>
      </c>
      <c r="BG481">
        <v>79288.575771161253</v>
      </c>
      <c r="BH481">
        <v>16.005184066079543</v>
      </c>
      <c r="BI481">
        <v>-1449.385054399143</v>
      </c>
      <c r="BJ481">
        <v>0.14111326871145025</v>
      </c>
    </row>
    <row r="482" spans="3:62" x14ac:dyDescent="0.2">
      <c r="C482" s="121">
        <v>72186.303714544367</v>
      </c>
      <c r="D482">
        <v>16.157229022821586</v>
      </c>
      <c r="E482" s="121">
        <v>73246.572592086726</v>
      </c>
      <c r="F482" s="121">
        <v>16.02661989857512</v>
      </c>
      <c r="G482" s="121">
        <v>-1060.2688775423594</v>
      </c>
      <c r="H482" s="121">
        <v>0.13060912424646531</v>
      </c>
      <c r="N482" s="121"/>
      <c r="O482" s="121"/>
      <c r="P482" s="121"/>
      <c r="R482">
        <v>305.54622690764347</v>
      </c>
      <c r="S482">
        <v>69.398396276282682</v>
      </c>
      <c r="T482">
        <v>226.04815897215823</v>
      </c>
      <c r="U482">
        <v>77.566233703262682</v>
      </c>
      <c r="X482">
        <v>0.87592123238586939</v>
      </c>
      <c r="Y482">
        <v>0.42461996509895905</v>
      </c>
      <c r="Z482">
        <v>0.75525756711157699</v>
      </c>
      <c r="AA482">
        <v>0.85874417955285764</v>
      </c>
      <c r="AB482">
        <v>0.87123528683181939</v>
      </c>
      <c r="AC482">
        <v>0.68374734178067709</v>
      </c>
      <c r="AD482">
        <v>0.66471862019178429</v>
      </c>
      <c r="AE482">
        <v>0.89796468462288148</v>
      </c>
      <c r="AH482">
        <v>0.13845122132354415</v>
      </c>
      <c r="AI482">
        <v>3.4111080899098312E-2</v>
      </c>
      <c r="AJ482">
        <v>4.0041272864132615E-2</v>
      </c>
      <c r="AK482">
        <v>0.10371109563451397</v>
      </c>
      <c r="AL482">
        <v>0.11815477078614323</v>
      </c>
      <c r="AM482">
        <v>2.3165041937519559E-2</v>
      </c>
      <c r="AN482">
        <v>0.25702825114803751</v>
      </c>
      <c r="AO482">
        <v>0.14679408827813034</v>
      </c>
      <c r="AR482">
        <v>9.6891109492569516E-4</v>
      </c>
      <c r="AS482">
        <v>4.4972899093667085E-3</v>
      </c>
      <c r="AT482">
        <v>4.8140247782650679E-3</v>
      </c>
      <c r="AU482">
        <v>1.8922939195278423E-3</v>
      </c>
      <c r="AV482">
        <v>1.9162907253019773E-3</v>
      </c>
      <c r="AW482">
        <v>3.0241496420946512E-3</v>
      </c>
      <c r="AX482">
        <v>5.6332593683905419E-4</v>
      </c>
      <c r="AY482">
        <v>6.3127429197862295E-4</v>
      </c>
      <c r="BB482">
        <v>4.6624935559795987E-2</v>
      </c>
      <c r="BC482">
        <v>4.05241836342645E-2</v>
      </c>
      <c r="BE482">
        <v>72186.303714544367</v>
      </c>
      <c r="BF482">
        <v>16.157229022821586</v>
      </c>
      <c r="BG482">
        <v>73246.572592086726</v>
      </c>
      <c r="BH482">
        <v>16.02661989857512</v>
      </c>
      <c r="BI482">
        <v>-1060.2688775423594</v>
      </c>
      <c r="BJ482">
        <v>0.13060912424646531</v>
      </c>
    </row>
    <row r="483" spans="3:62" x14ac:dyDescent="0.2">
      <c r="C483" s="121">
        <v>69305.735730525819</v>
      </c>
      <c r="D483">
        <v>17.24847308584992</v>
      </c>
      <c r="E483" s="121">
        <v>72192.778717198889</v>
      </c>
      <c r="F483" s="121">
        <v>17.092859899706941</v>
      </c>
      <c r="G483" s="121">
        <v>-2887.0429866730701</v>
      </c>
      <c r="H483" s="121">
        <v>0.15561318614297903</v>
      </c>
      <c r="N483" s="121"/>
      <c r="O483" s="121"/>
      <c r="P483" s="121"/>
      <c r="R483">
        <v>190.1281614766414</v>
      </c>
      <c r="S483">
        <v>62.204873092078422</v>
      </c>
      <c r="T483">
        <v>246.26647702096483</v>
      </c>
      <c r="U483">
        <v>81.496359519896359</v>
      </c>
      <c r="X483">
        <v>0.69084525052626999</v>
      </c>
      <c r="Y483">
        <v>0.59144148798582763</v>
      </c>
      <c r="Z483">
        <v>0.90456803344852843</v>
      </c>
      <c r="AA483">
        <v>0.8926182649086889</v>
      </c>
      <c r="AB483">
        <v>0.71036540925727498</v>
      </c>
      <c r="AC483">
        <v>0.54898160094578663</v>
      </c>
      <c r="AD483">
        <v>0.74622663897524999</v>
      </c>
      <c r="AE483">
        <v>0.8416716035637789</v>
      </c>
      <c r="AH483">
        <v>8.1286680224236241E-2</v>
      </c>
      <c r="AI483">
        <v>2.8504987531690618E-2</v>
      </c>
      <c r="AJ483">
        <v>0.10617867962303285</v>
      </c>
      <c r="AK483">
        <v>8.7126040365551827E-2</v>
      </c>
      <c r="AL483">
        <v>7.3651444921210785E-2</v>
      </c>
      <c r="AM483">
        <v>0.15880600506661724</v>
      </c>
      <c r="AN483">
        <v>0.12676131115926359</v>
      </c>
      <c r="AO483">
        <v>0.17268068590272123</v>
      </c>
      <c r="AR483">
        <v>8.7955945754226951E-4</v>
      </c>
      <c r="AS483">
        <v>4.8679842399208528E-3</v>
      </c>
      <c r="AT483">
        <v>4.8231046006752525E-3</v>
      </c>
      <c r="AU483">
        <v>1.9970334238078591E-3</v>
      </c>
      <c r="AV483">
        <v>2.2158978550431696E-3</v>
      </c>
      <c r="AW483">
        <v>3.2359088708006729E-3</v>
      </c>
      <c r="AX483">
        <v>4.1705217034437858E-4</v>
      </c>
      <c r="AY483">
        <v>3.6626822487993558E-4</v>
      </c>
      <c r="BB483">
        <v>5.2328649340824707E-2</v>
      </c>
      <c r="BC483">
        <v>3.8697181878498105E-2</v>
      </c>
      <c r="BE483">
        <v>69305.735730525819</v>
      </c>
      <c r="BF483">
        <v>17.24847308584992</v>
      </c>
      <c r="BG483">
        <v>72192.778717198889</v>
      </c>
      <c r="BH483">
        <v>17.092859899706941</v>
      </c>
      <c r="BI483">
        <v>-2887.0429866730701</v>
      </c>
      <c r="BJ483">
        <v>0.15561318614297903</v>
      </c>
    </row>
    <row r="484" spans="3:62" x14ac:dyDescent="0.2">
      <c r="C484" s="121">
        <v>70238.18499897141</v>
      </c>
      <c r="D484">
        <v>14.348874082387651</v>
      </c>
      <c r="E484" s="121">
        <v>71108.106373594652</v>
      </c>
      <c r="F484" s="121">
        <v>14.297594746507198</v>
      </c>
      <c r="G484" s="121">
        <v>-869.92137462324172</v>
      </c>
      <c r="H484" s="121">
        <v>5.1279335880453303E-2</v>
      </c>
      <c r="N484" s="121"/>
      <c r="O484" s="121"/>
      <c r="P484" s="121"/>
      <c r="R484">
        <v>248.17810031601849</v>
      </c>
      <c r="S484">
        <v>51.70578967017066</v>
      </c>
      <c r="T484">
        <v>224.81518313305932</v>
      </c>
      <c r="U484">
        <v>94.998393495374955</v>
      </c>
      <c r="X484">
        <v>0.74843446637555766</v>
      </c>
      <c r="Y484">
        <v>0.77844858083134072</v>
      </c>
      <c r="Z484">
        <v>0.59341147205990608</v>
      </c>
      <c r="AA484">
        <v>0.43236454609740993</v>
      </c>
      <c r="AB484">
        <v>0.80542452462675196</v>
      </c>
      <c r="AC484">
        <v>0.72197853878866081</v>
      </c>
      <c r="AD484">
        <v>0.72287056546673345</v>
      </c>
      <c r="AE484">
        <v>0.68057069083148714</v>
      </c>
      <c r="AH484">
        <v>0.13355823430935865</v>
      </c>
      <c r="AI484">
        <v>2.8971415926083322E-2</v>
      </c>
      <c r="AJ484">
        <v>1.9700927794669476E-2</v>
      </c>
      <c r="AK484">
        <v>9.4729116921537071E-2</v>
      </c>
      <c r="AL484">
        <v>0.11709084140866011</v>
      </c>
      <c r="AM484">
        <v>4.9406387350986458E-2</v>
      </c>
      <c r="AN484">
        <v>0.18300143560672377</v>
      </c>
      <c r="AO484">
        <v>0.11931478085769187</v>
      </c>
      <c r="AR484">
        <v>9.8606463231787345E-4</v>
      </c>
      <c r="AS484">
        <v>4.4749562818357808E-3</v>
      </c>
      <c r="AT484">
        <v>5.0159548283528199E-3</v>
      </c>
      <c r="AU484">
        <v>1.9693737421198013E-3</v>
      </c>
      <c r="AV484">
        <v>1.929780966271374E-3</v>
      </c>
      <c r="AW484">
        <v>3.5462043006786459E-3</v>
      </c>
      <c r="AX484">
        <v>4.15273287815765E-4</v>
      </c>
      <c r="AY484">
        <v>4.805338361216771E-4</v>
      </c>
      <c r="BB484">
        <v>4.7363299979348232E-2</v>
      </c>
      <c r="BC484">
        <v>3.507574115420159E-2</v>
      </c>
      <c r="BE484">
        <v>70238.18499897141</v>
      </c>
      <c r="BF484">
        <v>14.348874082387651</v>
      </c>
      <c r="BG484">
        <v>71108.106373594652</v>
      </c>
      <c r="BH484">
        <v>14.297594746507198</v>
      </c>
      <c r="BI484">
        <v>-869.92137462324172</v>
      </c>
      <c r="BJ484">
        <v>5.1279335880453303E-2</v>
      </c>
    </row>
    <row r="485" spans="3:62" x14ac:dyDescent="0.2">
      <c r="C485" s="121">
        <v>64771.721881219375</v>
      </c>
      <c r="D485">
        <v>16.738632606854473</v>
      </c>
      <c r="E485" s="121">
        <v>66069.938241815602</v>
      </c>
      <c r="F485" s="121">
        <v>16.636589527693985</v>
      </c>
      <c r="G485" s="121">
        <v>-1298.2163605962269</v>
      </c>
      <c r="H485" s="121">
        <v>0.10204307916048805</v>
      </c>
      <c r="N485" s="121"/>
      <c r="O485" s="121"/>
      <c r="P485" s="121"/>
      <c r="R485">
        <v>238.20936090639398</v>
      </c>
      <c r="S485">
        <v>62.957346311479142</v>
      </c>
      <c r="T485">
        <v>283.50755019273947</v>
      </c>
      <c r="U485">
        <v>87.870387716601684</v>
      </c>
      <c r="X485">
        <v>0.7664986196798047</v>
      </c>
      <c r="Y485">
        <v>0.69702872068948662</v>
      </c>
      <c r="Z485">
        <v>0.6232649422355202</v>
      </c>
      <c r="AA485">
        <v>0.76536686324345571</v>
      </c>
      <c r="AB485">
        <v>0.63116194983989504</v>
      </c>
      <c r="AC485">
        <v>0.79771521947592527</v>
      </c>
      <c r="AD485">
        <v>0.95320882366656423</v>
      </c>
      <c r="AE485">
        <v>0.7854324353933666</v>
      </c>
      <c r="AH485">
        <v>0.13056231847896071</v>
      </c>
      <c r="AI485">
        <v>6.5201170887151938E-2</v>
      </c>
      <c r="AJ485">
        <v>0.23695784023140398</v>
      </c>
      <c r="AK485">
        <v>0.21308862085457159</v>
      </c>
      <c r="AL485">
        <v>0.1553459390473344</v>
      </c>
      <c r="AM485">
        <v>0.18263843437956062</v>
      </c>
      <c r="AN485">
        <v>5.7884887037371047E-2</v>
      </c>
      <c r="AO485">
        <v>0.29343872260189585</v>
      </c>
      <c r="AR485">
        <v>9.0844961971781046E-4</v>
      </c>
      <c r="AS485">
        <v>4.6734168984323698E-3</v>
      </c>
      <c r="AT485">
        <v>5.2180355816091595E-3</v>
      </c>
      <c r="AU485">
        <v>1.8680531595658592E-3</v>
      </c>
      <c r="AV485">
        <v>1.8527018292276919E-3</v>
      </c>
      <c r="AW485">
        <v>3.2587457667251911E-3</v>
      </c>
      <c r="AX485">
        <v>3.2751607996245265E-4</v>
      </c>
      <c r="AY485">
        <v>4.8595235914850043E-4</v>
      </c>
      <c r="BB485">
        <v>4.3475191222190609E-2</v>
      </c>
      <c r="BC485">
        <v>5.7714210489555606E-2</v>
      </c>
      <c r="BE485">
        <v>64771.721881219375</v>
      </c>
      <c r="BF485">
        <v>16.738632606854473</v>
      </c>
      <c r="BG485">
        <v>66069.938241815602</v>
      </c>
      <c r="BH485">
        <v>16.636589527693985</v>
      </c>
      <c r="BI485">
        <v>-1298.2163605962269</v>
      </c>
      <c r="BJ485">
        <v>0.10204307916048805</v>
      </c>
    </row>
    <row r="486" spans="3:62" x14ac:dyDescent="0.2">
      <c r="C486" s="121">
        <v>66805.511557051694</v>
      </c>
      <c r="D486">
        <v>17.592142809568919</v>
      </c>
      <c r="E486" s="121">
        <v>67889.33706836318</v>
      </c>
      <c r="F486" s="121">
        <v>17.515045785361</v>
      </c>
      <c r="G486" s="121">
        <v>-1083.8255113114865</v>
      </c>
      <c r="H486" s="121">
        <v>7.7097024207919418E-2</v>
      </c>
      <c r="N486" s="121"/>
      <c r="O486" s="121"/>
      <c r="P486" s="121"/>
      <c r="R486">
        <v>316.18687387683974</v>
      </c>
      <c r="S486">
        <v>54.666603693447016</v>
      </c>
      <c r="T486">
        <v>209.69853526410054</v>
      </c>
      <c r="U486">
        <v>90.559216470575848</v>
      </c>
      <c r="X486">
        <v>0.88133664586830029</v>
      </c>
      <c r="Y486">
        <v>0.45678979614838389</v>
      </c>
      <c r="Z486">
        <v>0.88056946425695548</v>
      </c>
      <c r="AA486">
        <v>0.66318026976203925</v>
      </c>
      <c r="AB486">
        <v>0.84085774779288514</v>
      </c>
      <c r="AC486">
        <v>0.58400367473721848</v>
      </c>
      <c r="AD486">
        <v>0.83386196349770991</v>
      </c>
      <c r="AE486">
        <v>0.98289369611695565</v>
      </c>
      <c r="AH486">
        <v>0.10468621705396264</v>
      </c>
      <c r="AI486">
        <v>0.15512642599103188</v>
      </c>
      <c r="AJ486">
        <v>0.10058534908753969</v>
      </c>
      <c r="AK486">
        <v>0.10389687807598746</v>
      </c>
      <c r="AL486">
        <v>0.17012827152720278</v>
      </c>
      <c r="AM486">
        <v>4.3882423861492992E-2</v>
      </c>
      <c r="AN486">
        <v>2.1318310126640538E-2</v>
      </c>
      <c r="AO486">
        <v>0.10832470004523131</v>
      </c>
      <c r="AR486">
        <v>7.6237933615853296E-4</v>
      </c>
      <c r="AS486">
        <v>4.7089721594235634E-3</v>
      </c>
      <c r="AT486">
        <v>4.9310436219585909E-3</v>
      </c>
      <c r="AU486">
        <v>2.0154184843250711E-3</v>
      </c>
      <c r="AV486">
        <v>1.7081183910943242E-3</v>
      </c>
      <c r="AW486">
        <v>3.7063067542804085E-3</v>
      </c>
      <c r="AX486">
        <v>3.6035301156437153E-4</v>
      </c>
      <c r="AY486">
        <v>5.5108281386395674E-4</v>
      </c>
      <c r="BB486">
        <v>4.1611184168204016E-2</v>
      </c>
      <c r="BC486">
        <v>8.4845449232489378E-2</v>
      </c>
      <c r="BE486">
        <v>66805.511557051694</v>
      </c>
      <c r="BF486">
        <v>17.592142809568919</v>
      </c>
      <c r="BG486">
        <v>67889.33706836318</v>
      </c>
      <c r="BH486">
        <v>17.515045785361</v>
      </c>
      <c r="BI486">
        <v>-1083.8255113114865</v>
      </c>
      <c r="BJ486">
        <v>7.7097024207919418E-2</v>
      </c>
    </row>
    <row r="487" spans="3:62" x14ac:dyDescent="0.2">
      <c r="C487" s="121">
        <v>71001.248897543948</v>
      </c>
      <c r="D487">
        <v>16.170118765847779</v>
      </c>
      <c r="E487" s="121">
        <v>72861.520972521466</v>
      </c>
      <c r="F487" s="121">
        <v>16.062253525417695</v>
      </c>
      <c r="G487" s="121">
        <v>-1860.2720749775181</v>
      </c>
      <c r="H487" s="121">
        <v>0.10786524043008328</v>
      </c>
      <c r="N487" s="121"/>
      <c r="O487" s="121"/>
      <c r="P487" s="121"/>
      <c r="R487">
        <v>304.74138312867569</v>
      </c>
      <c r="S487">
        <v>71.6072445895729</v>
      </c>
      <c r="T487">
        <v>230.97729732428661</v>
      </c>
      <c r="U487">
        <v>101.63388849539942</v>
      </c>
      <c r="X487">
        <v>0.86024153619939103</v>
      </c>
      <c r="Y487">
        <v>0.89288988329039265</v>
      </c>
      <c r="Z487">
        <v>0.48655323389041905</v>
      </c>
      <c r="AA487">
        <v>0.72617307640973594</v>
      </c>
      <c r="AB487">
        <v>0.82310188444151389</v>
      </c>
      <c r="AC487">
        <v>0.52733372938953993</v>
      </c>
      <c r="AD487">
        <v>0.57572017562916777</v>
      </c>
      <c r="AE487">
        <v>0.65394990031790368</v>
      </c>
      <c r="AH487">
        <v>7.8999417909381142E-2</v>
      </c>
      <c r="AI487">
        <v>0.24977024577825824</v>
      </c>
      <c r="AJ487">
        <v>5.8688954726220044E-2</v>
      </c>
      <c r="AK487">
        <v>0.12791965814302386</v>
      </c>
      <c r="AL487">
        <v>0.173232091888468</v>
      </c>
      <c r="AM487">
        <v>0.18064374739885958</v>
      </c>
      <c r="AN487">
        <v>0.15236871433329136</v>
      </c>
      <c r="AO487">
        <v>6.1234463312322407E-2</v>
      </c>
      <c r="AR487">
        <v>7.8544505176351108E-4</v>
      </c>
      <c r="AS487">
        <v>4.4150130723552153E-3</v>
      </c>
      <c r="AT487">
        <v>4.9719170232500609E-3</v>
      </c>
      <c r="AU487">
        <v>2.1014640610608204E-3</v>
      </c>
      <c r="AV487">
        <v>2.0908161966483041E-3</v>
      </c>
      <c r="AW487">
        <v>3.4085481636997317E-3</v>
      </c>
      <c r="AX487">
        <v>3.9868613605265057E-4</v>
      </c>
      <c r="AY487">
        <v>4.1260680427774286E-4</v>
      </c>
      <c r="BB487">
        <v>4.538387958649838E-2</v>
      </c>
      <c r="BC487">
        <v>2.8437699025260339E-2</v>
      </c>
      <c r="BE487">
        <v>71001.248897543948</v>
      </c>
      <c r="BF487">
        <v>16.170118765847779</v>
      </c>
      <c r="BG487">
        <v>72861.520972521466</v>
      </c>
      <c r="BH487">
        <v>16.062253525417695</v>
      </c>
      <c r="BI487">
        <v>-1860.2720749775181</v>
      </c>
      <c r="BJ487">
        <v>0.10786524043008328</v>
      </c>
    </row>
    <row r="488" spans="3:62" x14ac:dyDescent="0.2">
      <c r="C488" s="121">
        <v>67242.785580680807</v>
      </c>
      <c r="D488">
        <v>16.012755715958871</v>
      </c>
      <c r="E488" s="121">
        <v>69708.756322508823</v>
      </c>
      <c r="F488" s="121">
        <v>15.806776550371234</v>
      </c>
      <c r="G488" s="121">
        <v>-2465.9707418280159</v>
      </c>
      <c r="H488" s="121">
        <v>0.20597916558763707</v>
      </c>
      <c r="N488" s="121"/>
      <c r="O488" s="121"/>
      <c r="P488" s="121"/>
      <c r="R488">
        <v>151.80478717089423</v>
      </c>
      <c r="S488">
        <v>47.531754497651619</v>
      </c>
      <c r="T488">
        <v>236.83570917568858</v>
      </c>
      <c r="U488">
        <v>72.59727314052482</v>
      </c>
      <c r="X488">
        <v>0.84604161651195875</v>
      </c>
      <c r="Y488">
        <v>0.81326538696878914</v>
      </c>
      <c r="Z488">
        <v>0.63437115476595385</v>
      </c>
      <c r="AA488">
        <v>0.82813338513922419</v>
      </c>
      <c r="AB488">
        <v>0.7226202531737228</v>
      </c>
      <c r="AC488">
        <v>0.64695435411329494</v>
      </c>
      <c r="AD488">
        <v>0.79743243215727033</v>
      </c>
      <c r="AE488">
        <v>0.66411882220221663</v>
      </c>
      <c r="AH488">
        <v>0.26577163984514485</v>
      </c>
      <c r="AI488">
        <v>5.7978008266602821E-2</v>
      </c>
      <c r="AJ488">
        <v>0.24350698901586332</v>
      </c>
      <c r="AK488">
        <v>6.9007701364775187E-2</v>
      </c>
      <c r="AL488">
        <v>9.2695598033591509E-2</v>
      </c>
      <c r="AM488">
        <v>4.9462243932308136E-2</v>
      </c>
      <c r="AN488">
        <v>0.11880821775013584</v>
      </c>
      <c r="AO488">
        <v>0.22017282361157908</v>
      </c>
      <c r="AR488">
        <v>8.1359951335026022E-4</v>
      </c>
      <c r="AS488">
        <v>4.5687623731909266E-3</v>
      </c>
      <c r="AT488">
        <v>4.4776703357693112E-3</v>
      </c>
      <c r="AU488">
        <v>1.9050860085401344E-3</v>
      </c>
      <c r="AV488">
        <v>2.0538704881043479E-3</v>
      </c>
      <c r="AW488">
        <v>3.4022902777052252E-3</v>
      </c>
      <c r="AX488">
        <v>4.4289977122269342E-4</v>
      </c>
      <c r="AY488">
        <v>4.4508556470218612E-4</v>
      </c>
      <c r="BB488">
        <v>5.0921281600765589E-2</v>
      </c>
      <c r="BC488">
        <v>2.3210840832178198E-2</v>
      </c>
      <c r="BE488">
        <v>67242.785580680807</v>
      </c>
      <c r="BF488">
        <v>16.012755715958871</v>
      </c>
      <c r="BG488">
        <v>69708.756322508823</v>
      </c>
      <c r="BH488">
        <v>15.806776550371234</v>
      </c>
      <c r="BI488">
        <v>-2465.9707418280159</v>
      </c>
      <c r="BJ488">
        <v>0.20597916558763707</v>
      </c>
    </row>
    <row r="489" spans="3:62" x14ac:dyDescent="0.2">
      <c r="C489" s="121">
        <v>67353.697073616582</v>
      </c>
      <c r="D489">
        <v>18.582042830656299</v>
      </c>
      <c r="E489" s="121">
        <v>69614.220545160686</v>
      </c>
      <c r="F489" s="121">
        <v>18.436890346202869</v>
      </c>
      <c r="G489" s="121">
        <v>-2260.5234715441038</v>
      </c>
      <c r="H489" s="121">
        <v>0.14515248445342976</v>
      </c>
      <c r="N489" s="121"/>
      <c r="O489" s="121"/>
      <c r="P489" s="121"/>
      <c r="R489">
        <v>185.32431121920746</v>
      </c>
      <c r="S489">
        <v>67.000720048253513</v>
      </c>
      <c r="T489">
        <v>283.35126244061024</v>
      </c>
      <c r="U489">
        <v>107.75759962189443</v>
      </c>
      <c r="X489">
        <v>0.62435458394233645</v>
      </c>
      <c r="Y489">
        <v>0.83451732911301546</v>
      </c>
      <c r="Z489">
        <v>0.37097537435369471</v>
      </c>
      <c r="AA489">
        <v>0.82162201806832091</v>
      </c>
      <c r="AB489">
        <v>0.95397468159755605</v>
      </c>
      <c r="AC489">
        <v>0.80679926375160571</v>
      </c>
      <c r="AD489">
        <v>0.67472840428154357</v>
      </c>
      <c r="AE489">
        <v>0.6774888784895402</v>
      </c>
      <c r="AH489">
        <v>0.14757551471816965</v>
      </c>
      <c r="AI489">
        <v>0.24002072618026449</v>
      </c>
      <c r="AJ489">
        <v>7.3153593972593134E-2</v>
      </c>
      <c r="AK489">
        <v>0.17054906335117481</v>
      </c>
      <c r="AL489">
        <v>0.10223627658415402</v>
      </c>
      <c r="AM489">
        <v>1.7971071919141268E-2</v>
      </c>
      <c r="AN489">
        <v>7.5104599422532003E-2</v>
      </c>
      <c r="AO489">
        <v>0.22066463820093885</v>
      </c>
      <c r="AR489">
        <v>9.8743629107300723E-4</v>
      </c>
      <c r="AS489">
        <v>4.1202053688296674E-3</v>
      </c>
      <c r="AT489">
        <v>4.6365807943762527E-3</v>
      </c>
      <c r="AU489">
        <v>2.0308140789353502E-3</v>
      </c>
      <c r="AV489">
        <v>2.1382728195377121E-3</v>
      </c>
      <c r="AW489">
        <v>3.1692342061394874E-3</v>
      </c>
      <c r="AX489">
        <v>4.4801915107606227E-4</v>
      </c>
      <c r="AY489">
        <v>3.518583285871522E-4</v>
      </c>
      <c r="BB489">
        <v>4.5724917136439266E-2</v>
      </c>
      <c r="BC489">
        <v>8.9258527486902432E-3</v>
      </c>
      <c r="BE489">
        <v>67353.697073616582</v>
      </c>
      <c r="BF489">
        <v>18.582042830656299</v>
      </c>
      <c r="BG489">
        <v>69614.220545160686</v>
      </c>
      <c r="BH489">
        <v>18.436890346202869</v>
      </c>
      <c r="BI489">
        <v>-2260.5234715441038</v>
      </c>
      <c r="BJ489">
        <v>0.14515248445342976</v>
      </c>
    </row>
    <row r="490" spans="3:62" x14ac:dyDescent="0.2">
      <c r="C490" s="121">
        <v>62996.383503873338</v>
      </c>
      <c r="D490">
        <v>16.72350821436774</v>
      </c>
      <c r="E490" s="121">
        <v>64208.482045917248</v>
      </c>
      <c r="F490" s="121">
        <v>16.637842845310576</v>
      </c>
      <c r="G490" s="121">
        <v>-1212.0985420439101</v>
      </c>
      <c r="H490" s="121">
        <v>8.5665369057164042E-2</v>
      </c>
      <c r="N490" s="121"/>
      <c r="O490" s="121"/>
      <c r="P490" s="121"/>
      <c r="R490">
        <v>183.0174723708229</v>
      </c>
      <c r="S490">
        <v>70.992123856456004</v>
      </c>
      <c r="T490">
        <v>266.11377415497896</v>
      </c>
      <c r="U490">
        <v>119.30388742546091</v>
      </c>
      <c r="X490">
        <v>0.52259107661469839</v>
      </c>
      <c r="Y490">
        <v>0.71126379751427049</v>
      </c>
      <c r="Z490">
        <v>0.80473513675914521</v>
      </c>
      <c r="AA490">
        <v>0.49408829784998998</v>
      </c>
      <c r="AB490">
        <v>0.81189219485886188</v>
      </c>
      <c r="AC490">
        <v>0.74348219748822109</v>
      </c>
      <c r="AD490">
        <v>0.66648578072769971</v>
      </c>
      <c r="AE490">
        <v>0.79782919732545299</v>
      </c>
      <c r="AH490">
        <v>7.7155889175796522E-2</v>
      </c>
      <c r="AI490">
        <v>0.12643964086240445</v>
      </c>
      <c r="AJ490">
        <v>0.11165010234076789</v>
      </c>
      <c r="AK490">
        <v>0.16705739676487663</v>
      </c>
      <c r="AL490">
        <v>6.6458911086267447E-2</v>
      </c>
      <c r="AM490">
        <v>2.336155836899656E-2</v>
      </c>
      <c r="AN490">
        <v>4.0575972454279685E-2</v>
      </c>
      <c r="AO490">
        <v>7.2702519390163367E-2</v>
      </c>
      <c r="AR490">
        <v>7.9930766045112291E-4</v>
      </c>
      <c r="AS490">
        <v>4.4082002446923074E-3</v>
      </c>
      <c r="AT490">
        <v>5.2180459167983084E-3</v>
      </c>
      <c r="AU490">
        <v>1.9152061862929119E-3</v>
      </c>
      <c r="AV490">
        <v>1.9239659415858908E-3</v>
      </c>
      <c r="AW490">
        <v>3.5018507513800978E-3</v>
      </c>
      <c r="AX490">
        <v>3.8908241838219061E-4</v>
      </c>
      <c r="AY490">
        <v>5.1024952838951698E-4</v>
      </c>
      <c r="BB490">
        <v>3.8063682464726925E-2</v>
      </c>
      <c r="BC490">
        <v>1.0762513185310293E-2</v>
      </c>
      <c r="BE490">
        <v>62996.383503873338</v>
      </c>
      <c r="BF490">
        <v>16.72350821436774</v>
      </c>
      <c r="BG490">
        <v>64208.482045917248</v>
      </c>
      <c r="BH490">
        <v>16.637842845310576</v>
      </c>
      <c r="BI490">
        <v>-1212.0985420439101</v>
      </c>
      <c r="BJ490">
        <v>8.5665369057164042E-2</v>
      </c>
    </row>
    <row r="491" spans="3:62" x14ac:dyDescent="0.2">
      <c r="C491" s="121">
        <v>74835.798321499227</v>
      </c>
      <c r="D491">
        <v>16.249948698393791</v>
      </c>
      <c r="E491" s="121">
        <v>76692.937049670843</v>
      </c>
      <c r="F491" s="121">
        <v>16.120868611557633</v>
      </c>
      <c r="G491" s="121">
        <v>-1857.1387281716161</v>
      </c>
      <c r="H491" s="121">
        <v>0.1290800868361579</v>
      </c>
      <c r="N491" s="121"/>
      <c r="O491" s="121"/>
      <c r="P491" s="121"/>
      <c r="R491">
        <v>219.6723129176485</v>
      </c>
      <c r="S491">
        <v>58.172443702690721</v>
      </c>
      <c r="T491">
        <v>292.82706560650519</v>
      </c>
      <c r="U491">
        <v>96.061998336960997</v>
      </c>
      <c r="X491">
        <v>0.79013469946891857</v>
      </c>
      <c r="Y491">
        <v>0.83907456740518693</v>
      </c>
      <c r="Z491">
        <v>0.55950727586475979</v>
      </c>
      <c r="AA491">
        <v>0.7208912107999772</v>
      </c>
      <c r="AB491">
        <v>0.83382740380402964</v>
      </c>
      <c r="AC491">
        <v>0.85773913764178589</v>
      </c>
      <c r="AD491">
        <v>0.82302507253157686</v>
      </c>
      <c r="AE491">
        <v>0.75642588595231675</v>
      </c>
      <c r="AH491">
        <v>0.11275746869195857</v>
      </c>
      <c r="AI491">
        <v>5.4141869279985544E-2</v>
      </c>
      <c r="AJ491">
        <v>0.10480126530053047</v>
      </c>
      <c r="AK491">
        <v>0.11685796744208776</v>
      </c>
      <c r="AL491">
        <v>0.11801304627554399</v>
      </c>
      <c r="AM491">
        <v>2.9201432828354523E-2</v>
      </c>
      <c r="AN491">
        <v>2.9542822124288826E-2</v>
      </c>
      <c r="AO491">
        <v>0.14528532694694773</v>
      </c>
      <c r="AR491">
        <v>9.8464762889283186E-4</v>
      </c>
      <c r="AS491">
        <v>4.4482373955489294E-3</v>
      </c>
      <c r="AT491">
        <v>4.6214576410287846E-3</v>
      </c>
      <c r="AU491">
        <v>1.9210227046355739E-3</v>
      </c>
      <c r="AV491">
        <v>2.0511702940452237E-3</v>
      </c>
      <c r="AW491">
        <v>3.3097370159288894E-3</v>
      </c>
      <c r="AX491">
        <v>3.895504882953504E-4</v>
      </c>
      <c r="AY491">
        <v>5.2068922369952197E-4</v>
      </c>
      <c r="BB491">
        <v>5.1544306739983559E-2</v>
      </c>
      <c r="BC491">
        <v>5.576954225547015E-2</v>
      </c>
      <c r="BE491">
        <v>74835.798321499227</v>
      </c>
      <c r="BF491">
        <v>16.249948698393791</v>
      </c>
      <c r="BG491">
        <v>76692.937049670843</v>
      </c>
      <c r="BH491">
        <v>16.120868611557633</v>
      </c>
      <c r="BI491">
        <v>-1857.1387281716161</v>
      </c>
      <c r="BJ491">
        <v>0.1290800868361579</v>
      </c>
    </row>
    <row r="492" spans="3:62" x14ac:dyDescent="0.2">
      <c r="C492" s="121">
        <v>69472.359481631531</v>
      </c>
      <c r="D492">
        <v>18.303734774193266</v>
      </c>
      <c r="E492" s="121">
        <v>71415.67387352878</v>
      </c>
      <c r="F492" s="121">
        <v>18.16858800226246</v>
      </c>
      <c r="G492" s="121">
        <v>-1943.3143918972492</v>
      </c>
      <c r="H492" s="121">
        <v>0.13514677193080615</v>
      </c>
      <c r="N492" s="121"/>
      <c r="O492" s="121"/>
      <c r="P492" s="121"/>
      <c r="R492">
        <v>274.43382360716907</v>
      </c>
      <c r="S492">
        <v>63.404825207492557</v>
      </c>
      <c r="T492">
        <v>268.35796581210178</v>
      </c>
      <c r="U492">
        <v>97.39879073451327</v>
      </c>
      <c r="X492">
        <v>0.59943661653588498</v>
      </c>
      <c r="Y492">
        <v>0.69907102926766307</v>
      </c>
      <c r="Z492">
        <v>0.54958692219786254</v>
      </c>
      <c r="AA492">
        <v>0.91472412406510983</v>
      </c>
      <c r="AB492">
        <v>0.7040731793981535</v>
      </c>
      <c r="AC492">
        <v>0.80364020798034896</v>
      </c>
      <c r="AD492">
        <v>0.82825027738462043</v>
      </c>
      <c r="AE492">
        <v>0.81889906458624129</v>
      </c>
      <c r="AH492">
        <v>0.11917374977405715</v>
      </c>
      <c r="AI492">
        <v>0.17725067154896035</v>
      </c>
      <c r="AJ492">
        <v>2.4055320186617823E-2</v>
      </c>
      <c r="AK492">
        <v>7.0015490490737631E-2</v>
      </c>
      <c r="AL492">
        <v>3.6954713665406591E-2</v>
      </c>
      <c r="AM492">
        <v>6.2322260918568739E-2</v>
      </c>
      <c r="AN492">
        <v>0.33714917504324005</v>
      </c>
      <c r="AO492">
        <v>0.26285220050331681</v>
      </c>
      <c r="AR492">
        <v>1.2607102917808755E-3</v>
      </c>
      <c r="AS492">
        <v>4.7347260032968297E-3</v>
      </c>
      <c r="AT492">
        <v>4.8372608247991226E-3</v>
      </c>
      <c r="AU492">
        <v>1.9634765970767891E-3</v>
      </c>
      <c r="AV492">
        <v>2.0602913556677649E-3</v>
      </c>
      <c r="AW492">
        <v>3.1092923373243547E-3</v>
      </c>
      <c r="AX492">
        <v>4.4572061482273106E-4</v>
      </c>
      <c r="AY492">
        <v>4.5064540793238184E-4</v>
      </c>
      <c r="BB492">
        <v>5.3856421987211189E-2</v>
      </c>
      <c r="BC492">
        <v>6.1450540065386527E-2</v>
      </c>
      <c r="BE492">
        <v>69472.359481631531</v>
      </c>
      <c r="BF492">
        <v>18.303734774193266</v>
      </c>
      <c r="BG492">
        <v>71415.67387352878</v>
      </c>
      <c r="BH492">
        <v>18.16858800226246</v>
      </c>
      <c r="BI492">
        <v>-1943.3143918972492</v>
      </c>
      <c r="BJ492">
        <v>0.13514677193080615</v>
      </c>
    </row>
    <row r="493" spans="3:62" x14ac:dyDescent="0.2">
      <c r="C493" s="121">
        <v>67951.062431405822</v>
      </c>
      <c r="D493">
        <v>16.235830988043247</v>
      </c>
      <c r="E493" s="121">
        <v>70641.733925942986</v>
      </c>
      <c r="F493" s="121">
        <v>16.02740885322336</v>
      </c>
      <c r="G493" s="121">
        <v>-2690.6714945371641</v>
      </c>
      <c r="H493" s="121">
        <v>0.20842213481988736</v>
      </c>
      <c r="N493" s="121"/>
      <c r="O493" s="121"/>
      <c r="P493" s="121"/>
      <c r="R493">
        <v>267.95128202667405</v>
      </c>
      <c r="S493">
        <v>63.981080293073212</v>
      </c>
      <c r="T493">
        <v>201.69593065570865</v>
      </c>
      <c r="U493">
        <v>96.910751710397932</v>
      </c>
      <c r="X493">
        <v>0.63975326148660727</v>
      </c>
      <c r="Y493">
        <v>0.75650739021703195</v>
      </c>
      <c r="Z493">
        <v>0.75932557588399763</v>
      </c>
      <c r="AA493">
        <v>0.68643128336738402</v>
      </c>
      <c r="AB493">
        <v>0.72344743795404265</v>
      </c>
      <c r="AC493">
        <v>0.57460309760150796</v>
      </c>
      <c r="AD493">
        <v>0.54903280489594053</v>
      </c>
      <c r="AE493">
        <v>0.9195005062724686</v>
      </c>
      <c r="AH493">
        <v>7.5390144377421975E-2</v>
      </c>
      <c r="AI493">
        <v>1.5014173428706479E-2</v>
      </c>
      <c r="AJ493">
        <v>0.17571980039148116</v>
      </c>
      <c r="AK493">
        <v>0.21965870797898202</v>
      </c>
      <c r="AL493">
        <v>1.8708546142609528E-2</v>
      </c>
      <c r="AM493">
        <v>4.1636804038445163E-2</v>
      </c>
      <c r="AN493">
        <v>0.34630598654713585</v>
      </c>
      <c r="AO493">
        <v>3.8294530845974117E-2</v>
      </c>
      <c r="AR493">
        <v>8.4806390083758327E-4</v>
      </c>
      <c r="AS493">
        <v>4.2584316206205263E-3</v>
      </c>
      <c r="AT493">
        <v>5.0228571925122756E-3</v>
      </c>
      <c r="AU493">
        <v>2.0289148990128014E-3</v>
      </c>
      <c r="AV493">
        <v>1.9963251812387109E-3</v>
      </c>
      <c r="AW493">
        <v>3.0436217554886602E-3</v>
      </c>
      <c r="AX493">
        <v>3.4761596464004087E-4</v>
      </c>
      <c r="AY493">
        <v>4.7287873134249647E-4</v>
      </c>
      <c r="BB493">
        <v>5.0904431601673794E-2</v>
      </c>
      <c r="BC493">
        <v>2.9178533177856868E-2</v>
      </c>
      <c r="BE493">
        <v>67951.062431405822</v>
      </c>
      <c r="BF493">
        <v>16.235830988043247</v>
      </c>
      <c r="BG493">
        <v>70641.733925942986</v>
      </c>
      <c r="BH493">
        <v>16.02740885322336</v>
      </c>
      <c r="BI493">
        <v>-2690.6714945371641</v>
      </c>
      <c r="BJ493">
        <v>0.20842213481988736</v>
      </c>
    </row>
    <row r="494" spans="3:62" x14ac:dyDescent="0.2">
      <c r="C494" s="121">
        <v>72707.99845953648</v>
      </c>
      <c r="D494">
        <v>16.443065611541325</v>
      </c>
      <c r="E494" s="121">
        <v>75114.266959074273</v>
      </c>
      <c r="F494" s="121">
        <v>16.29518825032423</v>
      </c>
      <c r="G494" s="121">
        <v>-2406.2684995377931</v>
      </c>
      <c r="H494" s="121">
        <v>0.14787736121709472</v>
      </c>
      <c r="N494" s="121"/>
      <c r="O494" s="121"/>
      <c r="P494" s="121"/>
      <c r="R494">
        <v>57.373384331012574</v>
      </c>
      <c r="S494">
        <v>56.303719859827986</v>
      </c>
      <c r="T494">
        <v>229.63680501054765</v>
      </c>
      <c r="U494">
        <v>82.07427407864175</v>
      </c>
      <c r="X494">
        <v>0.80729965695781514</v>
      </c>
      <c r="Y494">
        <v>0.79969186265610204</v>
      </c>
      <c r="Z494">
        <v>0.70136280131884576</v>
      </c>
      <c r="AA494">
        <v>0.81088884792784555</v>
      </c>
      <c r="AB494">
        <v>0.61399640651663423</v>
      </c>
      <c r="AC494">
        <v>0.79676032567619248</v>
      </c>
      <c r="AD494">
        <v>0.75089329401097982</v>
      </c>
      <c r="AE494">
        <v>0.79293151699569653</v>
      </c>
      <c r="AH494">
        <v>9.5953633669901617E-2</v>
      </c>
      <c r="AI494">
        <v>5.7612828350782519E-2</v>
      </c>
      <c r="AJ494">
        <v>8.7279967033904837E-2</v>
      </c>
      <c r="AK494">
        <v>0.10470632997957008</v>
      </c>
      <c r="AL494">
        <v>8.4717455953911891E-2</v>
      </c>
      <c r="AM494">
        <v>0.14420773178009261</v>
      </c>
      <c r="AN494">
        <v>6.8939681941996511E-2</v>
      </c>
      <c r="AO494">
        <v>6.2331373775440291E-2</v>
      </c>
      <c r="AR494">
        <v>8.0106409280500618E-4</v>
      </c>
      <c r="AS494">
        <v>4.5114472554680374E-3</v>
      </c>
      <c r="AT494">
        <v>5.5218424446265013E-3</v>
      </c>
      <c r="AU494">
        <v>1.9114416256757365E-3</v>
      </c>
      <c r="AV494">
        <v>1.872721148885183E-3</v>
      </c>
      <c r="AW494">
        <v>3.5874793954450146E-3</v>
      </c>
      <c r="AX494">
        <v>4.1111598710630304E-4</v>
      </c>
      <c r="AY494">
        <v>4.7739164165572223E-4</v>
      </c>
      <c r="BB494">
        <v>4.7288724826434696E-2</v>
      </c>
      <c r="BC494">
        <v>9.246873448235593E-2</v>
      </c>
      <c r="BE494">
        <v>72707.99845953648</v>
      </c>
      <c r="BF494">
        <v>16.443065611541325</v>
      </c>
      <c r="BG494">
        <v>75114.266959074273</v>
      </c>
      <c r="BH494">
        <v>16.29518825032423</v>
      </c>
      <c r="BI494">
        <v>-2406.2684995377931</v>
      </c>
      <c r="BJ494">
        <v>0.14787736121709472</v>
      </c>
    </row>
    <row r="495" spans="3:62" x14ac:dyDescent="0.2">
      <c r="C495" s="121">
        <v>66831.557242220297</v>
      </c>
      <c r="D495">
        <v>16.290161981136851</v>
      </c>
      <c r="E495" s="121">
        <v>68838.169484553873</v>
      </c>
      <c r="F495" s="121">
        <v>16.111094768505108</v>
      </c>
      <c r="G495" s="121">
        <v>-2006.6122423335764</v>
      </c>
      <c r="H495" s="121">
        <v>0.17906721263174319</v>
      </c>
      <c r="N495" s="121"/>
      <c r="O495" s="121"/>
      <c r="P495" s="121"/>
      <c r="R495">
        <v>254.03282704326679</v>
      </c>
      <c r="S495">
        <v>69.320194668260669</v>
      </c>
      <c r="T495">
        <v>292.99715510959101</v>
      </c>
      <c r="U495">
        <v>86.941807671274788</v>
      </c>
      <c r="X495">
        <v>0.7523757214168848</v>
      </c>
      <c r="Y495">
        <v>0.88642878503095579</v>
      </c>
      <c r="Z495">
        <v>0.63292068744401475</v>
      </c>
      <c r="AA495">
        <v>0.78936771007544082</v>
      </c>
      <c r="AB495">
        <v>0.89298540128377191</v>
      </c>
      <c r="AC495">
        <v>0.93198451771386814</v>
      </c>
      <c r="AD495">
        <v>0.54450308499418643</v>
      </c>
      <c r="AE495">
        <v>0.58747227887931019</v>
      </c>
      <c r="AH495">
        <v>2.713008948667528E-2</v>
      </c>
      <c r="AI495">
        <v>0.1125406717791877</v>
      </c>
      <c r="AJ495">
        <v>0.16699544276350964</v>
      </c>
      <c r="AK495">
        <v>0.14781906703605674</v>
      </c>
      <c r="AL495">
        <v>0.12524514468072989</v>
      </c>
      <c r="AM495">
        <v>2.9917995791018615E-2</v>
      </c>
      <c r="AN495">
        <v>0.1227305875455672</v>
      </c>
      <c r="AO495">
        <v>0.1593563229187186</v>
      </c>
      <c r="AR495">
        <v>9.0318025701119353E-4</v>
      </c>
      <c r="AS495">
        <v>4.1214465772929478E-3</v>
      </c>
      <c r="AT495">
        <v>5.2985148216969646E-3</v>
      </c>
      <c r="AU495">
        <v>2.2179578905445752E-3</v>
      </c>
      <c r="AV495">
        <v>2.068098096426052E-3</v>
      </c>
      <c r="AW495">
        <v>3.8115989462396138E-3</v>
      </c>
      <c r="AX495">
        <v>4.2344509877556558E-4</v>
      </c>
      <c r="AY495">
        <v>3.2362561312769192E-4</v>
      </c>
      <c r="BB495">
        <v>5.2426266526194198E-2</v>
      </c>
      <c r="BC495">
        <v>7.9775812417955061E-2</v>
      </c>
      <c r="BE495">
        <v>66831.557242220297</v>
      </c>
      <c r="BF495">
        <v>16.290161981136851</v>
      </c>
      <c r="BG495">
        <v>68838.169484553873</v>
      </c>
      <c r="BH495">
        <v>16.111094768505108</v>
      </c>
      <c r="BI495">
        <v>-2006.6122423335764</v>
      </c>
      <c r="BJ495">
        <v>0.17906721263174319</v>
      </c>
    </row>
    <row r="496" spans="3:62" x14ac:dyDescent="0.2">
      <c r="C496" s="121">
        <v>74196.801805962663</v>
      </c>
      <c r="D496">
        <v>15.301276504423102</v>
      </c>
      <c r="E496" s="121">
        <v>75538.332873703373</v>
      </c>
      <c r="F496" s="121">
        <v>15.18922077831037</v>
      </c>
      <c r="G496" s="121">
        <v>-1341.5310677407106</v>
      </c>
      <c r="H496" s="121">
        <v>0.1120557261127324</v>
      </c>
      <c r="N496" s="121"/>
      <c r="O496" s="121"/>
      <c r="P496" s="121"/>
      <c r="R496">
        <v>224.85080178350441</v>
      </c>
      <c r="S496">
        <v>59.144366596169121</v>
      </c>
      <c r="T496">
        <v>210.95710651427603</v>
      </c>
      <c r="U496">
        <v>94.669513278120775</v>
      </c>
      <c r="X496">
        <v>0.80533274068600513</v>
      </c>
      <c r="Y496">
        <v>0.75727263400773881</v>
      </c>
      <c r="Z496">
        <v>0.79261098684812081</v>
      </c>
      <c r="AA496">
        <v>0.66310749439221195</v>
      </c>
      <c r="AB496">
        <v>0.45732985041125851</v>
      </c>
      <c r="AC496">
        <v>0.77136273309721903</v>
      </c>
      <c r="AD496">
        <v>0.53369592852949921</v>
      </c>
      <c r="AE496">
        <v>0.83888062994538193</v>
      </c>
      <c r="AH496">
        <v>7.5988394694269545E-2</v>
      </c>
      <c r="AI496">
        <v>0.12562563212304911</v>
      </c>
      <c r="AJ496">
        <v>0.1915213239822483</v>
      </c>
      <c r="AK496">
        <v>0.15628580584146501</v>
      </c>
      <c r="AL496">
        <v>0.17082587960871132</v>
      </c>
      <c r="AM496">
        <v>0.31651254185707001</v>
      </c>
      <c r="AN496">
        <v>0.1973336653662785</v>
      </c>
      <c r="AO496">
        <v>0.1423194995026843</v>
      </c>
      <c r="AR496">
        <v>8.5019027642887742E-4</v>
      </c>
      <c r="AS496">
        <v>4.2795195303571999E-3</v>
      </c>
      <c r="AT496">
        <v>5.1956617702911823E-3</v>
      </c>
      <c r="AU496">
        <v>2.3848003988903299E-3</v>
      </c>
      <c r="AV496">
        <v>2.0900179180938228E-3</v>
      </c>
      <c r="AW496">
        <v>3.6055653249041919E-3</v>
      </c>
      <c r="AX496">
        <v>3.7123051287780431E-4</v>
      </c>
      <c r="AY496">
        <v>3.9045258318848623E-4</v>
      </c>
      <c r="BB496">
        <v>4.2358000065243692E-2</v>
      </c>
      <c r="BC496">
        <v>1.9058569270345691E-2</v>
      </c>
      <c r="BE496">
        <v>74196.801805962663</v>
      </c>
      <c r="BF496">
        <v>15.301276504423102</v>
      </c>
      <c r="BG496">
        <v>75538.332873703373</v>
      </c>
      <c r="BH496">
        <v>15.18922077831037</v>
      </c>
      <c r="BI496">
        <v>-1341.5310677407106</v>
      </c>
      <c r="BJ496">
        <v>0.1120557261127324</v>
      </c>
    </row>
    <row r="497" spans="3:62" x14ac:dyDescent="0.2">
      <c r="C497" s="121">
        <v>72296.150971674972</v>
      </c>
      <c r="D497">
        <v>17.948575157544958</v>
      </c>
      <c r="E497" s="121">
        <v>74145.629146457344</v>
      </c>
      <c r="F497" s="121">
        <v>17.866530526498099</v>
      </c>
      <c r="G497" s="121">
        <v>-1849.4781747823727</v>
      </c>
      <c r="H497" s="121">
        <v>8.2044631046858996E-2</v>
      </c>
      <c r="N497" s="121"/>
      <c r="O497" s="121"/>
      <c r="P497" s="121"/>
      <c r="R497">
        <v>240.70018770735115</v>
      </c>
      <c r="S497">
        <v>65.517287550112087</v>
      </c>
      <c r="T497">
        <v>267.43415578569386</v>
      </c>
      <c r="U497">
        <v>85.317631562192332</v>
      </c>
      <c r="X497">
        <v>0.82099692832475091</v>
      </c>
      <c r="Y497">
        <v>0.80974809065419262</v>
      </c>
      <c r="Z497">
        <v>0.76705545192156865</v>
      </c>
      <c r="AA497">
        <v>0.66392219946114028</v>
      </c>
      <c r="AB497">
        <v>0.76990833660243219</v>
      </c>
      <c r="AC497">
        <v>0.66127290101364589</v>
      </c>
      <c r="AD497">
        <v>0.8071370545703378</v>
      </c>
      <c r="AE497">
        <v>0.91418685428577684</v>
      </c>
      <c r="AH497">
        <v>5.4239727685297723E-2</v>
      </c>
      <c r="AI497">
        <v>0.20019726489628598</v>
      </c>
      <c r="AJ497">
        <v>0.1343874808657759</v>
      </c>
      <c r="AK497">
        <v>0.15010580254234518</v>
      </c>
      <c r="AL497">
        <v>9.429651565257724E-2</v>
      </c>
      <c r="AM497">
        <v>5.4275179818849884E-2</v>
      </c>
      <c r="AN497">
        <v>6.874553283528928E-2</v>
      </c>
      <c r="AO497">
        <v>0.11708632161774513</v>
      </c>
      <c r="AR497">
        <v>8.71887593459902E-4</v>
      </c>
      <c r="AS497">
        <v>4.2393096509025984E-3</v>
      </c>
      <c r="AT497">
        <v>4.9534311601338032E-3</v>
      </c>
      <c r="AU497">
        <v>1.9664306858047037E-3</v>
      </c>
      <c r="AV497">
        <v>2.1642365002668695E-3</v>
      </c>
      <c r="AW497">
        <v>3.3731892541183279E-3</v>
      </c>
      <c r="AX497">
        <v>4.478274915786784E-4</v>
      </c>
      <c r="AY497">
        <v>4.6473957270642963E-4</v>
      </c>
      <c r="BB497">
        <v>5.1513241258052789E-2</v>
      </c>
      <c r="BC497">
        <v>1.6313260327610699E-2</v>
      </c>
      <c r="BE497">
        <v>72296.150971674972</v>
      </c>
      <c r="BF497">
        <v>17.948575157544958</v>
      </c>
      <c r="BG497">
        <v>74145.629146457344</v>
      </c>
      <c r="BH497">
        <v>17.866530526498099</v>
      </c>
      <c r="BI497">
        <v>-1849.4781747823727</v>
      </c>
      <c r="BJ497">
        <v>8.2044631046858996E-2</v>
      </c>
    </row>
    <row r="498" spans="3:62" x14ac:dyDescent="0.2">
      <c r="C498" s="121">
        <v>75944.761016669319</v>
      </c>
      <c r="D498">
        <v>15.829970838475049</v>
      </c>
      <c r="E498" s="121">
        <v>77000.573699101849</v>
      </c>
      <c r="F498" s="121">
        <v>15.707927514082419</v>
      </c>
      <c r="G498" s="121">
        <v>-1055.81268243253</v>
      </c>
      <c r="H498" s="121">
        <v>0.12204332439262977</v>
      </c>
      <c r="N498" s="121"/>
      <c r="O498" s="121"/>
      <c r="P498" s="121"/>
      <c r="R498">
        <v>104.8676539673047</v>
      </c>
      <c r="S498">
        <v>66.262405509745378</v>
      </c>
      <c r="T498">
        <v>256.38740181584723</v>
      </c>
      <c r="U498">
        <v>88.623020051115603</v>
      </c>
      <c r="X498">
        <v>0.88618472666912307</v>
      </c>
      <c r="Y498">
        <v>0.81902763714727222</v>
      </c>
      <c r="Z498">
        <v>0.89802099503688571</v>
      </c>
      <c r="AA498">
        <v>0.77664589900782299</v>
      </c>
      <c r="AB498">
        <v>0.36540819517259715</v>
      </c>
      <c r="AC498">
        <v>0.74364562505927112</v>
      </c>
      <c r="AD498">
        <v>0.67576433668709668</v>
      </c>
      <c r="AE498">
        <v>0.78147740361090634</v>
      </c>
      <c r="AH498">
        <v>3.2711292258106428E-2</v>
      </c>
      <c r="AI498">
        <v>0.14605579537307101</v>
      </c>
      <c r="AJ498">
        <v>0.37430570527229712</v>
      </c>
      <c r="AK498">
        <v>5.6156178023942904E-2</v>
      </c>
      <c r="AL498">
        <v>0.14416540574325276</v>
      </c>
      <c r="AM498">
        <v>0.1887975452628986</v>
      </c>
      <c r="AN498">
        <v>5.1947091758292707E-2</v>
      </c>
      <c r="AO498">
        <v>0.11559893731516113</v>
      </c>
      <c r="AR498">
        <v>8.4554829475541019E-4</v>
      </c>
      <c r="AS498">
        <v>4.9308055138272966E-3</v>
      </c>
      <c r="AT498">
        <v>5.0458861865856353E-3</v>
      </c>
      <c r="AU498">
        <v>2.0569549606270776E-3</v>
      </c>
      <c r="AV498">
        <v>1.7548196778918283E-3</v>
      </c>
      <c r="AW498">
        <v>3.4236661730242535E-3</v>
      </c>
      <c r="AX498">
        <v>3.351104182207001E-4</v>
      </c>
      <c r="AY498">
        <v>5.8275304411348205E-4</v>
      </c>
      <c r="BB498">
        <v>5.5582222924300595E-2</v>
      </c>
      <c r="BC498">
        <v>4.3725482959825306E-2</v>
      </c>
      <c r="BE498">
        <v>75944.761016669319</v>
      </c>
      <c r="BF498">
        <v>15.829970838475049</v>
      </c>
      <c r="BG498">
        <v>77000.573699101849</v>
      </c>
      <c r="BH498">
        <v>15.707927514082419</v>
      </c>
      <c r="BI498">
        <v>-1055.81268243253</v>
      </c>
      <c r="BJ498">
        <v>0.12204332439262977</v>
      </c>
    </row>
    <row r="499" spans="3:62" x14ac:dyDescent="0.2">
      <c r="C499" s="121">
        <v>61954.04974005714</v>
      </c>
      <c r="D499">
        <v>15.931857844714129</v>
      </c>
      <c r="E499" s="121">
        <v>62522.654397775215</v>
      </c>
      <c r="F499" s="121">
        <v>15.866838367951528</v>
      </c>
      <c r="G499" s="121">
        <v>-568.60465771807503</v>
      </c>
      <c r="H499" s="121">
        <v>6.5019476762600448E-2</v>
      </c>
      <c r="N499" s="121"/>
      <c r="O499" s="121"/>
      <c r="P499" s="121"/>
      <c r="R499">
        <v>405.24739292199916</v>
      </c>
      <c r="S499">
        <v>58.585093308249334</v>
      </c>
      <c r="T499">
        <v>282.48419570807874</v>
      </c>
      <c r="U499">
        <v>109.14219887764278</v>
      </c>
      <c r="X499">
        <v>0.67791602517132776</v>
      </c>
      <c r="Y499">
        <v>0.85920720742804502</v>
      </c>
      <c r="Z499">
        <v>0.78299489318027948</v>
      </c>
      <c r="AA499">
        <v>0.76694880876034943</v>
      </c>
      <c r="AB499">
        <v>0.67838222899467948</v>
      </c>
      <c r="AC499">
        <v>0.73025001917430232</v>
      </c>
      <c r="AD499">
        <v>0.76398877772997664</v>
      </c>
      <c r="AE499">
        <v>0.75138587044547345</v>
      </c>
      <c r="AH499">
        <v>0.14518147375420198</v>
      </c>
      <c r="AI499">
        <v>0.10329259576443794</v>
      </c>
      <c r="AJ499">
        <v>1.1689940272943566E-2</v>
      </c>
      <c r="AK499">
        <v>0.13454155338007234</v>
      </c>
      <c r="AL499">
        <v>0.19869040650651659</v>
      </c>
      <c r="AM499">
        <v>0.28702748112917043</v>
      </c>
      <c r="AN499">
        <v>7.2581483335323327E-3</v>
      </c>
      <c r="AO499">
        <v>0.13056274925121414</v>
      </c>
      <c r="AR499">
        <v>1.1327097242416206E-3</v>
      </c>
      <c r="AS499">
        <v>4.5538041457641176E-3</v>
      </c>
      <c r="AT499">
        <v>5.2186640424942699E-3</v>
      </c>
      <c r="AU499">
        <v>1.808066408022356E-3</v>
      </c>
      <c r="AV499">
        <v>2.21843151748502E-3</v>
      </c>
      <c r="AW499">
        <v>3.4284904857505571E-3</v>
      </c>
      <c r="AX499">
        <v>4.4970753627360249E-4</v>
      </c>
      <c r="AY499">
        <v>5.1491912429313391E-4</v>
      </c>
      <c r="BB499">
        <v>3.9242570460909627E-2</v>
      </c>
      <c r="BC499">
        <v>8.6650396269946861E-2</v>
      </c>
      <c r="BE499">
        <v>61954.04974005714</v>
      </c>
      <c r="BF499">
        <v>15.931857844714129</v>
      </c>
      <c r="BG499">
        <v>62522.654397775215</v>
      </c>
      <c r="BH499">
        <v>15.866838367951528</v>
      </c>
      <c r="BI499">
        <v>-568.60465771807503</v>
      </c>
      <c r="BJ499">
        <v>6.5019476762600448E-2</v>
      </c>
    </row>
    <row r="500" spans="3:62" x14ac:dyDescent="0.2">
      <c r="C500" s="121">
        <v>73546.603572423803</v>
      </c>
      <c r="D500">
        <v>13.942378763337539</v>
      </c>
      <c r="E500" s="121">
        <v>75013.6373669311</v>
      </c>
      <c r="F500" s="121">
        <v>13.832463036351484</v>
      </c>
      <c r="G500" s="121">
        <v>-1467.033794507297</v>
      </c>
      <c r="H500" s="121">
        <v>0.10991572698605445</v>
      </c>
      <c r="N500" s="121"/>
      <c r="O500" s="121"/>
      <c r="P500" s="121"/>
      <c r="R500">
        <v>216.20127064363015</v>
      </c>
      <c r="S500">
        <v>62.92354219939795</v>
      </c>
      <c r="T500">
        <v>244.08166926629974</v>
      </c>
      <c r="U500">
        <v>74.66775014573625</v>
      </c>
      <c r="X500">
        <v>0.69596729480807751</v>
      </c>
      <c r="Y500">
        <v>0.79182056803563927</v>
      </c>
      <c r="Z500">
        <v>0.80733813477437588</v>
      </c>
      <c r="AA500">
        <v>0.85324766619924108</v>
      </c>
      <c r="AB500">
        <v>0.38956442904939109</v>
      </c>
      <c r="AC500">
        <v>0.6287229647068554</v>
      </c>
      <c r="AD500">
        <v>0.47630490322187341</v>
      </c>
      <c r="AE500">
        <v>0.82976344042584094</v>
      </c>
      <c r="AH500">
        <v>0.1554315985645367</v>
      </c>
      <c r="AI500">
        <v>0.1293469876856953</v>
      </c>
      <c r="AJ500">
        <v>3.2518638516601861E-2</v>
      </c>
      <c r="AK500">
        <v>0.24558902404271798</v>
      </c>
      <c r="AL500">
        <v>0.24971419110848303</v>
      </c>
      <c r="AM500">
        <v>0.2028236161107323</v>
      </c>
      <c r="AN500">
        <v>0.17464361455680288</v>
      </c>
      <c r="AO500">
        <v>0.22317176688214979</v>
      </c>
      <c r="AR500">
        <v>9.3773931186613702E-4</v>
      </c>
      <c r="AS500">
        <v>4.8516506807813053E-3</v>
      </c>
      <c r="AT500">
        <v>4.7472337525110977E-3</v>
      </c>
      <c r="AU500">
        <v>1.7924468421663658E-3</v>
      </c>
      <c r="AV500">
        <v>2.0821066691238954E-3</v>
      </c>
      <c r="AW500">
        <v>3.3390837059477005E-3</v>
      </c>
      <c r="AX500">
        <v>5.0903857259865237E-4</v>
      </c>
      <c r="AY500">
        <v>5.2934765910894743E-4</v>
      </c>
      <c r="BB500">
        <v>5.3344741939235218E-2</v>
      </c>
      <c r="BC500">
        <v>6.8246786248287727E-2</v>
      </c>
      <c r="BE500">
        <v>73546.603572423803</v>
      </c>
      <c r="BF500">
        <v>13.942378763337539</v>
      </c>
      <c r="BG500">
        <v>75013.6373669311</v>
      </c>
      <c r="BH500">
        <v>13.832463036351484</v>
      </c>
      <c r="BI500">
        <v>-1467.033794507297</v>
      </c>
      <c r="BJ500">
        <v>0.10991572698605445</v>
      </c>
    </row>
    <row r="501" spans="3:62" x14ac:dyDescent="0.2">
      <c r="C501" s="121">
        <v>66509.246132633314</v>
      </c>
      <c r="D501">
        <v>16.565871914555615</v>
      </c>
      <c r="E501" s="121">
        <v>68510.160518703182</v>
      </c>
      <c r="F501" s="121">
        <v>16.417086318643676</v>
      </c>
      <c r="G501" s="121">
        <v>-2000.9143860698678</v>
      </c>
      <c r="H501" s="121">
        <v>0.14878559591193863</v>
      </c>
      <c r="N501" s="121"/>
      <c r="O501" s="121"/>
      <c r="P501" s="121"/>
      <c r="R501">
        <v>214.05560562807787</v>
      </c>
      <c r="S501">
        <v>56.75766064896483</v>
      </c>
      <c r="T501">
        <v>244.51002421629715</v>
      </c>
      <c r="U501">
        <v>100.1224164726064</v>
      </c>
      <c r="X501">
        <v>0.8286777886917216</v>
      </c>
      <c r="Y501">
        <v>0.57331665683770683</v>
      </c>
      <c r="Z501">
        <v>0.92698125209812909</v>
      </c>
      <c r="AA501">
        <v>0.88584462448637535</v>
      </c>
      <c r="AB501">
        <v>0.76572862781586337</v>
      </c>
      <c r="AC501">
        <v>0.9298733040408782</v>
      </c>
      <c r="AD501">
        <v>0.85709884041737705</v>
      </c>
      <c r="AE501">
        <v>0.81287716865150239</v>
      </c>
      <c r="AH501">
        <v>0.18092392436203097</v>
      </c>
      <c r="AI501">
        <v>0.22405218208947641</v>
      </c>
      <c r="AJ501">
        <v>0.1070366948302004</v>
      </c>
      <c r="AK501">
        <v>0.18462889595966714</v>
      </c>
      <c r="AL501">
        <v>0.16259752261973592</v>
      </c>
      <c r="AM501">
        <v>4.505260572024361E-2</v>
      </c>
      <c r="AN501">
        <v>0.24630735509249291</v>
      </c>
      <c r="AO501">
        <v>0.15796991579141617</v>
      </c>
      <c r="AR501">
        <v>8.4403124502684872E-4</v>
      </c>
      <c r="AS501">
        <v>4.3006032431170795E-3</v>
      </c>
      <c r="AT501">
        <v>5.1650041648564349E-3</v>
      </c>
      <c r="AU501">
        <v>1.9540402870401002E-3</v>
      </c>
      <c r="AV501">
        <v>1.8361307880744287E-3</v>
      </c>
      <c r="AW501">
        <v>3.5994556168196246E-3</v>
      </c>
      <c r="AX501">
        <v>3.9946174149585456E-4</v>
      </c>
      <c r="AY501">
        <v>4.4345712349131073E-4</v>
      </c>
      <c r="BB501">
        <v>4.5031192686680398E-2</v>
      </c>
      <c r="BC501">
        <v>5.2913169445317765E-2</v>
      </c>
      <c r="BE501">
        <v>66509.246132633314</v>
      </c>
      <c r="BF501">
        <v>16.565871914555615</v>
      </c>
      <c r="BG501">
        <v>68510.160518703182</v>
      </c>
      <c r="BH501">
        <v>16.417086318643676</v>
      </c>
      <c r="BI501">
        <v>-2000.9143860698678</v>
      </c>
      <c r="BJ501">
        <v>0.14878559591193863</v>
      </c>
    </row>
    <row r="502" spans="3:62" x14ac:dyDescent="0.2">
      <c r="C502" s="121">
        <v>69158.234969653524</v>
      </c>
      <c r="D502">
        <v>16.092931176467882</v>
      </c>
      <c r="E502" s="121">
        <v>70903.567420271123</v>
      </c>
      <c r="F502" s="121">
        <v>15.967981860981444</v>
      </c>
      <c r="G502" s="121">
        <v>-1745.3324506175995</v>
      </c>
      <c r="H502" s="121">
        <v>0.12494931548643784</v>
      </c>
      <c r="N502" s="121"/>
      <c r="O502" s="121"/>
      <c r="P502" s="121"/>
      <c r="R502">
        <v>126.80581141590159</v>
      </c>
      <c r="S502">
        <v>54.07088900298546</v>
      </c>
      <c r="T502">
        <v>249.35020250342609</v>
      </c>
      <c r="U502">
        <v>94.224589250753624</v>
      </c>
      <c r="X502">
        <v>0.44506201246038785</v>
      </c>
      <c r="Y502">
        <v>0.6644694452819081</v>
      </c>
      <c r="Z502">
        <v>0.61656676159693147</v>
      </c>
      <c r="AA502">
        <v>0.77393362156615197</v>
      </c>
      <c r="AB502">
        <v>0.87774218836325479</v>
      </c>
      <c r="AC502">
        <v>0.9883185907323816</v>
      </c>
      <c r="AD502">
        <v>0.86534205493053151</v>
      </c>
      <c r="AE502">
        <v>0.93365924092931341</v>
      </c>
      <c r="AH502">
        <v>0.23897860527250159</v>
      </c>
      <c r="AI502">
        <v>0.21958702442745026</v>
      </c>
      <c r="AJ502">
        <v>0.11860991416113231</v>
      </c>
      <c r="AK502">
        <v>8.6353972259866962E-2</v>
      </c>
      <c r="AL502">
        <v>2.7903772659882309E-2</v>
      </c>
      <c r="AM502">
        <v>0.19015454484683014</v>
      </c>
      <c r="AN502">
        <v>2.3332575268197653E-2</v>
      </c>
      <c r="AO502">
        <v>0.12019198261813635</v>
      </c>
      <c r="AR502">
        <v>9.1272830020228124E-4</v>
      </c>
      <c r="AS502">
        <v>4.2845824351068458E-3</v>
      </c>
      <c r="AT502">
        <v>5.0395289122391329E-3</v>
      </c>
      <c r="AU502">
        <v>2.0544273056101181E-3</v>
      </c>
      <c r="AV502">
        <v>2.2584732805782659E-3</v>
      </c>
      <c r="AW502">
        <v>3.3151729725718268E-3</v>
      </c>
      <c r="AX502">
        <v>4.36943029915704E-4</v>
      </c>
      <c r="AY502">
        <v>5.3931597650891394E-4</v>
      </c>
      <c r="BB502">
        <v>4.39066192467885E-2</v>
      </c>
      <c r="BC502">
        <v>1.4876603880758189E-2</v>
      </c>
      <c r="BE502">
        <v>69158.234969653524</v>
      </c>
      <c r="BF502">
        <v>16.092931176467882</v>
      </c>
      <c r="BG502">
        <v>70903.567420271123</v>
      </c>
      <c r="BH502">
        <v>15.967981860981444</v>
      </c>
      <c r="BI502">
        <v>-1745.3324506175995</v>
      </c>
      <c r="BJ502">
        <v>0.12494931548643784</v>
      </c>
    </row>
    <row r="503" spans="3:62" x14ac:dyDescent="0.2">
      <c r="C503" s="121">
        <v>68439.87789657012</v>
      </c>
      <c r="D503">
        <v>17.595196489743234</v>
      </c>
      <c r="E503" s="121">
        <v>69434.409755031229</v>
      </c>
      <c r="F503" s="121">
        <v>17.493837489320349</v>
      </c>
      <c r="G503" s="121">
        <v>-994.53185846110864</v>
      </c>
      <c r="H503" s="121">
        <v>0.10135900042288526</v>
      </c>
      <c r="N503" s="121"/>
      <c r="O503" s="121"/>
      <c r="P503" s="121"/>
      <c r="R503">
        <v>239.2938036565707</v>
      </c>
      <c r="S503">
        <v>54.480023168390076</v>
      </c>
      <c r="T503">
        <v>242.30490183869478</v>
      </c>
      <c r="U503">
        <v>105.22121983832743</v>
      </c>
      <c r="X503">
        <v>0.79165203945011786</v>
      </c>
      <c r="Y503">
        <v>0.46625575666118224</v>
      </c>
      <c r="Z503">
        <v>0.91105175050793585</v>
      </c>
      <c r="AA503">
        <v>0.49123924534997493</v>
      </c>
      <c r="AB503">
        <v>0.57138658360514238</v>
      </c>
      <c r="AC503">
        <v>0.64651852919073705</v>
      </c>
      <c r="AD503">
        <v>0.50287082271677641</v>
      </c>
      <c r="AE503">
        <v>0.59717800036141555</v>
      </c>
      <c r="AH503">
        <v>2.4682014302608302E-3</v>
      </c>
      <c r="AI503">
        <v>0.18526035253279716</v>
      </c>
      <c r="AJ503">
        <v>0.23553961824481207</v>
      </c>
      <c r="AK503">
        <v>5.6966613505009311E-2</v>
      </c>
      <c r="AL503">
        <v>0.23781146134486242</v>
      </c>
      <c r="AM503">
        <v>8.1011158622866564E-2</v>
      </c>
      <c r="AN503">
        <v>8.4534912604786294E-2</v>
      </c>
      <c r="AO503">
        <v>0.11988223177773283</v>
      </c>
      <c r="AR503">
        <v>7.8073473956157317E-4</v>
      </c>
      <c r="AS503">
        <v>4.5691199585164988E-3</v>
      </c>
      <c r="AT503">
        <v>4.7023639311007392E-3</v>
      </c>
      <c r="AU503">
        <v>1.9992044723116109E-3</v>
      </c>
      <c r="AV503">
        <v>2.0951354718926618E-3</v>
      </c>
      <c r="AW503">
        <v>3.533352410945434E-3</v>
      </c>
      <c r="AX503">
        <v>4.6286571508091789E-4</v>
      </c>
      <c r="AY503">
        <v>4.9844269155219223E-4</v>
      </c>
      <c r="BB503">
        <v>5.2567107693046622E-2</v>
      </c>
      <c r="BC503">
        <v>5.3169532611331172E-2</v>
      </c>
      <c r="BE503">
        <v>68439.87789657012</v>
      </c>
      <c r="BF503">
        <v>17.595196489743234</v>
      </c>
      <c r="BG503">
        <v>69434.409755031229</v>
      </c>
      <c r="BH503">
        <v>17.493837489320349</v>
      </c>
      <c r="BI503">
        <v>-994.53185846110864</v>
      </c>
      <c r="BJ503">
        <v>0.10135900042288526</v>
      </c>
    </row>
    <row r="504" spans="3:62" x14ac:dyDescent="0.2">
      <c r="C504" s="121">
        <v>74110.292864667354</v>
      </c>
      <c r="D504">
        <v>16.138914838207665</v>
      </c>
      <c r="E504" s="121">
        <v>75921.603796752286</v>
      </c>
      <c r="F504" s="121">
        <v>15.992240354528107</v>
      </c>
      <c r="G504" s="121">
        <v>-1811.3109320849326</v>
      </c>
      <c r="H504" s="121">
        <v>0.14667448367955771</v>
      </c>
      <c r="N504" s="121"/>
      <c r="O504" s="121"/>
      <c r="P504" s="121"/>
      <c r="R504">
        <v>295.46833988797169</v>
      </c>
      <c r="S504">
        <v>70.156411089288099</v>
      </c>
      <c r="T504">
        <v>250.21961206531211</v>
      </c>
      <c r="U504">
        <v>74.294337281325156</v>
      </c>
      <c r="X504">
        <v>0.76611568255099327</v>
      </c>
      <c r="Y504">
        <v>0.9084807422636364</v>
      </c>
      <c r="Z504">
        <v>0.75569843630045164</v>
      </c>
      <c r="AA504">
        <v>0.66231759397372747</v>
      </c>
      <c r="AB504">
        <v>0.82161412286246482</v>
      </c>
      <c r="AC504">
        <v>0.66954891509014136</v>
      </c>
      <c r="AD504">
        <v>0.8821287494172354</v>
      </c>
      <c r="AE504">
        <v>0.73143345179942054</v>
      </c>
      <c r="AH504">
        <v>9.0911281383792897E-2</v>
      </c>
      <c r="AI504">
        <v>5.3712202083864291E-2</v>
      </c>
      <c r="AJ504">
        <v>7.7322219792397728E-2</v>
      </c>
      <c r="AK504">
        <v>0.26995706246478424</v>
      </c>
      <c r="AL504">
        <v>9.4432413575992968E-2</v>
      </c>
      <c r="AM504">
        <v>2.0387053891266271E-2</v>
      </c>
      <c r="AN504">
        <v>6.7069442711998217E-2</v>
      </c>
      <c r="AO504">
        <v>0.17218249785730888</v>
      </c>
      <c r="AR504">
        <v>8.2760694942254096E-4</v>
      </c>
      <c r="AS504">
        <v>4.5430241677300032E-3</v>
      </c>
      <c r="AT504">
        <v>5.1611100330982707E-3</v>
      </c>
      <c r="AU504">
        <v>2.104593758741613E-3</v>
      </c>
      <c r="AV504">
        <v>2.1772636381999222E-3</v>
      </c>
      <c r="AW504">
        <v>3.35557712571732E-3</v>
      </c>
      <c r="AX504">
        <v>4.4014010072479515E-4</v>
      </c>
      <c r="AY504">
        <v>4.5234410312056106E-4</v>
      </c>
      <c r="BB504">
        <v>4.5377619091016778E-2</v>
      </c>
      <c r="BC504">
        <v>7.210844500022251E-2</v>
      </c>
      <c r="BE504">
        <v>74110.292864667354</v>
      </c>
      <c r="BF504">
        <v>16.138914838207665</v>
      </c>
      <c r="BG504">
        <v>75921.603796752286</v>
      </c>
      <c r="BH504">
        <v>15.992240354528107</v>
      </c>
      <c r="BI504">
        <v>-1811.3109320849326</v>
      </c>
      <c r="BJ504">
        <v>0.14667448367955771</v>
      </c>
    </row>
    <row r="505" spans="3:62" x14ac:dyDescent="0.2">
      <c r="C505" s="121">
        <v>72591.573712592348</v>
      </c>
      <c r="D505">
        <v>15.379498243886633</v>
      </c>
      <c r="E505" s="121">
        <v>74754.758857223875</v>
      </c>
      <c r="F505" s="121">
        <v>15.179895614014745</v>
      </c>
      <c r="G505" s="121">
        <v>-2163.1851446315268</v>
      </c>
      <c r="H505" s="121">
        <v>0.19960262987188848</v>
      </c>
      <c r="N505" s="121"/>
      <c r="O505" s="121"/>
      <c r="P505" s="121"/>
      <c r="R505">
        <v>274.8038093821857</v>
      </c>
      <c r="S505">
        <v>48.301952156482109</v>
      </c>
      <c r="T505">
        <v>266.73622114626806</v>
      </c>
      <c r="U505">
        <v>96.596533235531325</v>
      </c>
      <c r="X505">
        <v>0.76289739373937493</v>
      </c>
      <c r="Y505">
        <v>0.74368740521937771</v>
      </c>
      <c r="Z505">
        <v>0.68111871602895813</v>
      </c>
      <c r="AA505">
        <v>0.77758319053706026</v>
      </c>
      <c r="AB505">
        <v>0.75486410820090388</v>
      </c>
      <c r="AC505">
        <v>0.66996586622741328</v>
      </c>
      <c r="AD505">
        <v>0.7775019053195058</v>
      </c>
      <c r="AE505">
        <v>0.89159304030619613</v>
      </c>
      <c r="AH505">
        <v>0.41244955932235527</v>
      </c>
      <c r="AI505">
        <v>0.21792936510031968</v>
      </c>
      <c r="AJ505">
        <v>6.9176314237972325E-2</v>
      </c>
      <c r="AK505">
        <v>1.1792082130250181E-2</v>
      </c>
      <c r="AL505">
        <v>7.5351660802815523E-2</v>
      </c>
      <c r="AM505">
        <v>6.6801832857647847E-2</v>
      </c>
      <c r="AN505">
        <v>8.1251156807647607E-2</v>
      </c>
      <c r="AO505">
        <v>5.2415705530783452E-2</v>
      </c>
      <c r="AR505">
        <v>1.0180952168293844E-3</v>
      </c>
      <c r="AS505">
        <v>4.5062168983772688E-3</v>
      </c>
      <c r="AT505">
        <v>4.6471348583379622E-3</v>
      </c>
      <c r="AU505">
        <v>2.0680019375084457E-3</v>
      </c>
      <c r="AV505">
        <v>1.6763137876033875E-3</v>
      </c>
      <c r="AW505">
        <v>3.3456592864154369E-3</v>
      </c>
      <c r="AX505">
        <v>3.8278721323730769E-4</v>
      </c>
      <c r="AY505">
        <v>4.695061657070676E-4</v>
      </c>
      <c r="BB505">
        <v>4.8182345822276679E-2</v>
      </c>
      <c r="BC505">
        <v>0.12490589379789185</v>
      </c>
      <c r="BE505">
        <v>72591.573712592348</v>
      </c>
      <c r="BF505">
        <v>15.379498243886633</v>
      </c>
      <c r="BG505">
        <v>74754.758857223875</v>
      </c>
      <c r="BH505">
        <v>15.179895614014745</v>
      </c>
      <c r="BI505">
        <v>-2163.1851446315268</v>
      </c>
      <c r="BJ505">
        <v>0.19960262987188848</v>
      </c>
    </row>
    <row r="506" spans="3:62" x14ac:dyDescent="0.2">
      <c r="C506" s="121">
        <v>66340.296647775875</v>
      </c>
      <c r="D506">
        <v>16.953262547302526</v>
      </c>
      <c r="E506" s="121">
        <v>67739.383408941285</v>
      </c>
      <c r="F506" s="121">
        <v>16.82512935624451</v>
      </c>
      <c r="G506" s="121">
        <v>-1399.0867611654103</v>
      </c>
      <c r="H506" s="121">
        <v>0.12813319105801568</v>
      </c>
      <c r="N506" s="121"/>
      <c r="O506" s="121"/>
      <c r="P506" s="121"/>
      <c r="R506">
        <v>221.51930847770177</v>
      </c>
      <c r="S506">
        <v>71.147160739770072</v>
      </c>
      <c r="T506">
        <v>259.54361260247566</v>
      </c>
      <c r="U506">
        <v>111.56560458347892</v>
      </c>
      <c r="X506">
        <v>0.91045165429057184</v>
      </c>
      <c r="Y506">
        <v>0.63801167933812397</v>
      </c>
      <c r="Z506">
        <v>0.75879429784033436</v>
      </c>
      <c r="AA506">
        <v>0.6538763577285901</v>
      </c>
      <c r="AB506">
        <v>0.68099580874161281</v>
      </c>
      <c r="AC506">
        <v>0.55867286458844045</v>
      </c>
      <c r="AD506">
        <v>0.68240315128488116</v>
      </c>
      <c r="AE506">
        <v>0.92837420540901028</v>
      </c>
      <c r="AH506">
        <v>7.2719465755595403E-2</v>
      </c>
      <c r="AI506">
        <v>0.10336464711268611</v>
      </c>
      <c r="AJ506">
        <v>0.11391314463508651</v>
      </c>
      <c r="AK506">
        <v>0.23729369956349899</v>
      </c>
      <c r="AL506">
        <v>0.17729512537645742</v>
      </c>
      <c r="AM506">
        <v>2.7742509402870819E-2</v>
      </c>
      <c r="AN506">
        <v>6.8561497343902156E-2</v>
      </c>
      <c r="AO506">
        <v>0.25190794677663253</v>
      </c>
      <c r="AR506">
        <v>1.1369370069319595E-3</v>
      </c>
      <c r="AS506">
        <v>4.674779640016502E-3</v>
      </c>
      <c r="AT506">
        <v>5.2190733804857725E-3</v>
      </c>
      <c r="AU506">
        <v>2.1953998884882697E-3</v>
      </c>
      <c r="AV506">
        <v>1.8618893000641951E-3</v>
      </c>
      <c r="AW506">
        <v>3.4054813347955699E-3</v>
      </c>
      <c r="AX506">
        <v>3.4785226025796172E-4</v>
      </c>
      <c r="AY506">
        <v>6.2521417150240843E-4</v>
      </c>
      <c r="BB506">
        <v>4.8583434436418521E-2</v>
      </c>
      <c r="BC506">
        <v>4.2528246328037887E-2</v>
      </c>
      <c r="BE506">
        <v>66340.296647775875</v>
      </c>
      <c r="BF506">
        <v>16.953262547302526</v>
      </c>
      <c r="BG506">
        <v>67739.383408941285</v>
      </c>
      <c r="BH506">
        <v>16.82512935624451</v>
      </c>
      <c r="BI506">
        <v>-1399.0867611654103</v>
      </c>
      <c r="BJ506">
        <v>0.12813319105801568</v>
      </c>
    </row>
    <row r="507" spans="3:62" x14ac:dyDescent="0.2">
      <c r="C507" s="121">
        <v>73370.969702791292</v>
      </c>
      <c r="D507">
        <v>16.711500494129311</v>
      </c>
      <c r="E507" s="121">
        <v>75289.278051236703</v>
      </c>
      <c r="F507" s="121">
        <v>16.576487339605723</v>
      </c>
      <c r="G507" s="121">
        <v>-1918.308348445411</v>
      </c>
      <c r="H507" s="121">
        <v>0.13501315452358753</v>
      </c>
      <c r="N507" s="121"/>
      <c r="O507" s="121"/>
      <c r="P507" s="121"/>
      <c r="R507">
        <v>253.05024846764175</v>
      </c>
      <c r="S507">
        <v>56.097158496011971</v>
      </c>
      <c r="T507">
        <v>178.21209505600626</v>
      </c>
      <c r="U507">
        <v>97.171718721007878</v>
      </c>
      <c r="X507">
        <v>0.65425030500237613</v>
      </c>
      <c r="Y507">
        <v>0.58469888905942635</v>
      </c>
      <c r="Z507">
        <v>0.65431510515391234</v>
      </c>
      <c r="AA507">
        <v>0.8345586380011345</v>
      </c>
      <c r="AB507">
        <v>0.71386210924062565</v>
      </c>
      <c r="AC507">
        <v>0.70143845825713835</v>
      </c>
      <c r="AD507">
        <v>0.74219695293205445</v>
      </c>
      <c r="AE507">
        <v>0.81633343946478343</v>
      </c>
      <c r="AH507">
        <v>2.8475693930284152E-2</v>
      </c>
      <c r="AI507">
        <v>0.2009738937488198</v>
      </c>
      <c r="AJ507">
        <v>0.31741384726665911</v>
      </c>
      <c r="AK507">
        <v>9.4501393169415526E-2</v>
      </c>
      <c r="AL507">
        <v>7.3799795196413664E-2</v>
      </c>
      <c r="AM507">
        <v>3.6689944337832237E-2</v>
      </c>
      <c r="AN507">
        <v>5.959631054316783E-2</v>
      </c>
      <c r="AO507">
        <v>6.1782650072395029E-2</v>
      </c>
      <c r="AR507">
        <v>9.1755553387373734E-4</v>
      </c>
      <c r="AS507">
        <v>5.0006600802543488E-3</v>
      </c>
      <c r="AT507">
        <v>5.2811273107167267E-3</v>
      </c>
      <c r="AU507">
        <v>1.8897677570299664E-3</v>
      </c>
      <c r="AV507">
        <v>2.1210491755974115E-3</v>
      </c>
      <c r="AW507">
        <v>3.5012550589094138E-3</v>
      </c>
      <c r="AX507">
        <v>4.2850159153584588E-4</v>
      </c>
      <c r="AY507">
        <v>4.8967522978859979E-4</v>
      </c>
      <c r="BB507">
        <v>5.2130436312181505E-2</v>
      </c>
      <c r="BC507">
        <v>3.6461965718874313E-2</v>
      </c>
      <c r="BE507">
        <v>73370.969702791292</v>
      </c>
      <c r="BF507">
        <v>16.711500494129311</v>
      </c>
      <c r="BG507">
        <v>75289.278051236703</v>
      </c>
      <c r="BH507">
        <v>16.576487339605723</v>
      </c>
      <c r="BI507">
        <v>-1918.308348445411</v>
      </c>
      <c r="BJ507">
        <v>0.13501315452358753</v>
      </c>
    </row>
    <row r="508" spans="3:62" x14ac:dyDescent="0.2">
      <c r="C508" s="121">
        <v>67022.672616095879</v>
      </c>
      <c r="D508">
        <v>15.919779236999544</v>
      </c>
      <c r="E508" s="121">
        <v>68273.61485578939</v>
      </c>
      <c r="F508" s="121">
        <v>15.849106341987596</v>
      </c>
      <c r="G508" s="121">
        <v>-1250.9422396935115</v>
      </c>
      <c r="H508" s="121">
        <v>7.067289501194729E-2</v>
      </c>
      <c r="N508" s="121"/>
      <c r="O508" s="121"/>
      <c r="P508" s="121"/>
      <c r="R508">
        <v>237.75156293613048</v>
      </c>
      <c r="S508">
        <v>60.167052743758994</v>
      </c>
      <c r="T508">
        <v>233.64877951372796</v>
      </c>
      <c r="U508">
        <v>101.98552415966202</v>
      </c>
      <c r="X508">
        <v>0.69604850013070652</v>
      </c>
      <c r="Y508">
        <v>0.5652206580246929</v>
      </c>
      <c r="Z508">
        <v>0.86200570876020877</v>
      </c>
      <c r="AA508">
        <v>0.6523974139197124</v>
      </c>
      <c r="AB508">
        <v>0.57896788759403917</v>
      </c>
      <c r="AC508">
        <v>0.79239344358896147</v>
      </c>
      <c r="AD508">
        <v>0.77515683149158887</v>
      </c>
      <c r="AE508">
        <v>0.76176918625431844</v>
      </c>
      <c r="AH508">
        <v>0.10447029837441435</v>
      </c>
      <c r="AI508">
        <v>2.1922194430629149E-2</v>
      </c>
      <c r="AJ508">
        <v>3.841779925897848E-2</v>
      </c>
      <c r="AK508">
        <v>0.11373412309787356</v>
      </c>
      <c r="AL508">
        <v>5.567273722414634E-2</v>
      </c>
      <c r="AM508">
        <v>0.1756590084079076</v>
      </c>
      <c r="AN508">
        <v>0.13288085562467744</v>
      </c>
      <c r="AO508">
        <v>0.20759109152378974</v>
      </c>
      <c r="AR508">
        <v>9.1515625987204086E-4</v>
      </c>
      <c r="AS508">
        <v>4.3494797376783731E-3</v>
      </c>
      <c r="AT508">
        <v>4.950359106829394E-3</v>
      </c>
      <c r="AU508">
        <v>2.1355152484269224E-3</v>
      </c>
      <c r="AV508">
        <v>1.9579526450947079E-3</v>
      </c>
      <c r="AW508">
        <v>3.3937696004524708E-3</v>
      </c>
      <c r="AX508">
        <v>3.5188565405667364E-4</v>
      </c>
      <c r="AY508">
        <v>4.1118408400388695E-4</v>
      </c>
      <c r="BB508">
        <v>5.2243662408042457E-2</v>
      </c>
      <c r="BC508">
        <v>7.1386067049242108E-2</v>
      </c>
      <c r="BE508">
        <v>67022.672616095879</v>
      </c>
      <c r="BF508">
        <v>15.919779236999544</v>
      </c>
      <c r="BG508">
        <v>68273.61485578939</v>
      </c>
      <c r="BH508">
        <v>15.849106341987596</v>
      </c>
      <c r="BI508">
        <v>-1250.9422396935115</v>
      </c>
      <c r="BJ508">
        <v>7.067289501194729E-2</v>
      </c>
    </row>
    <row r="509" spans="3:62" x14ac:dyDescent="0.2">
      <c r="C509" s="121">
        <v>72872.349661034808</v>
      </c>
      <c r="D509">
        <v>16.557841010747993</v>
      </c>
      <c r="E509" s="121">
        <v>74513.474636016341</v>
      </c>
      <c r="F509" s="121">
        <v>16.440440990666911</v>
      </c>
      <c r="G509" s="121">
        <v>-1641.1249749815324</v>
      </c>
      <c r="H509" s="121">
        <v>0.11740002008108164</v>
      </c>
      <c r="N509" s="121"/>
      <c r="O509" s="121"/>
      <c r="P509" s="121"/>
      <c r="R509">
        <v>370.43762774612219</v>
      </c>
      <c r="S509">
        <v>53.212491829170403</v>
      </c>
      <c r="T509">
        <v>259.4481542011124</v>
      </c>
      <c r="U509">
        <v>96.907159636612874</v>
      </c>
      <c r="X509">
        <v>0.8475105852673821</v>
      </c>
      <c r="Y509">
        <v>0.69373548128161</v>
      </c>
      <c r="Z509">
        <v>0.48109015458690885</v>
      </c>
      <c r="AA509">
        <v>0.83543989725116852</v>
      </c>
      <c r="AB509">
        <v>0.792660322114216</v>
      </c>
      <c r="AC509">
        <v>0.81623176331491387</v>
      </c>
      <c r="AD509">
        <v>0.9599252778450329</v>
      </c>
      <c r="AE509">
        <v>0.78663773994710118</v>
      </c>
      <c r="AH509">
        <v>0.20309406492554949</v>
      </c>
      <c r="AI509">
        <v>0.14186162219872778</v>
      </c>
      <c r="AJ509">
        <v>4.8095710562311211E-2</v>
      </c>
      <c r="AK509">
        <v>9.2603019068358772E-2</v>
      </c>
      <c r="AL509">
        <v>0.1790407201929729</v>
      </c>
      <c r="AM509">
        <v>5.5002358052488765E-2</v>
      </c>
      <c r="AN509">
        <v>6.0343402924374345E-2</v>
      </c>
      <c r="AO509">
        <v>0.11184307909276137</v>
      </c>
      <c r="AR509">
        <v>1.0712978896565417E-3</v>
      </c>
      <c r="AS509">
        <v>4.4307824383750466E-3</v>
      </c>
      <c r="AT509">
        <v>4.5534428613076714E-3</v>
      </c>
      <c r="AU509">
        <v>2.0683513196014802E-3</v>
      </c>
      <c r="AV509">
        <v>2.1170923104665285E-3</v>
      </c>
      <c r="AW509">
        <v>3.4716234032768911E-3</v>
      </c>
      <c r="AX509">
        <v>3.5264187402826562E-4</v>
      </c>
      <c r="AY509">
        <v>4.7884341555692878E-4</v>
      </c>
      <c r="BB509">
        <v>4.5940420115284847E-2</v>
      </c>
      <c r="BC509">
        <v>6.6531724453390728E-2</v>
      </c>
      <c r="BE509">
        <v>72872.349661034808</v>
      </c>
      <c r="BF509">
        <v>16.557841010747993</v>
      </c>
      <c r="BG509">
        <v>74513.474636016341</v>
      </c>
      <c r="BH509">
        <v>16.440440990666911</v>
      </c>
      <c r="BI509">
        <v>-1641.1249749815324</v>
      </c>
      <c r="BJ509">
        <v>0.11740002008108164</v>
      </c>
    </row>
    <row r="510" spans="3:62" x14ac:dyDescent="0.2">
      <c r="C510" s="121">
        <v>73387.946347270801</v>
      </c>
      <c r="D510">
        <v>16.379850620100278</v>
      </c>
      <c r="E510" s="121">
        <v>74372.957817780349</v>
      </c>
      <c r="F510" s="121">
        <v>16.287677385105269</v>
      </c>
      <c r="G510" s="121">
        <v>-985.01147050954751</v>
      </c>
      <c r="H510" s="121">
        <v>9.2173234995009068E-2</v>
      </c>
      <c r="N510" s="121"/>
      <c r="O510" s="121"/>
      <c r="P510" s="121"/>
      <c r="R510">
        <v>318.94245663862972</v>
      </c>
      <c r="S510">
        <v>71.138450421914968</v>
      </c>
      <c r="T510">
        <v>218.98041729658655</v>
      </c>
      <c r="U510">
        <v>77.965384954229705</v>
      </c>
      <c r="X510">
        <v>0.85139758149153277</v>
      </c>
      <c r="Y510">
        <v>0.59754922551502698</v>
      </c>
      <c r="Z510">
        <v>0.62906261369472105</v>
      </c>
      <c r="AA510">
        <v>0.78560095630513804</v>
      </c>
      <c r="AB510">
        <v>0.86532065949192383</v>
      </c>
      <c r="AC510">
        <v>0.74693046954535991</v>
      </c>
      <c r="AD510">
        <v>0.82121125910775228</v>
      </c>
      <c r="AE510">
        <v>0.87497903732262416</v>
      </c>
      <c r="AH510">
        <v>9.0817105804805731E-3</v>
      </c>
      <c r="AI510">
        <v>0.30002110379284164</v>
      </c>
      <c r="AJ510">
        <v>9.7286214472609878E-2</v>
      </c>
      <c r="AK510">
        <v>0.13953261717314336</v>
      </c>
      <c r="AL510">
        <v>0.24387809507371849</v>
      </c>
      <c r="AM510">
        <v>0.2773423699358073</v>
      </c>
      <c r="AN510">
        <v>0.14012970571088945</v>
      </c>
      <c r="AO510">
        <v>6.5483367024381289E-2</v>
      </c>
      <c r="AR510">
        <v>8.173933363243769E-4</v>
      </c>
      <c r="AS510">
        <v>4.7044452872825326E-3</v>
      </c>
      <c r="AT510">
        <v>4.6850653779837055E-3</v>
      </c>
      <c r="AU510">
        <v>1.9853020702407728E-3</v>
      </c>
      <c r="AV510">
        <v>1.8789944733859521E-3</v>
      </c>
      <c r="AW510">
        <v>3.661593088138182E-3</v>
      </c>
      <c r="AX510">
        <v>4.0180133921152716E-4</v>
      </c>
      <c r="AY510">
        <v>4.9100741928242986E-4</v>
      </c>
      <c r="BB510">
        <v>4.6326314818664428E-2</v>
      </c>
      <c r="BC510">
        <v>7.4915673403897043E-2</v>
      </c>
      <c r="BE510">
        <v>73387.946347270801</v>
      </c>
      <c r="BF510">
        <v>16.379850620100278</v>
      </c>
      <c r="BG510">
        <v>74372.957817780349</v>
      </c>
      <c r="BH510">
        <v>16.287677385105269</v>
      </c>
      <c r="BI510">
        <v>-985.01147050954751</v>
      </c>
      <c r="BJ510">
        <v>9.2173234995009068E-2</v>
      </c>
    </row>
    <row r="511" spans="3:62" x14ac:dyDescent="0.2">
      <c r="C511" s="121">
        <v>76936.984361134237</v>
      </c>
      <c r="D511">
        <v>15.661728388171968</v>
      </c>
      <c r="E511" s="121">
        <v>79533.583570483723</v>
      </c>
      <c r="F511" s="121">
        <v>15.512605938095414</v>
      </c>
      <c r="G511" s="121">
        <v>-2596.599209349486</v>
      </c>
      <c r="H511" s="121">
        <v>0.149122450076554</v>
      </c>
      <c r="N511" s="121"/>
      <c r="O511" s="121"/>
      <c r="P511" s="121"/>
      <c r="R511">
        <v>299.67650476322115</v>
      </c>
      <c r="S511">
        <v>60.769969849040848</v>
      </c>
      <c r="T511">
        <v>227.30282426677613</v>
      </c>
      <c r="U511">
        <v>93.695945613715466</v>
      </c>
      <c r="X511">
        <v>0.89373134430740708</v>
      </c>
      <c r="Y511">
        <v>0.75104153688562003</v>
      </c>
      <c r="Z511">
        <v>0.78018361936249292</v>
      </c>
      <c r="AA511">
        <v>0.8400854536179605</v>
      </c>
      <c r="AB511">
        <v>0.9498528571199566</v>
      </c>
      <c r="AC511">
        <v>0.57831311365461702</v>
      </c>
      <c r="AD511">
        <v>0.76410880507567447</v>
      </c>
      <c r="AE511">
        <v>0.71484066163557369</v>
      </c>
      <c r="AH511">
        <v>0.29022625874686669</v>
      </c>
      <c r="AI511">
        <v>0.34348589417646769</v>
      </c>
      <c r="AJ511">
        <v>0.19746215225191932</v>
      </c>
      <c r="AK511">
        <v>0.29524946778195327</v>
      </c>
      <c r="AL511">
        <v>4.8791969630152199E-2</v>
      </c>
      <c r="AM511">
        <v>0.17813097116961252</v>
      </c>
      <c r="AN511">
        <v>0.16185886236451785</v>
      </c>
      <c r="AO511">
        <v>0.12133872204432528</v>
      </c>
      <c r="AR511">
        <v>8.516097598240738E-4</v>
      </c>
      <c r="AS511">
        <v>4.5135707177490492E-3</v>
      </c>
      <c r="AT511">
        <v>5.148480950197265E-3</v>
      </c>
      <c r="AU511">
        <v>2.2933816206267554E-3</v>
      </c>
      <c r="AV511">
        <v>2.1320140957969969E-3</v>
      </c>
      <c r="AW511">
        <v>3.3259775505088385E-3</v>
      </c>
      <c r="AX511">
        <v>4.1629853232572067E-4</v>
      </c>
      <c r="AY511">
        <v>3.8761190680142979E-4</v>
      </c>
      <c r="BB511">
        <v>4.6095344556727966E-2</v>
      </c>
      <c r="BC511">
        <v>5.7447996559200409E-2</v>
      </c>
      <c r="BE511">
        <v>76936.984361134237</v>
      </c>
      <c r="BF511">
        <v>15.661728388171968</v>
      </c>
      <c r="BG511">
        <v>79533.583570483723</v>
      </c>
      <c r="BH511">
        <v>15.512605938095414</v>
      </c>
      <c r="BI511">
        <v>-2596.599209349486</v>
      </c>
      <c r="BJ511">
        <v>0.149122450076554</v>
      </c>
    </row>
    <row r="512" spans="3:62" x14ac:dyDescent="0.2">
      <c r="C512" s="121">
        <v>70601.279052140075</v>
      </c>
      <c r="D512">
        <v>16.188932212859189</v>
      </c>
      <c r="E512" s="121">
        <v>71831.016921599046</v>
      </c>
      <c r="F512" s="121">
        <v>16.064638091755075</v>
      </c>
      <c r="G512" s="121">
        <v>-1229.7378694589715</v>
      </c>
      <c r="H512" s="121">
        <v>0.1242941211041142</v>
      </c>
      <c r="N512" s="121"/>
      <c r="O512" s="121"/>
      <c r="P512" s="121"/>
      <c r="R512">
        <v>269.37043832905891</v>
      </c>
      <c r="S512">
        <v>59.558243405833522</v>
      </c>
      <c r="T512">
        <v>246.79383340734455</v>
      </c>
      <c r="U512">
        <v>99.763471665341598</v>
      </c>
      <c r="X512">
        <v>0.79364177934763325</v>
      </c>
      <c r="Y512">
        <v>0.77327761262274941</v>
      </c>
      <c r="Z512">
        <v>0.6472969977419355</v>
      </c>
      <c r="AA512">
        <v>0.76400373619420237</v>
      </c>
      <c r="AB512">
        <v>0.9283212323575496</v>
      </c>
      <c r="AC512">
        <v>0.94605009484489866</v>
      </c>
      <c r="AD512">
        <v>0.65901683059663918</v>
      </c>
      <c r="AE512">
        <v>0.82595849516222386</v>
      </c>
      <c r="AH512">
        <v>2.0275910469849667E-2</v>
      </c>
      <c r="AI512">
        <v>0.12545446390426662</v>
      </c>
      <c r="AJ512">
        <v>0.14871736326186646</v>
      </c>
      <c r="AK512">
        <v>0.35449559993803148</v>
      </c>
      <c r="AL512">
        <v>7.1541020122485643E-2</v>
      </c>
      <c r="AM512">
        <v>3.4668161417101273E-2</v>
      </c>
      <c r="AN512">
        <v>0.12754582011119264</v>
      </c>
      <c r="AO512">
        <v>0.12444781725343601</v>
      </c>
      <c r="AR512">
        <v>7.9446753103300119E-4</v>
      </c>
      <c r="AS512">
        <v>4.661471624528013E-3</v>
      </c>
      <c r="AT512">
        <v>4.6874613929055991E-3</v>
      </c>
      <c r="AU512">
        <v>2.4593851012854051E-3</v>
      </c>
      <c r="AV512">
        <v>1.8797612838486169E-3</v>
      </c>
      <c r="AW512">
        <v>3.3748874577663951E-3</v>
      </c>
      <c r="AX512">
        <v>3.4820987932355059E-4</v>
      </c>
      <c r="AY512">
        <v>4.4449603863236137E-4</v>
      </c>
      <c r="BB512">
        <v>5.3307586434280907E-2</v>
      </c>
      <c r="BC512">
        <v>4.060538709148187E-2</v>
      </c>
      <c r="BE512">
        <v>70601.279052140075</v>
      </c>
      <c r="BF512">
        <v>16.188932212859189</v>
      </c>
      <c r="BG512">
        <v>71831.016921599046</v>
      </c>
      <c r="BH512">
        <v>16.064638091755075</v>
      </c>
      <c r="BI512">
        <v>-1229.7378694589715</v>
      </c>
      <c r="BJ512">
        <v>0.1242941211041142</v>
      </c>
    </row>
    <row r="513" spans="3:62" x14ac:dyDescent="0.2">
      <c r="C513" s="121">
        <v>67326.980266026745</v>
      </c>
      <c r="D513">
        <v>16.17077042686067</v>
      </c>
      <c r="E513" s="121">
        <v>68323.907317474368</v>
      </c>
      <c r="F513" s="121">
        <v>16.067211826205142</v>
      </c>
      <c r="G513" s="121">
        <v>-996.92705144762294</v>
      </c>
      <c r="H513" s="121">
        <v>0.10355860065552847</v>
      </c>
      <c r="N513" s="121"/>
      <c r="O513" s="121"/>
      <c r="P513" s="121"/>
      <c r="R513">
        <v>455.92434222052998</v>
      </c>
      <c r="S513">
        <v>64.766505158035883</v>
      </c>
      <c r="T513">
        <v>225.5629383699661</v>
      </c>
      <c r="U513">
        <v>92.828488011037649</v>
      </c>
      <c r="X513">
        <v>0.51731445946616139</v>
      </c>
      <c r="Y513">
        <v>0.94875454265142134</v>
      </c>
      <c r="Z513">
        <v>0.71196358602960985</v>
      </c>
      <c r="AA513">
        <v>0.72492410985436473</v>
      </c>
      <c r="AB513">
        <v>0.63539724737889003</v>
      </c>
      <c r="AC513">
        <v>0.82418759332083857</v>
      </c>
      <c r="AD513">
        <v>0.69360865364954805</v>
      </c>
      <c r="AE513">
        <v>0.78916632090396022</v>
      </c>
      <c r="AH513">
        <v>0.18695974013420347</v>
      </c>
      <c r="AI513">
        <v>3.7532896064396137E-2</v>
      </c>
      <c r="AJ513">
        <v>0.30388400025989271</v>
      </c>
      <c r="AK513">
        <v>0.11790578586126443</v>
      </c>
      <c r="AL513">
        <v>9.1702261395014584E-2</v>
      </c>
      <c r="AM513">
        <v>0.13013338337187474</v>
      </c>
      <c r="AN513">
        <v>2.8352893911007371E-2</v>
      </c>
      <c r="AO513">
        <v>7.3609299053885024E-3</v>
      </c>
      <c r="AR513">
        <v>8.5375299649738097E-4</v>
      </c>
      <c r="AS513">
        <v>4.5631425163726869E-3</v>
      </c>
      <c r="AT513">
        <v>4.9768665359246622E-3</v>
      </c>
      <c r="AU513">
        <v>2.1254610159193721E-3</v>
      </c>
      <c r="AV513">
        <v>1.8892140467174482E-3</v>
      </c>
      <c r="AW513">
        <v>3.3326841829600059E-3</v>
      </c>
      <c r="AX513">
        <v>4.5638129173375397E-4</v>
      </c>
      <c r="AY513">
        <v>6.0055390769397921E-4</v>
      </c>
      <c r="BB513">
        <v>4.2808870814579916E-2</v>
      </c>
      <c r="BC513">
        <v>5.0827147050059085E-2</v>
      </c>
      <c r="BE513">
        <v>67326.980266026745</v>
      </c>
      <c r="BF513">
        <v>16.17077042686067</v>
      </c>
      <c r="BG513">
        <v>68323.907317474368</v>
      </c>
      <c r="BH513">
        <v>16.067211826205142</v>
      </c>
      <c r="BI513">
        <v>-996.92705144762294</v>
      </c>
      <c r="BJ513">
        <v>0.10355860065552847</v>
      </c>
    </row>
    <row r="514" spans="3:62" x14ac:dyDescent="0.2">
      <c r="C514" s="121">
        <v>69276.549583159882</v>
      </c>
      <c r="D514">
        <v>17.120872201582522</v>
      </c>
      <c r="E514" s="121">
        <v>70770.943126721089</v>
      </c>
      <c r="F514" s="121">
        <v>16.977194536450103</v>
      </c>
      <c r="G514" s="121">
        <v>-1494.3935435612075</v>
      </c>
      <c r="H514" s="121">
        <v>0.14367766513241875</v>
      </c>
      <c r="N514" s="121"/>
      <c r="O514" s="121"/>
      <c r="P514" s="121"/>
      <c r="R514">
        <v>218.19097774846981</v>
      </c>
      <c r="S514">
        <v>71.245044071154425</v>
      </c>
      <c r="T514">
        <v>221.86769599664584</v>
      </c>
      <c r="U514">
        <v>101.511005292628</v>
      </c>
      <c r="X514">
        <v>0.93314186302578006</v>
      </c>
      <c r="Y514">
        <v>0.82381030476407191</v>
      </c>
      <c r="Z514">
        <v>0.88988540705397745</v>
      </c>
      <c r="AA514">
        <v>0.81148779960493411</v>
      </c>
      <c r="AB514">
        <v>0.70891400028104756</v>
      </c>
      <c r="AC514">
        <v>0.58646467631268184</v>
      </c>
      <c r="AD514">
        <v>0.83583523791997494</v>
      </c>
      <c r="AE514">
        <v>0.94657492813145949</v>
      </c>
      <c r="AH514">
        <v>0.21138813876720441</v>
      </c>
      <c r="AI514">
        <v>0.17215131386401294</v>
      </c>
      <c r="AJ514">
        <v>0.1995916976665314</v>
      </c>
      <c r="AK514">
        <v>0.10275864337782492</v>
      </c>
      <c r="AL514">
        <v>0.13171571828740303</v>
      </c>
      <c r="AM514">
        <v>0.1520249903060108</v>
      </c>
      <c r="AN514">
        <v>0.17094545836338693</v>
      </c>
      <c r="AO514">
        <v>0.12495701728923037</v>
      </c>
      <c r="AR514">
        <v>8.0249647705431715E-4</v>
      </c>
      <c r="AS514">
        <v>4.3290606049373641E-3</v>
      </c>
      <c r="AT514">
        <v>4.6622582398830725E-3</v>
      </c>
      <c r="AU514">
        <v>2.0227608540566155E-3</v>
      </c>
      <c r="AV514">
        <v>1.7586993947109686E-3</v>
      </c>
      <c r="AW514">
        <v>3.4330074697910273E-3</v>
      </c>
      <c r="AX514">
        <v>5.1221186858452228E-4</v>
      </c>
      <c r="AY514">
        <v>4.6211063597156876E-4</v>
      </c>
      <c r="BB514">
        <v>4.8461918232493101E-2</v>
      </c>
      <c r="BC514">
        <v>2.2145792530811795E-2</v>
      </c>
      <c r="BE514">
        <v>69276.549583159882</v>
      </c>
      <c r="BF514">
        <v>17.120872201582522</v>
      </c>
      <c r="BG514">
        <v>70770.943126721089</v>
      </c>
      <c r="BH514">
        <v>16.977194536450103</v>
      </c>
      <c r="BI514">
        <v>-1494.3935435612075</v>
      </c>
      <c r="BJ514">
        <v>0.14367766513241875</v>
      </c>
    </row>
    <row r="515" spans="3:62" x14ac:dyDescent="0.2">
      <c r="C515" s="121">
        <v>70998.277758595839</v>
      </c>
      <c r="D515">
        <v>17.122409312609321</v>
      </c>
      <c r="E515" s="121">
        <v>72513.119849997485</v>
      </c>
      <c r="F515" s="121">
        <v>17.010339015109565</v>
      </c>
      <c r="G515" s="121">
        <v>-1514.842091401646</v>
      </c>
      <c r="H515" s="121">
        <v>0.11207029749975561</v>
      </c>
      <c r="N515" s="121"/>
      <c r="O515" s="121"/>
      <c r="P515" s="121"/>
      <c r="R515">
        <v>257.07881280517518</v>
      </c>
      <c r="S515">
        <v>63.813139154804098</v>
      </c>
      <c r="T515">
        <v>214.96944647265764</v>
      </c>
      <c r="U515">
        <v>94.062827671292425</v>
      </c>
      <c r="X515">
        <v>0.80624387038449152</v>
      </c>
      <c r="Y515">
        <v>0.55574528622598385</v>
      </c>
      <c r="Z515">
        <v>0.93004301031185621</v>
      </c>
      <c r="AA515">
        <v>0.69726133008940383</v>
      </c>
      <c r="AB515">
        <v>0.7091423616519188</v>
      </c>
      <c r="AC515">
        <v>0.71021887523988847</v>
      </c>
      <c r="AD515">
        <v>0.44121218330878115</v>
      </c>
      <c r="AE515">
        <v>0.66280865033361214</v>
      </c>
      <c r="AH515">
        <v>6.3037636903928718E-3</v>
      </c>
      <c r="AI515">
        <v>0.10644386217453827</v>
      </c>
      <c r="AJ515">
        <v>2.8223931420103709E-2</v>
      </c>
      <c r="AK515">
        <v>0.10954930979317445</v>
      </c>
      <c r="AL515">
        <v>0.19110344444122884</v>
      </c>
      <c r="AM515">
        <v>8.2548706786216508E-2</v>
      </c>
      <c r="AN515">
        <v>5.7866108848773745E-2</v>
      </c>
      <c r="AO515">
        <v>0.11750318556482298</v>
      </c>
      <c r="AR515">
        <v>1.0103863646145905E-3</v>
      </c>
      <c r="AS515">
        <v>4.5916243817543112E-3</v>
      </c>
      <c r="AT515">
        <v>5.0954205418349829E-3</v>
      </c>
      <c r="AU515">
        <v>1.9270646963651917E-3</v>
      </c>
      <c r="AV515">
        <v>2.0961051424309707E-3</v>
      </c>
      <c r="AW515">
        <v>3.2935394384325418E-3</v>
      </c>
      <c r="AX515">
        <v>3.8572211926464646E-4</v>
      </c>
      <c r="AY515">
        <v>3.9323841250605033E-4</v>
      </c>
      <c r="BB515">
        <v>4.7301572093237494E-2</v>
      </c>
      <c r="BC515">
        <v>8.3933941388114053E-2</v>
      </c>
      <c r="BE515">
        <v>70998.277758595839</v>
      </c>
      <c r="BF515">
        <v>17.122409312609321</v>
      </c>
      <c r="BG515">
        <v>72513.119849997485</v>
      </c>
      <c r="BH515">
        <v>17.010339015109565</v>
      </c>
      <c r="BI515">
        <v>-1514.842091401646</v>
      </c>
      <c r="BJ515">
        <v>0.11207029749975561</v>
      </c>
    </row>
    <row r="516" spans="3:62" x14ac:dyDescent="0.2">
      <c r="C516" s="121">
        <v>65989.680051472649</v>
      </c>
      <c r="D516">
        <v>16.544829050996622</v>
      </c>
      <c r="E516" s="121">
        <v>67380.770838105876</v>
      </c>
      <c r="F516" s="121">
        <v>16.447299816930318</v>
      </c>
      <c r="G516" s="121">
        <v>-1391.0907866332273</v>
      </c>
      <c r="H516" s="121">
        <v>9.7529234066303871E-2</v>
      </c>
      <c r="N516" s="121"/>
      <c r="O516" s="121"/>
      <c r="P516" s="121"/>
      <c r="R516">
        <v>34.706917560801372</v>
      </c>
      <c r="S516">
        <v>53.130533178312533</v>
      </c>
      <c r="T516">
        <v>265.96376010781972</v>
      </c>
      <c r="U516">
        <v>105.49087217134651</v>
      </c>
      <c r="X516">
        <v>0.58218574911191479</v>
      </c>
      <c r="Y516">
        <v>0.67972235384582325</v>
      </c>
      <c r="Z516">
        <v>0.84836835388984633</v>
      </c>
      <c r="AA516">
        <v>0.92225327703977678</v>
      </c>
      <c r="AB516">
        <v>0.53869027446700224</v>
      </c>
      <c r="AC516">
        <v>0.78693853927236468</v>
      </c>
      <c r="AD516">
        <v>0.57302770457637364</v>
      </c>
      <c r="AE516">
        <v>0.76180736185031828</v>
      </c>
      <c r="AH516">
        <v>5.4072686313389573E-2</v>
      </c>
      <c r="AI516">
        <v>3.0996552645599085E-3</v>
      </c>
      <c r="AJ516">
        <v>0.22082821914118966</v>
      </c>
      <c r="AK516">
        <v>3.1272673699017206E-2</v>
      </c>
      <c r="AL516">
        <v>0.32361762111570824</v>
      </c>
      <c r="AM516">
        <v>1.3365351243849632E-2</v>
      </c>
      <c r="AN516">
        <v>0.1229040970307913</v>
      </c>
      <c r="AO516">
        <v>0.11448853555507854</v>
      </c>
      <c r="AR516">
        <v>8.4014902475724844E-4</v>
      </c>
      <c r="AS516">
        <v>4.6917794659006029E-3</v>
      </c>
      <c r="AT516">
        <v>4.9679391301296061E-3</v>
      </c>
      <c r="AU516">
        <v>1.9459291446817161E-3</v>
      </c>
      <c r="AV516">
        <v>2.0413496725489866E-3</v>
      </c>
      <c r="AW516">
        <v>3.173353564751047E-3</v>
      </c>
      <c r="AX516">
        <v>3.2236537340313325E-4</v>
      </c>
      <c r="AY516">
        <v>3.639894830542806E-4</v>
      </c>
      <c r="BB516">
        <v>5.9303169564915437E-2</v>
      </c>
      <c r="BC516">
        <v>4.524515108071047E-2</v>
      </c>
      <c r="BE516">
        <v>65989.680051472649</v>
      </c>
      <c r="BF516">
        <v>16.544829050996622</v>
      </c>
      <c r="BG516">
        <v>67380.770838105876</v>
      </c>
      <c r="BH516">
        <v>16.447299816930318</v>
      </c>
      <c r="BI516">
        <v>-1391.0907866332273</v>
      </c>
      <c r="BJ516">
        <v>9.7529234066303871E-2</v>
      </c>
    </row>
    <row r="517" spans="3:62" x14ac:dyDescent="0.2">
      <c r="C517" s="121">
        <v>71664.895395416141</v>
      </c>
      <c r="D517">
        <v>16.786859498907702</v>
      </c>
      <c r="E517" s="121">
        <v>73276.736018021096</v>
      </c>
      <c r="F517" s="121">
        <v>16.661757118886573</v>
      </c>
      <c r="G517" s="121">
        <v>-1611.8406226049556</v>
      </c>
      <c r="H517" s="121">
        <v>0.12510238002112928</v>
      </c>
      <c r="N517" s="121"/>
      <c r="O517" s="121"/>
      <c r="P517" s="121"/>
      <c r="R517">
        <v>223.63262098501519</v>
      </c>
      <c r="S517">
        <v>60.453934122655696</v>
      </c>
      <c r="T517">
        <v>224.35181264101456</v>
      </c>
      <c r="U517">
        <v>103.3677066073143</v>
      </c>
      <c r="X517">
        <v>0.84349964916677522</v>
      </c>
      <c r="Y517">
        <v>0.70136975420883452</v>
      </c>
      <c r="Z517">
        <v>0.62599608857941824</v>
      </c>
      <c r="AA517">
        <v>0.49716203600259812</v>
      </c>
      <c r="AB517">
        <v>0.78527467075081081</v>
      </c>
      <c r="AC517">
        <v>0.83039978009188342</v>
      </c>
      <c r="AD517">
        <v>0.92677623223808592</v>
      </c>
      <c r="AE517">
        <v>0.60902499984708225</v>
      </c>
      <c r="AH517">
        <v>4.7259304121640922E-2</v>
      </c>
      <c r="AI517">
        <v>0.11115925351251255</v>
      </c>
      <c r="AJ517">
        <v>0.14819256872836195</v>
      </c>
      <c r="AK517">
        <v>0.12164405082192853</v>
      </c>
      <c r="AL517">
        <v>2.987235668333077E-2</v>
      </c>
      <c r="AM517">
        <v>0.13781476425030836</v>
      </c>
      <c r="AN517">
        <v>0.13380727277383286</v>
      </c>
      <c r="AO517">
        <v>0.18813065547483732</v>
      </c>
      <c r="AR517">
        <v>9.6813414220986438E-4</v>
      </c>
      <c r="AS517">
        <v>4.5864428676813951E-3</v>
      </c>
      <c r="AT517">
        <v>4.5251424099707355E-3</v>
      </c>
      <c r="AU517">
        <v>2.0238197733696284E-3</v>
      </c>
      <c r="AV517">
        <v>2.0503890699999916E-3</v>
      </c>
      <c r="AW517">
        <v>3.4827560225754173E-3</v>
      </c>
      <c r="AX517">
        <v>3.7469145318775612E-4</v>
      </c>
      <c r="AY517">
        <v>3.1273552714968525E-4</v>
      </c>
      <c r="BB517">
        <v>5.9030927221173757E-2</v>
      </c>
      <c r="BC517">
        <v>3.457829813757219E-2</v>
      </c>
      <c r="BE517">
        <v>71664.895395416141</v>
      </c>
      <c r="BF517">
        <v>16.786859498907702</v>
      </c>
      <c r="BG517">
        <v>73276.736018021096</v>
      </c>
      <c r="BH517">
        <v>16.661757118886573</v>
      </c>
      <c r="BI517">
        <v>-1611.8406226049556</v>
      </c>
      <c r="BJ517">
        <v>0.12510238002112928</v>
      </c>
    </row>
    <row r="518" spans="3:62" x14ac:dyDescent="0.2">
      <c r="C518" s="123">
        <v>57364.503226667963</v>
      </c>
      <c r="D518">
        <v>17.595321614593555</v>
      </c>
      <c r="E518" s="123">
        <v>58594.335942834929</v>
      </c>
      <c r="F518" s="123">
        <v>17.467741069468936</v>
      </c>
      <c r="G518" s="123">
        <v>-1229.8327161669658</v>
      </c>
      <c r="H518" s="123">
        <v>0.12758054512461925</v>
      </c>
      <c r="N518" s="121"/>
      <c r="O518" s="121"/>
      <c r="P518" s="121"/>
      <c r="R518">
        <v>277.59526984781201</v>
      </c>
      <c r="S518">
        <v>60.048774888349861</v>
      </c>
      <c r="T518">
        <v>253.46016261703343</v>
      </c>
      <c r="U518">
        <v>75.917391766731825</v>
      </c>
      <c r="X518">
        <v>0.86953083835753353</v>
      </c>
      <c r="Y518">
        <v>0.75117578744584546</v>
      </c>
      <c r="Z518">
        <v>0.48478754935151808</v>
      </c>
      <c r="AA518">
        <v>0.61036673199568137</v>
      </c>
      <c r="AB518">
        <v>0.67616461787333004</v>
      </c>
      <c r="AC518">
        <v>0.67408901655022291</v>
      </c>
      <c r="AD518">
        <v>0.70259557185783428</v>
      </c>
      <c r="AE518">
        <v>0.52389533133662058</v>
      </c>
      <c r="AH518">
        <v>0.12120130895278847</v>
      </c>
      <c r="AI518">
        <v>0.14616597525264097</v>
      </c>
      <c r="AJ518">
        <v>0.33798193685696953</v>
      </c>
      <c r="AK518">
        <v>0.27124811323078057</v>
      </c>
      <c r="AL518">
        <v>5.5332863269242805E-2</v>
      </c>
      <c r="AM518">
        <v>7.4411690321282697E-2</v>
      </c>
      <c r="AN518">
        <v>9.7093091993881164E-2</v>
      </c>
      <c r="AO518">
        <v>0.19409289311887301</v>
      </c>
      <c r="AR518">
        <v>9.2716981996332493E-4</v>
      </c>
      <c r="AS518">
        <v>4.3483218581325403E-3</v>
      </c>
      <c r="AT518">
        <v>5.0698742942716368E-3</v>
      </c>
      <c r="AU518">
        <v>1.9859096413348742E-3</v>
      </c>
      <c r="AV518">
        <v>2.0039815200122435E-3</v>
      </c>
      <c r="AW518">
        <v>3.221109541150069E-3</v>
      </c>
      <c r="AX518">
        <v>3.293397453519767E-4</v>
      </c>
      <c r="AY518">
        <v>3.9444961330360056E-4</v>
      </c>
      <c r="BB518">
        <v>4.5216702494528138E-2</v>
      </c>
      <c r="BC518">
        <v>4.0901864450131539E-2</v>
      </c>
      <c r="BE518">
        <v>57364.503226667963</v>
      </c>
      <c r="BF518">
        <v>17.595321614593555</v>
      </c>
      <c r="BG518">
        <v>58594.335942834929</v>
      </c>
      <c r="BH518">
        <v>17.467741069468936</v>
      </c>
      <c r="BI518">
        <v>-1229.8327161669658</v>
      </c>
      <c r="BJ518">
        <v>0.12758054512461925</v>
      </c>
    </row>
    <row r="519" spans="3:62" x14ac:dyDescent="0.2">
      <c r="C519" s="121">
        <v>72910.689005562104</v>
      </c>
      <c r="D519">
        <v>16.051946690693793</v>
      </c>
      <c r="E519" s="121">
        <v>74608.22182176607</v>
      </c>
      <c r="F519" s="121">
        <v>15.90141848112623</v>
      </c>
      <c r="G519" s="121">
        <v>-1697.5328162039659</v>
      </c>
      <c r="H519" s="121">
        <v>0.15052820956756285</v>
      </c>
      <c r="N519" s="121"/>
      <c r="O519" s="121"/>
      <c r="P519" s="121"/>
      <c r="R519">
        <v>230.05958488245994</v>
      </c>
      <c r="S519">
        <v>59.722332565716577</v>
      </c>
      <c r="T519">
        <v>247.02970159063568</v>
      </c>
      <c r="U519">
        <v>97.5068706047809</v>
      </c>
      <c r="X519">
        <v>0.71357513921430016</v>
      </c>
      <c r="Y519">
        <v>0.76856082425787764</v>
      </c>
      <c r="Z519">
        <v>0.69760235066669163</v>
      </c>
      <c r="AA519">
        <v>0.68566775153865533</v>
      </c>
      <c r="AB519">
        <v>0.63166355471079372</v>
      </c>
      <c r="AC519">
        <v>0.81873577753238336</v>
      </c>
      <c r="AD519">
        <v>0.43529170866330613</v>
      </c>
      <c r="AE519">
        <v>0.61910893686506219</v>
      </c>
      <c r="AH519">
        <v>0.24620420268985643</v>
      </c>
      <c r="AI519">
        <v>0.17280892248102198</v>
      </c>
      <c r="AJ519">
        <v>0.123836823649496</v>
      </c>
      <c r="AK519">
        <v>6.9705764099666223E-2</v>
      </c>
      <c r="AL519">
        <v>4.9996436195305027E-2</v>
      </c>
      <c r="AM519">
        <v>9.0232706312776356E-2</v>
      </c>
      <c r="AN519">
        <v>0.15388423756780623</v>
      </c>
      <c r="AO519">
        <v>8.6096420078247693E-3</v>
      </c>
      <c r="AR519">
        <v>1.1254288685433878E-3</v>
      </c>
      <c r="AS519">
        <v>4.2183055794671655E-3</v>
      </c>
      <c r="AT519">
        <v>5.1799789184568956E-3</v>
      </c>
      <c r="AU519">
        <v>2.0164075744717458E-3</v>
      </c>
      <c r="AV519">
        <v>2.0123093245820733E-3</v>
      </c>
      <c r="AW519">
        <v>3.794241900353823E-3</v>
      </c>
      <c r="AX519">
        <v>3.9937587840055411E-4</v>
      </c>
      <c r="AY519">
        <v>5.3979807180182249E-4</v>
      </c>
      <c r="BB519">
        <v>5.4653422181863642E-2</v>
      </c>
      <c r="BC519">
        <v>1.0560166959596088E-2</v>
      </c>
      <c r="BE519">
        <v>72910.689005562104</v>
      </c>
      <c r="BF519">
        <v>16.051946690693793</v>
      </c>
      <c r="BG519">
        <v>74608.22182176607</v>
      </c>
      <c r="BH519">
        <v>15.90141848112623</v>
      </c>
      <c r="BI519">
        <v>-1697.5328162039659</v>
      </c>
      <c r="BJ519">
        <v>0.15052820956756285</v>
      </c>
    </row>
    <row r="520" spans="3:62" x14ac:dyDescent="0.2">
      <c r="C520" s="121">
        <v>76341.970822634568</v>
      </c>
      <c r="D520">
        <v>15.704205006656874</v>
      </c>
      <c r="E520" s="121">
        <v>77660.980247027779</v>
      </c>
      <c r="F520" s="121">
        <v>15.589068305536641</v>
      </c>
      <c r="G520" s="121">
        <v>-1319.0094243932108</v>
      </c>
      <c r="H520" s="121">
        <v>0.11513670112023355</v>
      </c>
      <c r="N520" s="121"/>
      <c r="O520" s="121"/>
      <c r="P520" s="121"/>
      <c r="R520">
        <v>231.01659432053856</v>
      </c>
      <c r="S520">
        <v>60.397551693553865</v>
      </c>
      <c r="T520">
        <v>283.01621459355755</v>
      </c>
      <c r="U520">
        <v>89.270684176108389</v>
      </c>
      <c r="X520">
        <v>0.79545157801969779</v>
      </c>
      <c r="Y520">
        <v>0.57878360413055208</v>
      </c>
      <c r="Z520">
        <v>0.78972057475042789</v>
      </c>
      <c r="AA520">
        <v>0.71147572043409024</v>
      </c>
      <c r="AB520">
        <v>0.58310872248565404</v>
      </c>
      <c r="AC520">
        <v>0.93743789318964088</v>
      </c>
      <c r="AD520">
        <v>0.75270553282535901</v>
      </c>
      <c r="AE520">
        <v>0.88001294562884058</v>
      </c>
      <c r="AH520">
        <v>4.3247615576178733E-2</v>
      </c>
      <c r="AI520">
        <v>4.1378048547409119E-2</v>
      </c>
      <c r="AJ520">
        <v>4.7871514281726091E-2</v>
      </c>
      <c r="AK520">
        <v>0.10869453155977149</v>
      </c>
      <c r="AL520">
        <v>0.19039557444096034</v>
      </c>
      <c r="AM520">
        <v>0.11662193545500243</v>
      </c>
      <c r="AN520">
        <v>3.7490488179700465E-2</v>
      </c>
      <c r="AO520">
        <v>0.17503942866831879</v>
      </c>
      <c r="AR520">
        <v>6.9699408549909667E-4</v>
      </c>
      <c r="AS520">
        <v>4.5680338616960192E-3</v>
      </c>
      <c r="AT520">
        <v>4.8753770978333579E-3</v>
      </c>
      <c r="AU520">
        <v>1.7657315568369151E-3</v>
      </c>
      <c r="AV520">
        <v>1.8176751552321103E-3</v>
      </c>
      <c r="AW520">
        <v>3.2655795463841469E-3</v>
      </c>
      <c r="AX520">
        <v>5.3044366957799571E-4</v>
      </c>
      <c r="AY520">
        <v>4.2468761882565812E-4</v>
      </c>
      <c r="BB520">
        <v>4.9956704825167231E-2</v>
      </c>
      <c r="BC520">
        <v>4.8127771322206914E-2</v>
      </c>
      <c r="BE520">
        <v>76341.970822634568</v>
      </c>
      <c r="BF520">
        <v>15.704205006656874</v>
      </c>
      <c r="BG520">
        <v>77660.980247027779</v>
      </c>
      <c r="BH520">
        <v>15.589068305536641</v>
      </c>
      <c r="BI520">
        <v>-1319.0094243932108</v>
      </c>
      <c r="BJ520">
        <v>0.11513670112023355</v>
      </c>
    </row>
    <row r="521" spans="3:62" x14ac:dyDescent="0.2">
      <c r="C521" s="121">
        <v>73235.150316259766</v>
      </c>
      <c r="D521">
        <v>15.089323492707518</v>
      </c>
      <c r="E521" s="121">
        <v>74811.31848028794</v>
      </c>
      <c r="F521" s="121">
        <v>14.960934432589818</v>
      </c>
      <c r="G521" s="121">
        <v>-1576.1681640281749</v>
      </c>
      <c r="H521" s="121">
        <v>0.12838906011769957</v>
      </c>
      <c r="N521" s="121"/>
      <c r="O521" s="121"/>
      <c r="P521" s="121"/>
      <c r="R521">
        <v>249.54810632317631</v>
      </c>
      <c r="S521">
        <v>60.43097747303888</v>
      </c>
      <c r="T521">
        <v>240.6240336600568</v>
      </c>
      <c r="U521">
        <v>107.40817181872107</v>
      </c>
      <c r="X521">
        <v>0.66520496103201121</v>
      </c>
      <c r="Y521">
        <v>0.85586032344655272</v>
      </c>
      <c r="Z521">
        <v>0.70920243732151644</v>
      </c>
      <c r="AA521">
        <v>0.56198955933721717</v>
      </c>
      <c r="AB521">
        <v>0.43109330452430705</v>
      </c>
      <c r="AC521">
        <v>0.7333234790649461</v>
      </c>
      <c r="AD521">
        <v>0.85429984544061044</v>
      </c>
      <c r="AE521">
        <v>0.69791293213869066</v>
      </c>
      <c r="AH521">
        <v>4.0102639732091383E-3</v>
      </c>
      <c r="AI521">
        <v>8.4028816440777754E-2</v>
      </c>
      <c r="AJ521">
        <v>6.3687553441485467E-2</v>
      </c>
      <c r="AK521">
        <v>5.1860200969706227E-2</v>
      </c>
      <c r="AL521">
        <v>0.1805329584098061</v>
      </c>
      <c r="AM521">
        <v>2.5722336371014065E-2</v>
      </c>
      <c r="AN521">
        <v>0.24034265244451025</v>
      </c>
      <c r="AO521">
        <v>0.30172772523904345</v>
      </c>
      <c r="AR521">
        <v>7.0797675476583092E-4</v>
      </c>
      <c r="AS521">
        <v>4.4285194650696014E-3</v>
      </c>
      <c r="AT521">
        <v>4.6463972784870069E-3</v>
      </c>
      <c r="AU521">
        <v>2.0044106917125326E-3</v>
      </c>
      <c r="AV521">
        <v>2.1220034938822518E-3</v>
      </c>
      <c r="AW521">
        <v>3.2097980619484154E-3</v>
      </c>
      <c r="AX521">
        <v>3.2958871094053221E-4</v>
      </c>
      <c r="AY521">
        <v>4.6864733533547032E-4</v>
      </c>
      <c r="BB521">
        <v>5.7735021159091793E-2</v>
      </c>
      <c r="BC521">
        <v>4.5738150022882708E-2</v>
      </c>
      <c r="BE521">
        <v>73235.150316259766</v>
      </c>
      <c r="BF521">
        <v>15.089323492707518</v>
      </c>
      <c r="BG521">
        <v>74811.31848028794</v>
      </c>
      <c r="BH521">
        <v>14.960934432589818</v>
      </c>
      <c r="BI521">
        <v>-1576.1681640281749</v>
      </c>
      <c r="BJ521">
        <v>0.12838906011769957</v>
      </c>
    </row>
    <row r="522" spans="3:62" x14ac:dyDescent="0.2">
      <c r="C522" s="121">
        <v>74102.521793093896</v>
      </c>
      <c r="D522">
        <v>13.777117298825319</v>
      </c>
      <c r="E522" s="121">
        <v>75080.832515856964</v>
      </c>
      <c r="F522" s="121">
        <v>13.721063646412262</v>
      </c>
      <c r="G522" s="121">
        <v>-978.31072276306804</v>
      </c>
      <c r="H522" s="121">
        <v>5.6053652413057264E-2</v>
      </c>
      <c r="N522" s="121"/>
      <c r="O522" s="121"/>
      <c r="P522" s="121"/>
      <c r="R522">
        <v>150.69173412964568</v>
      </c>
      <c r="S522">
        <v>68.36181215650295</v>
      </c>
      <c r="T522">
        <v>278.93961028295121</v>
      </c>
      <c r="U522">
        <v>92.381601812455457</v>
      </c>
      <c r="X522">
        <v>0.67896310241730939</v>
      </c>
      <c r="Y522">
        <v>0.8293694568242429</v>
      </c>
      <c r="Z522">
        <v>0.77222257256096749</v>
      </c>
      <c r="AA522">
        <v>0.62705120471625497</v>
      </c>
      <c r="AB522">
        <v>0.68541982406959201</v>
      </c>
      <c r="AC522">
        <v>0.82891970541703952</v>
      </c>
      <c r="AD522">
        <v>0.96601877579959872</v>
      </c>
      <c r="AE522">
        <v>0.80851512039212059</v>
      </c>
      <c r="AH522">
        <v>6.3128498606518146E-2</v>
      </c>
      <c r="AI522">
        <v>0.24672642281905433</v>
      </c>
      <c r="AJ522">
        <v>0.27391847690388693</v>
      </c>
      <c r="AK522">
        <v>0.18495701049507152</v>
      </c>
      <c r="AL522">
        <v>0.23148439624936246</v>
      </c>
      <c r="AM522">
        <v>1.9871178026127923E-2</v>
      </c>
      <c r="AN522">
        <v>0.35337211758352061</v>
      </c>
      <c r="AO522">
        <v>0.13549097037007252</v>
      </c>
      <c r="AR522">
        <v>7.9560142858865746E-4</v>
      </c>
      <c r="AS522">
        <v>4.8701208310537591E-3</v>
      </c>
      <c r="AT522">
        <v>4.9965154194171468E-3</v>
      </c>
      <c r="AU522">
        <v>1.9184419794337593E-3</v>
      </c>
      <c r="AV522">
        <v>1.7261687579101887E-3</v>
      </c>
      <c r="AW522">
        <v>3.2168409179049273E-3</v>
      </c>
      <c r="AX522">
        <v>3.5156686591882941E-4</v>
      </c>
      <c r="AY522">
        <v>3.4519609379467372E-4</v>
      </c>
      <c r="BB522">
        <v>4.5680942074146594E-2</v>
      </c>
      <c r="BC522">
        <v>4.0468225669713455E-2</v>
      </c>
      <c r="BE522">
        <v>74102.521793093896</v>
      </c>
      <c r="BF522">
        <v>13.777117298825319</v>
      </c>
      <c r="BG522">
        <v>75080.832515856964</v>
      </c>
      <c r="BH522">
        <v>13.721063646412262</v>
      </c>
      <c r="BI522">
        <v>-978.31072276306804</v>
      </c>
      <c r="BJ522">
        <v>5.6053652413057264E-2</v>
      </c>
    </row>
    <row r="523" spans="3:62" x14ac:dyDescent="0.2">
      <c r="C523" s="121">
        <v>70783.331328141037</v>
      </c>
      <c r="D523">
        <v>15.693983308207867</v>
      </c>
      <c r="E523" s="121">
        <v>72921.933858809818</v>
      </c>
      <c r="F523" s="121">
        <v>15.591949783534126</v>
      </c>
      <c r="G523" s="121">
        <v>-2138.6025306687807</v>
      </c>
      <c r="H523" s="121">
        <v>0.10203352467374138</v>
      </c>
      <c r="N523" s="121"/>
      <c r="O523" s="121"/>
      <c r="P523" s="121"/>
      <c r="R523">
        <v>272.49602527955449</v>
      </c>
      <c r="S523">
        <v>60.105387818556089</v>
      </c>
      <c r="T523">
        <v>266.58677842874494</v>
      </c>
      <c r="U523">
        <v>88.655087257969555</v>
      </c>
      <c r="X523">
        <v>0.79684682605923574</v>
      </c>
      <c r="Y523">
        <v>0.73949690658594869</v>
      </c>
      <c r="Z523">
        <v>0.67324696062616052</v>
      </c>
      <c r="AA523">
        <v>0.93964039681253975</v>
      </c>
      <c r="AB523">
        <v>0.66007791424884821</v>
      </c>
      <c r="AC523">
        <v>0.81346787942807497</v>
      </c>
      <c r="AD523">
        <v>0.66560915593688885</v>
      </c>
      <c r="AE523">
        <v>0.86312572952900046</v>
      </c>
      <c r="AH523">
        <v>7.8398538318986688E-3</v>
      </c>
      <c r="AI523">
        <v>0.1784022987846412</v>
      </c>
      <c r="AJ523">
        <v>0.13540595653899723</v>
      </c>
      <c r="AK523">
        <v>0.1154403032639848</v>
      </c>
      <c r="AL523">
        <v>0.32407443657147283</v>
      </c>
      <c r="AM523">
        <v>0.11461808408464247</v>
      </c>
      <c r="AN523">
        <v>0.10303830541076398</v>
      </c>
      <c r="AO523">
        <v>0.20053443342682731</v>
      </c>
      <c r="AR523">
        <v>8.5287805804878719E-4</v>
      </c>
      <c r="AS523">
        <v>4.4100413551449932E-3</v>
      </c>
      <c r="AT523">
        <v>5.0099575739515068E-3</v>
      </c>
      <c r="AU523">
        <v>1.9874273528934024E-3</v>
      </c>
      <c r="AV523">
        <v>1.9963390895827372E-3</v>
      </c>
      <c r="AW523">
        <v>3.6290522987401097E-3</v>
      </c>
      <c r="AX523">
        <v>3.7841764535606306E-4</v>
      </c>
      <c r="AY523">
        <v>3.8953874644966546E-4</v>
      </c>
      <c r="BB523">
        <v>4.6929182237509547E-2</v>
      </c>
      <c r="BC523">
        <v>4.9010098587109363E-2</v>
      </c>
      <c r="BE523">
        <v>70783.331328141037</v>
      </c>
      <c r="BF523">
        <v>15.693983308207867</v>
      </c>
      <c r="BG523">
        <v>72921.933858809818</v>
      </c>
      <c r="BH523">
        <v>15.591949783534126</v>
      </c>
      <c r="BI523">
        <v>-2138.6025306687807</v>
      </c>
      <c r="BJ523">
        <v>0.10203352467374138</v>
      </c>
    </row>
    <row r="524" spans="3:62" x14ac:dyDescent="0.2">
      <c r="C524" s="121">
        <v>65642.629734402726</v>
      </c>
      <c r="D524">
        <v>17.177669084431741</v>
      </c>
      <c r="E524" s="121">
        <v>67211.048192280941</v>
      </c>
      <c r="F524" s="121">
        <v>17.027357270937284</v>
      </c>
      <c r="G524" s="121">
        <v>-1568.4184578782151</v>
      </c>
      <c r="H524" s="121">
        <v>0.15031181349445788</v>
      </c>
      <c r="N524" s="121"/>
      <c r="O524" s="121"/>
      <c r="P524" s="121"/>
      <c r="R524">
        <v>266.20842912606679</v>
      </c>
      <c r="S524">
        <v>69.944174472508251</v>
      </c>
      <c r="T524">
        <v>240.14898012814109</v>
      </c>
      <c r="U524">
        <v>107.68474145711778</v>
      </c>
      <c r="X524">
        <v>0.74061169665719961</v>
      </c>
      <c r="Y524">
        <v>0.81393128679635429</v>
      </c>
      <c r="Z524">
        <v>0.70335493635263779</v>
      </c>
      <c r="AA524">
        <v>0.67381281112545277</v>
      </c>
      <c r="AB524">
        <v>0.69494207593315216</v>
      </c>
      <c r="AC524">
        <v>0.82879042450445972</v>
      </c>
      <c r="AD524">
        <v>0.64573344681517753</v>
      </c>
      <c r="AE524">
        <v>0.84448990077815944</v>
      </c>
      <c r="AH524">
        <v>0.14838331774263469</v>
      </c>
      <c r="AI524">
        <v>0.18902996622012003</v>
      </c>
      <c r="AJ524">
        <v>1.457615378280841E-2</v>
      </c>
      <c r="AK524">
        <v>0.30352700396368959</v>
      </c>
      <c r="AL524">
        <v>0.10004157073687336</v>
      </c>
      <c r="AM524">
        <v>0.16051754095280113</v>
      </c>
      <c r="AN524">
        <v>0.28015899316450044</v>
      </c>
      <c r="AO524">
        <v>0.13563172390016864</v>
      </c>
      <c r="AR524">
        <v>1.0022683722762382E-3</v>
      </c>
      <c r="AS524">
        <v>4.3926701533498749E-3</v>
      </c>
      <c r="AT524">
        <v>4.7505639611516376E-3</v>
      </c>
      <c r="AU524">
        <v>1.9691129548587909E-3</v>
      </c>
      <c r="AV524">
        <v>2.0065572147961452E-3</v>
      </c>
      <c r="AW524">
        <v>2.9579549169465387E-3</v>
      </c>
      <c r="AX524">
        <v>4.0254709152276469E-4</v>
      </c>
      <c r="AY524">
        <v>3.9665434137677529E-4</v>
      </c>
      <c r="BB524">
        <v>5.2396480587655114E-2</v>
      </c>
      <c r="BC524">
        <v>4.931403033652626E-2</v>
      </c>
      <c r="BE524">
        <v>65642.629734402726</v>
      </c>
      <c r="BF524">
        <v>17.177669084431741</v>
      </c>
      <c r="BG524">
        <v>67211.048192280941</v>
      </c>
      <c r="BH524">
        <v>17.027357270937284</v>
      </c>
      <c r="BI524">
        <v>-1568.4184578782151</v>
      </c>
      <c r="BJ524">
        <v>0.15031181349445788</v>
      </c>
    </row>
    <row r="525" spans="3:62" x14ac:dyDescent="0.2">
      <c r="C525" s="121">
        <v>62127.331258531987</v>
      </c>
      <c r="D525">
        <v>14.47034207033788</v>
      </c>
      <c r="E525" s="121">
        <v>63873.695425975231</v>
      </c>
      <c r="F525" s="121">
        <v>14.42678642450656</v>
      </c>
      <c r="G525" s="121">
        <v>-1746.3641674432438</v>
      </c>
      <c r="H525" s="121">
        <v>4.3555645831320433E-2</v>
      </c>
      <c r="N525" s="121"/>
      <c r="O525" s="121"/>
      <c r="P525" s="121"/>
      <c r="R525">
        <v>235.72260510517216</v>
      </c>
      <c r="S525">
        <v>51.994060435093999</v>
      </c>
      <c r="T525">
        <v>250.27570743160945</v>
      </c>
      <c r="U525">
        <v>95.218228043975557</v>
      </c>
      <c r="X525">
        <v>0.8010305456361676</v>
      </c>
      <c r="Y525">
        <v>0.94239204045357983</v>
      </c>
      <c r="Z525">
        <v>0.65201957877800132</v>
      </c>
      <c r="AA525">
        <v>0.72616733375184894</v>
      </c>
      <c r="AB525">
        <v>0.80352955409306537</v>
      </c>
      <c r="AC525">
        <v>0.85635040604249513</v>
      </c>
      <c r="AD525">
        <v>0.96035759438952994</v>
      </c>
      <c r="AE525">
        <v>0.78307172225322474</v>
      </c>
      <c r="AH525">
        <v>3.8092975617140201E-2</v>
      </c>
      <c r="AI525">
        <v>8.6404846652978096E-2</v>
      </c>
      <c r="AJ525">
        <v>7.4127934507782101E-2</v>
      </c>
      <c r="AK525">
        <v>0.33566425636580099</v>
      </c>
      <c r="AL525">
        <v>0.17695630800908957</v>
      </c>
      <c r="AM525">
        <v>3.4994005448154675E-2</v>
      </c>
      <c r="AN525">
        <v>0.15644008166554524</v>
      </c>
      <c r="AO525">
        <v>0.11519161848985193</v>
      </c>
      <c r="AR525">
        <v>8.8339802425971769E-4</v>
      </c>
      <c r="AS525">
        <v>4.7761548973954682E-3</v>
      </c>
      <c r="AT525">
        <v>5.3429940867686376E-3</v>
      </c>
      <c r="AU525">
        <v>2.0266018384623719E-3</v>
      </c>
      <c r="AV525">
        <v>2.1003719255164865E-3</v>
      </c>
      <c r="AW525">
        <v>3.3843695403118507E-3</v>
      </c>
      <c r="AX525">
        <v>3.3154972300575991E-4</v>
      </c>
      <c r="AY525">
        <v>4.7657949407198252E-4</v>
      </c>
      <c r="BB525">
        <v>5.857117859753036E-2</v>
      </c>
      <c r="BC525">
        <v>5.3536072218379083E-2</v>
      </c>
      <c r="BE525">
        <v>62127.331258531987</v>
      </c>
      <c r="BF525">
        <v>14.47034207033788</v>
      </c>
      <c r="BG525">
        <v>63873.695425975231</v>
      </c>
      <c r="BH525">
        <v>14.42678642450656</v>
      </c>
      <c r="BI525">
        <v>-1746.3641674432438</v>
      </c>
      <c r="BJ525">
        <v>4.3555645831320433E-2</v>
      </c>
    </row>
    <row r="526" spans="3:62" x14ac:dyDescent="0.2">
      <c r="C526" s="121">
        <v>66879.778985954559</v>
      </c>
      <c r="D526">
        <v>15.128828553203354</v>
      </c>
      <c r="E526" s="121">
        <v>69115.152870129124</v>
      </c>
      <c r="F526" s="121">
        <v>14.944243789750335</v>
      </c>
      <c r="G526" s="121">
        <v>-2235.3738841745653</v>
      </c>
      <c r="H526" s="121">
        <v>0.18458476345301911</v>
      </c>
      <c r="N526" s="121"/>
      <c r="O526" s="121"/>
      <c r="P526" s="121"/>
      <c r="R526">
        <v>32.96991956559674</v>
      </c>
      <c r="S526">
        <v>54.330428596644602</v>
      </c>
      <c r="T526">
        <v>198.60768702038706</v>
      </c>
      <c r="U526">
        <v>113.75363657501576</v>
      </c>
      <c r="X526">
        <v>0.81798875729348897</v>
      </c>
      <c r="Y526">
        <v>0.45773753924366828</v>
      </c>
      <c r="Z526">
        <v>0.88467123858339303</v>
      </c>
      <c r="AA526">
        <v>0.66136182851304137</v>
      </c>
      <c r="AB526">
        <v>0.62234106760477259</v>
      </c>
      <c r="AC526">
        <v>0.74998035109332695</v>
      </c>
      <c r="AD526">
        <v>0.65976159024124958</v>
      </c>
      <c r="AE526">
        <v>0.70361906031671617</v>
      </c>
      <c r="AH526">
        <v>0.14811739916878408</v>
      </c>
      <c r="AI526">
        <v>6.0310253982033046E-2</v>
      </c>
      <c r="AJ526">
        <v>1.071398917852906E-3</v>
      </c>
      <c r="AK526">
        <v>0.30114443115733103</v>
      </c>
      <c r="AL526">
        <v>0.10451430124321881</v>
      </c>
      <c r="AM526">
        <v>2.770959659386274E-2</v>
      </c>
      <c r="AN526">
        <v>0.19601968374975576</v>
      </c>
      <c r="AO526">
        <v>0.11987406545791657</v>
      </c>
      <c r="AR526">
        <v>8.0674130606471874E-4</v>
      </c>
      <c r="AS526">
        <v>4.2864247280246896E-3</v>
      </c>
      <c r="AT526">
        <v>5.221300977618526E-3</v>
      </c>
      <c r="AU526">
        <v>2.0460323020934368E-3</v>
      </c>
      <c r="AV526">
        <v>2.0579782730070217E-3</v>
      </c>
      <c r="AW526">
        <v>3.6871599419057155E-3</v>
      </c>
      <c r="AX526">
        <v>3.899482754352402E-4</v>
      </c>
      <c r="AY526">
        <v>5.8122296848051036E-4</v>
      </c>
      <c r="BB526">
        <v>4.701390056371936E-2</v>
      </c>
      <c r="BC526">
        <v>5.4576783530483675E-2</v>
      </c>
      <c r="BE526">
        <v>66879.778985954559</v>
      </c>
      <c r="BF526">
        <v>15.128828553203354</v>
      </c>
      <c r="BG526">
        <v>69115.152870129124</v>
      </c>
      <c r="BH526">
        <v>14.944243789750335</v>
      </c>
      <c r="BI526">
        <v>-2235.3738841745653</v>
      </c>
      <c r="BJ526">
        <v>0.18458476345301911</v>
      </c>
    </row>
    <row r="527" spans="3:62" x14ac:dyDescent="0.2">
      <c r="C527" s="121">
        <v>69550.834037070352</v>
      </c>
      <c r="D527">
        <v>15.337113077515875</v>
      </c>
      <c r="E527" s="121">
        <v>71502.140453948537</v>
      </c>
      <c r="F527" s="121">
        <v>15.194575132567053</v>
      </c>
      <c r="G527" s="121">
        <v>-1951.3064168781857</v>
      </c>
      <c r="H527" s="121">
        <v>0.14253794494882221</v>
      </c>
      <c r="N527" s="121"/>
      <c r="O527" s="121"/>
      <c r="P527" s="121"/>
      <c r="R527">
        <v>278.40589988431913</v>
      </c>
      <c r="S527">
        <v>56.794610787054665</v>
      </c>
      <c r="T527">
        <v>216.01271284858171</v>
      </c>
      <c r="U527">
        <v>94.233462739354167</v>
      </c>
      <c r="X527">
        <v>0.74301525461664197</v>
      </c>
      <c r="Y527">
        <v>0.4741818705285859</v>
      </c>
      <c r="Z527">
        <v>0.70189838098063284</v>
      </c>
      <c r="AA527">
        <v>0.82949820077978187</v>
      </c>
      <c r="AB527">
        <v>0.58418612972726047</v>
      </c>
      <c r="AC527">
        <v>0.81944021051124372</v>
      </c>
      <c r="AD527">
        <v>0.73804511786158455</v>
      </c>
      <c r="AE527">
        <v>0.70755981065645557</v>
      </c>
      <c r="AH527">
        <v>8.0989707931566568E-2</v>
      </c>
      <c r="AI527">
        <v>9.3099114207992439E-2</v>
      </c>
      <c r="AJ527">
        <v>9.2703642349718507E-2</v>
      </c>
      <c r="AK527">
        <v>0.123494036817828</v>
      </c>
      <c r="AL527">
        <v>3.2006995280599915E-2</v>
      </c>
      <c r="AM527">
        <v>0.1309470543373954</v>
      </c>
      <c r="AN527">
        <v>0.3281819732533624</v>
      </c>
      <c r="AO527">
        <v>7.2012848573278054E-2</v>
      </c>
      <c r="AR527">
        <v>8.5846391894642889E-4</v>
      </c>
      <c r="AS527">
        <v>4.2106943070768467E-3</v>
      </c>
      <c r="AT527">
        <v>4.8210092085497419E-3</v>
      </c>
      <c r="AU527">
        <v>1.8426740047591018E-3</v>
      </c>
      <c r="AV527">
        <v>1.907139602165318E-3</v>
      </c>
      <c r="AW527">
        <v>3.3271352038570568E-3</v>
      </c>
      <c r="AX527">
        <v>4.0163751488897503E-4</v>
      </c>
      <c r="AY527">
        <v>4.6107183590149425E-4</v>
      </c>
      <c r="BB527">
        <v>5.5789856088617973E-2</v>
      </c>
      <c r="BC527">
        <v>2.9243143960288629E-2</v>
      </c>
      <c r="BE527">
        <v>69550.834037070352</v>
      </c>
      <c r="BF527">
        <v>15.337113077515875</v>
      </c>
      <c r="BG527">
        <v>71502.140453948537</v>
      </c>
      <c r="BH527">
        <v>15.194575132567053</v>
      </c>
      <c r="BI527">
        <v>-1951.3064168781857</v>
      </c>
      <c r="BJ527">
        <v>0.14253794494882221</v>
      </c>
    </row>
    <row r="528" spans="3:62" x14ac:dyDescent="0.2">
      <c r="C528" s="121">
        <v>71628.629164761383</v>
      </c>
      <c r="D528">
        <v>18.127255410806736</v>
      </c>
      <c r="E528" s="121">
        <v>73495.194183472951</v>
      </c>
      <c r="F528" s="121">
        <v>17.992460097152104</v>
      </c>
      <c r="G528" s="121">
        <v>-1866.565018711568</v>
      </c>
      <c r="H528" s="121">
        <v>0.1347953136546316</v>
      </c>
      <c r="N528" s="121"/>
      <c r="O528" s="121"/>
      <c r="P528" s="121"/>
      <c r="R528">
        <v>219.73371056389084</v>
      </c>
      <c r="S528">
        <v>59.938902418662948</v>
      </c>
      <c r="T528">
        <v>238.26978967570034</v>
      </c>
      <c r="U528">
        <v>73.881769978697605</v>
      </c>
      <c r="X528">
        <v>0.89015080338963692</v>
      </c>
      <c r="Y528">
        <v>0.88426816719271306</v>
      </c>
      <c r="Z528">
        <v>0.9388678261761918</v>
      </c>
      <c r="AA528">
        <v>0.76266076199992217</v>
      </c>
      <c r="AB528">
        <v>0.56970681737094331</v>
      </c>
      <c r="AC528">
        <v>0.92718934671767539</v>
      </c>
      <c r="AD528">
        <v>0.72752557495261194</v>
      </c>
      <c r="AE528">
        <v>0.71560864159129622</v>
      </c>
      <c r="AH528">
        <v>3.6217998508941029E-2</v>
      </c>
      <c r="AI528">
        <v>9.9427868657566254E-2</v>
      </c>
      <c r="AJ528">
        <v>8.4081692871391445E-2</v>
      </c>
      <c r="AK528">
        <v>6.6806876202248344E-2</v>
      </c>
      <c r="AL528">
        <v>4.4708040979899888E-2</v>
      </c>
      <c r="AM528">
        <v>9.9645722760695055E-2</v>
      </c>
      <c r="AN528">
        <v>5.3314270159835031E-2</v>
      </c>
      <c r="AO528">
        <v>0.17062620841567655</v>
      </c>
      <c r="AR528">
        <v>9.6605507081715114E-4</v>
      </c>
      <c r="AS528">
        <v>4.5423554065715521E-3</v>
      </c>
      <c r="AT528">
        <v>5.0173751142660317E-3</v>
      </c>
      <c r="AU528">
        <v>1.7762568966475818E-3</v>
      </c>
      <c r="AV528">
        <v>1.7477376649334851E-3</v>
      </c>
      <c r="AW528">
        <v>3.4454564075128147E-3</v>
      </c>
      <c r="AX528">
        <v>4.3908084199595354E-4</v>
      </c>
      <c r="AY528">
        <v>4.1501668045177586E-4</v>
      </c>
      <c r="BB528">
        <v>5.9802557817752122E-2</v>
      </c>
      <c r="BC528">
        <v>3.67290418248057E-2</v>
      </c>
      <c r="BE528">
        <v>71628.629164761383</v>
      </c>
      <c r="BF528">
        <v>18.127255410806736</v>
      </c>
      <c r="BG528">
        <v>73495.194183472951</v>
      </c>
      <c r="BH528">
        <v>17.992460097152104</v>
      </c>
      <c r="BI528">
        <v>-1866.565018711568</v>
      </c>
      <c r="BJ528">
        <v>0.1347953136546316</v>
      </c>
    </row>
    <row r="529" spans="3:62" x14ac:dyDescent="0.2">
      <c r="C529" s="121">
        <v>71867.014795573414</v>
      </c>
      <c r="D529">
        <v>16.030773946949747</v>
      </c>
      <c r="E529" s="121">
        <v>73052.24031316636</v>
      </c>
      <c r="F529" s="121">
        <v>15.957817196392554</v>
      </c>
      <c r="G529" s="121">
        <v>-1185.2255175929458</v>
      </c>
      <c r="H529" s="121">
        <v>7.2956750557192862E-2</v>
      </c>
      <c r="N529" s="121"/>
      <c r="O529" s="121"/>
      <c r="P529" s="121"/>
      <c r="R529">
        <v>402.9168111134461</v>
      </c>
      <c r="S529">
        <v>67.565874482304025</v>
      </c>
      <c r="T529">
        <v>248.68478117626825</v>
      </c>
      <c r="U529">
        <v>106.80785598411804</v>
      </c>
      <c r="X529">
        <v>0.74674639955407596</v>
      </c>
      <c r="Y529">
        <v>0.58578835136950069</v>
      </c>
      <c r="Z529">
        <v>0.617759610930946</v>
      </c>
      <c r="AA529">
        <v>0.85992008200148773</v>
      </c>
      <c r="AB529">
        <v>0.73952438675037802</v>
      </c>
      <c r="AC529">
        <v>0.61831556326924209</v>
      </c>
      <c r="AD529">
        <v>0.88837189016266427</v>
      </c>
      <c r="AE529">
        <v>0.81743082972928671</v>
      </c>
      <c r="AH529">
        <v>0.10150636756613829</v>
      </c>
      <c r="AI529">
        <v>3.240104575027547E-2</v>
      </c>
      <c r="AJ529">
        <v>8.1272664401159878E-2</v>
      </c>
      <c r="AK529">
        <v>5.8026880218995158E-2</v>
      </c>
      <c r="AL529">
        <v>7.3035134299067606E-2</v>
      </c>
      <c r="AM529">
        <v>0.14328030514998868</v>
      </c>
      <c r="AN529">
        <v>0.11618134372390876</v>
      </c>
      <c r="AO529">
        <v>0.10903501725046527</v>
      </c>
      <c r="AR529">
        <v>8.3553684151246508E-4</v>
      </c>
      <c r="AS529">
        <v>4.6829813006012966E-3</v>
      </c>
      <c r="AT529">
        <v>4.6561591221558419E-3</v>
      </c>
      <c r="AU529">
        <v>2.0097627839116283E-3</v>
      </c>
      <c r="AV529">
        <v>2.0025314395135663E-3</v>
      </c>
      <c r="AW529">
        <v>3.2850921427751219E-3</v>
      </c>
      <c r="AX529">
        <v>3.8983663407532118E-4</v>
      </c>
      <c r="AY529">
        <v>3.2287136628242796E-4</v>
      </c>
      <c r="BB529">
        <v>5.1188960112280468E-2</v>
      </c>
      <c r="BC529">
        <v>5.6065399829878904E-2</v>
      </c>
      <c r="BE529">
        <v>71867.014795573414</v>
      </c>
      <c r="BF529">
        <v>16.030773946949747</v>
      </c>
      <c r="BG529">
        <v>73052.24031316636</v>
      </c>
      <c r="BH529">
        <v>15.957817196392554</v>
      </c>
      <c r="BI529">
        <v>-1185.2255175929458</v>
      </c>
      <c r="BJ529">
        <v>7.2956750557192862E-2</v>
      </c>
    </row>
    <row r="530" spans="3:62" x14ac:dyDescent="0.2">
      <c r="C530" s="121">
        <v>77424.760232572517</v>
      </c>
      <c r="D530">
        <v>16.796180939991395</v>
      </c>
      <c r="E530" s="121">
        <v>78001.310166440424</v>
      </c>
      <c r="F530" s="121">
        <v>16.736634430815602</v>
      </c>
      <c r="G530" s="121">
        <v>-576.54993386790738</v>
      </c>
      <c r="H530" s="121">
        <v>5.9546509175792295E-2</v>
      </c>
      <c r="N530" s="121"/>
      <c r="O530" s="121"/>
      <c r="P530" s="121"/>
      <c r="R530">
        <v>351.71870990971502</v>
      </c>
      <c r="S530">
        <v>57.030420563806004</v>
      </c>
      <c r="T530">
        <v>250.41314062811091</v>
      </c>
      <c r="U530">
        <v>104.6504276037076</v>
      </c>
      <c r="X530">
        <v>0.58923602429873212</v>
      </c>
      <c r="Y530">
        <v>0.89698860432011696</v>
      </c>
      <c r="Z530">
        <v>0.72510539130459406</v>
      </c>
      <c r="AA530">
        <v>0.70663097744816394</v>
      </c>
      <c r="AB530">
        <v>0.65272902023044177</v>
      </c>
      <c r="AC530">
        <v>0.78622493713123398</v>
      </c>
      <c r="AD530">
        <v>0.80172160759726596</v>
      </c>
      <c r="AE530">
        <v>0.73485516909875115</v>
      </c>
      <c r="AH530">
        <v>0.1382654461307592</v>
      </c>
      <c r="AI530">
        <v>2.5639017317198531E-2</v>
      </c>
      <c r="AJ530">
        <v>0.19381472345104311</v>
      </c>
      <c r="AK530">
        <v>3.7496765120846653E-2</v>
      </c>
      <c r="AL530">
        <v>0.18631022105735384</v>
      </c>
      <c r="AM530">
        <v>0.11571153914205035</v>
      </c>
      <c r="AN530">
        <v>3.9804006602539355E-2</v>
      </c>
      <c r="AO530">
        <v>0.3697554515645457</v>
      </c>
      <c r="AR530">
        <v>9.7488983693683195E-4</v>
      </c>
      <c r="AS530">
        <v>4.8709153727354293E-3</v>
      </c>
      <c r="AT530">
        <v>5.1627398610932795E-3</v>
      </c>
      <c r="AU530">
        <v>1.897207892504977E-3</v>
      </c>
      <c r="AV530">
        <v>1.8717371591698514E-3</v>
      </c>
      <c r="AW530">
        <v>3.2441732015730386E-3</v>
      </c>
      <c r="AX530">
        <v>3.0384778721191425E-4</v>
      </c>
      <c r="AY530">
        <v>4.2195511756345556E-4</v>
      </c>
      <c r="BB530">
        <v>4.769671088205181E-2</v>
      </c>
      <c r="BC530">
        <v>3.0853911398038461E-2</v>
      </c>
      <c r="BE530">
        <v>77424.760232572517</v>
      </c>
      <c r="BF530">
        <v>16.796180939991395</v>
      </c>
      <c r="BG530">
        <v>78001.310166440424</v>
      </c>
      <c r="BH530">
        <v>16.736634430815602</v>
      </c>
      <c r="BI530">
        <v>-576.54993386790738</v>
      </c>
      <c r="BJ530">
        <v>5.9546509175792295E-2</v>
      </c>
    </row>
    <row r="531" spans="3:62" x14ac:dyDescent="0.2">
      <c r="C531" s="121">
        <v>69520.170188303906</v>
      </c>
      <c r="D531">
        <v>16.500763650872344</v>
      </c>
      <c r="E531" s="121">
        <v>71547.260441209844</v>
      </c>
      <c r="F531" s="121">
        <v>16.346203847561259</v>
      </c>
      <c r="G531" s="121">
        <v>-2027.0902529059385</v>
      </c>
      <c r="H531" s="121">
        <v>0.15455980331108421</v>
      </c>
      <c r="N531" s="121"/>
      <c r="O531" s="121"/>
      <c r="P531" s="121"/>
      <c r="R531">
        <v>407.96047729323811</v>
      </c>
      <c r="S531">
        <v>68.462232550514912</v>
      </c>
      <c r="T531">
        <v>237.82280331006234</v>
      </c>
      <c r="U531">
        <v>116.10010739353706</v>
      </c>
      <c r="X531">
        <v>0.700808942413231</v>
      </c>
      <c r="Y531">
        <v>0.82840622646810491</v>
      </c>
      <c r="Z531">
        <v>0.75028630304018895</v>
      </c>
      <c r="AA531">
        <v>0.60884215098338379</v>
      </c>
      <c r="AB531">
        <v>0.55410956941084843</v>
      </c>
      <c r="AC531">
        <v>0.91338616855158361</v>
      </c>
      <c r="AD531">
        <v>0.89337140718734198</v>
      </c>
      <c r="AE531">
        <v>0.87279364832477568</v>
      </c>
      <c r="AH531">
        <v>0.14358252438894981</v>
      </c>
      <c r="AI531">
        <v>1.7387001416973469E-2</v>
      </c>
      <c r="AJ531">
        <v>0.1070705636363839</v>
      </c>
      <c r="AK531">
        <v>0.11813288036074021</v>
      </c>
      <c r="AL531">
        <v>5.3780674433739573E-2</v>
      </c>
      <c r="AM531">
        <v>6.1428919472218846E-2</v>
      </c>
      <c r="AN531">
        <v>1.9706895067304053E-2</v>
      </c>
      <c r="AO531">
        <v>5.5974771985052296E-3</v>
      </c>
      <c r="AR531">
        <v>7.8282914907131255E-4</v>
      </c>
      <c r="AS531">
        <v>4.8472660048958227E-3</v>
      </c>
      <c r="AT531">
        <v>5.0002558671452535E-3</v>
      </c>
      <c r="AU531">
        <v>2.0293621224756198E-3</v>
      </c>
      <c r="AV531">
        <v>2.1991946832269349E-3</v>
      </c>
      <c r="AW531">
        <v>3.615446653786325E-3</v>
      </c>
      <c r="AX531">
        <v>3.9121536176004888E-4</v>
      </c>
      <c r="AY531">
        <v>4.1121919713231681E-4</v>
      </c>
      <c r="BB531">
        <v>5.0376720789124141E-2</v>
      </c>
      <c r="BC531">
        <v>7.2020361887647821E-2</v>
      </c>
      <c r="BE531">
        <v>69520.170188303906</v>
      </c>
      <c r="BF531">
        <v>16.500763650872344</v>
      </c>
      <c r="BG531">
        <v>71547.260441209844</v>
      </c>
      <c r="BH531">
        <v>16.346203847561259</v>
      </c>
      <c r="BI531">
        <v>-2027.0902529059385</v>
      </c>
      <c r="BJ531">
        <v>0.15455980331108421</v>
      </c>
    </row>
    <row r="532" spans="3:62" x14ac:dyDescent="0.2">
      <c r="C532" s="121">
        <v>70522.148806785815</v>
      </c>
      <c r="D532">
        <v>17.515503711178219</v>
      </c>
      <c r="E532" s="121">
        <v>72926.540492183587</v>
      </c>
      <c r="F532" s="121">
        <v>17.339965606048978</v>
      </c>
      <c r="G532" s="121">
        <v>-2404.3916853977717</v>
      </c>
      <c r="H532" s="121">
        <v>0.17553810512924173</v>
      </c>
      <c r="N532" s="121"/>
      <c r="O532" s="121"/>
      <c r="P532" s="121"/>
      <c r="R532">
        <v>322.45177956296516</v>
      </c>
      <c r="S532">
        <v>65.250407504316343</v>
      </c>
      <c r="T532">
        <v>273.72622613345499</v>
      </c>
      <c r="U532">
        <v>86.502490358902236</v>
      </c>
      <c r="X532">
        <v>0.94629373558315377</v>
      </c>
      <c r="Y532">
        <v>0.66069341800116377</v>
      </c>
      <c r="Z532">
        <v>0.816046692902341</v>
      </c>
      <c r="AA532">
        <v>0.39347680619457398</v>
      </c>
      <c r="AB532">
        <v>0.93160962200397779</v>
      </c>
      <c r="AC532">
        <v>0.97625767064886027</v>
      </c>
      <c r="AD532">
        <v>0.64564513482985864</v>
      </c>
      <c r="AE532">
        <v>0.52438700222595147</v>
      </c>
      <c r="AH532">
        <v>2.2392042769870724E-2</v>
      </c>
      <c r="AI532">
        <v>0.178452446753252</v>
      </c>
      <c r="AJ532">
        <v>0.10662639680447827</v>
      </c>
      <c r="AK532">
        <v>0.21252571959983102</v>
      </c>
      <c r="AL532">
        <v>2.3581975601088434E-2</v>
      </c>
      <c r="AM532">
        <v>6.069112769952989E-2</v>
      </c>
      <c r="AN532">
        <v>4.6628182066380752E-2</v>
      </c>
      <c r="AO532">
        <v>0.11497572222102814</v>
      </c>
      <c r="AR532">
        <v>7.9607521129107137E-4</v>
      </c>
      <c r="AS532">
        <v>4.2951892387891417E-3</v>
      </c>
      <c r="AT532">
        <v>4.5748055957760062E-3</v>
      </c>
      <c r="AU532">
        <v>2.2461395100948911E-3</v>
      </c>
      <c r="AV532">
        <v>2.0297200009132821E-3</v>
      </c>
      <c r="AW532">
        <v>3.5590549996490362E-3</v>
      </c>
      <c r="AX532">
        <v>3.3770677509361706E-4</v>
      </c>
      <c r="AY532">
        <v>4.7651556071770518E-4</v>
      </c>
      <c r="BB532">
        <v>4.9620995268575052E-2</v>
      </c>
      <c r="BC532">
        <v>0.11847667198035561</v>
      </c>
      <c r="BE532">
        <v>70522.148806785815</v>
      </c>
      <c r="BF532">
        <v>17.515503711178219</v>
      </c>
      <c r="BG532">
        <v>72926.540492183587</v>
      </c>
      <c r="BH532">
        <v>17.339965606048978</v>
      </c>
      <c r="BI532">
        <v>-2404.3916853977717</v>
      </c>
      <c r="BJ532">
        <v>0.17553810512924173</v>
      </c>
    </row>
    <row r="533" spans="3:62" x14ac:dyDescent="0.2">
      <c r="C533" s="121">
        <v>75364.198607333921</v>
      </c>
      <c r="D533">
        <v>15.56932565618124</v>
      </c>
      <c r="E533" s="121">
        <v>76343.117925674858</v>
      </c>
      <c r="F533" s="121">
        <v>15.468841428725105</v>
      </c>
      <c r="G533" s="121">
        <v>-978.91931834093702</v>
      </c>
      <c r="H533" s="121">
        <v>0.1004842274561355</v>
      </c>
      <c r="N533" s="121"/>
      <c r="O533" s="121"/>
      <c r="P533" s="121"/>
      <c r="R533">
        <v>321.44720495257945</v>
      </c>
      <c r="S533">
        <v>58.962751602864323</v>
      </c>
      <c r="T533">
        <v>282.27241796326422</v>
      </c>
      <c r="U533">
        <v>100.47990824848364</v>
      </c>
      <c r="X533">
        <v>0.86254625814696939</v>
      </c>
      <c r="Y533">
        <v>0.812110106527974</v>
      </c>
      <c r="Z533">
        <v>0.70993502351019488</v>
      </c>
      <c r="AA533">
        <v>0.82539190424130049</v>
      </c>
      <c r="AB533">
        <v>0.46533108454965583</v>
      </c>
      <c r="AC533">
        <v>0.80390973260173193</v>
      </c>
      <c r="AD533">
        <v>0.69952393182732042</v>
      </c>
      <c r="AE533">
        <v>0.7867403182577859</v>
      </c>
      <c r="AH533">
        <v>0.1319564166669166</v>
      </c>
      <c r="AI533">
        <v>6.6255016546777679E-2</v>
      </c>
      <c r="AJ533">
        <v>7.3756025624199584E-2</v>
      </c>
      <c r="AK533">
        <v>5.4813015363764706E-2</v>
      </c>
      <c r="AL533">
        <v>3.7042475625999494E-2</v>
      </c>
      <c r="AM533">
        <v>5.0833108750916955E-2</v>
      </c>
      <c r="AN533">
        <v>9.2416210552745848E-2</v>
      </c>
      <c r="AO533">
        <v>0.21210192773659309</v>
      </c>
      <c r="AR533">
        <v>8.8695562805374273E-4</v>
      </c>
      <c r="AS533">
        <v>4.2201978499191136E-3</v>
      </c>
      <c r="AT533">
        <v>5.0104384133680124E-3</v>
      </c>
      <c r="AU533">
        <v>2.1639931752732711E-3</v>
      </c>
      <c r="AV533">
        <v>1.8043228463658796E-3</v>
      </c>
      <c r="AW533">
        <v>3.3726355483297949E-3</v>
      </c>
      <c r="AX533">
        <v>3.1295713756754551E-4</v>
      </c>
      <c r="AY533">
        <v>4.4856734287701538E-4</v>
      </c>
      <c r="BB533">
        <v>4.7303686170412952E-2</v>
      </c>
      <c r="BC533">
        <v>3.1154674938405996E-2</v>
      </c>
      <c r="BE533">
        <v>75364.198607333921</v>
      </c>
      <c r="BF533">
        <v>15.56932565618124</v>
      </c>
      <c r="BG533">
        <v>76343.117925674858</v>
      </c>
      <c r="BH533">
        <v>15.468841428725105</v>
      </c>
      <c r="BI533">
        <v>-978.91931834093702</v>
      </c>
      <c r="BJ533">
        <v>0.1004842274561355</v>
      </c>
    </row>
    <row r="534" spans="3:62" x14ac:dyDescent="0.2">
      <c r="C534" s="121">
        <v>68279.377080737118</v>
      </c>
      <c r="D534">
        <v>16.941861351158938</v>
      </c>
      <c r="E534" s="121">
        <v>69913.503463566085</v>
      </c>
      <c r="F534" s="121">
        <v>16.81562065530338</v>
      </c>
      <c r="G534" s="121">
        <v>-1634.1263828289666</v>
      </c>
      <c r="H534" s="121">
        <v>0.12624069585555731</v>
      </c>
      <c r="N534" s="121"/>
      <c r="O534" s="121"/>
      <c r="P534" s="121"/>
      <c r="R534">
        <v>406.55756761086025</v>
      </c>
      <c r="S534">
        <v>68.695804728266125</v>
      </c>
      <c r="T534">
        <v>213.39413662352695</v>
      </c>
      <c r="U534">
        <v>90.696697179010698</v>
      </c>
      <c r="X534">
        <v>0.648002960442424</v>
      </c>
      <c r="Y534">
        <v>0.80176869365360448</v>
      </c>
      <c r="Z534">
        <v>0.77990240879801087</v>
      </c>
      <c r="AA534">
        <v>0.75874272073068083</v>
      </c>
      <c r="AB534">
        <v>0.67654923226878438</v>
      </c>
      <c r="AC534">
        <v>0.71322191802173718</v>
      </c>
      <c r="AD534">
        <v>0.81405601140106976</v>
      </c>
      <c r="AE534">
        <v>0.77943793773770498</v>
      </c>
      <c r="AH534">
        <v>6.1064224635112518E-2</v>
      </c>
      <c r="AI534">
        <v>0.33918453154406347</v>
      </c>
      <c r="AJ534">
        <v>8.911972524385503E-2</v>
      </c>
      <c r="AK534">
        <v>8.2284054601443612E-2</v>
      </c>
      <c r="AL534">
        <v>5.9166998986725172E-2</v>
      </c>
      <c r="AM534">
        <v>0.19518496814247055</v>
      </c>
      <c r="AN534">
        <v>1.6344373943145252E-2</v>
      </c>
      <c r="AO534">
        <v>5.2376807535505998E-2</v>
      </c>
      <c r="AR534">
        <v>8.3077573668476762E-4</v>
      </c>
      <c r="AS534">
        <v>4.4642192860854437E-3</v>
      </c>
      <c r="AT534">
        <v>5.0372917262538897E-3</v>
      </c>
      <c r="AU534">
        <v>2.2341832582546406E-3</v>
      </c>
      <c r="AV534">
        <v>1.909294614365535E-3</v>
      </c>
      <c r="AW534">
        <v>3.0887216968552562E-3</v>
      </c>
      <c r="AX534">
        <v>3.5839934395126452E-4</v>
      </c>
      <c r="AY534">
        <v>3.6142555740646589E-4</v>
      </c>
      <c r="BB534">
        <v>4.8018784135265238E-2</v>
      </c>
      <c r="BC534">
        <v>6.5280722652836576E-2</v>
      </c>
      <c r="BE534">
        <v>68279.377080737118</v>
      </c>
      <c r="BF534">
        <v>16.941861351158938</v>
      </c>
      <c r="BG534">
        <v>69913.503463566085</v>
      </c>
      <c r="BH534">
        <v>16.81562065530338</v>
      </c>
      <c r="BI534">
        <v>-1634.1263828289666</v>
      </c>
      <c r="BJ534">
        <v>0.12624069585555731</v>
      </c>
    </row>
    <row r="535" spans="3:62" x14ac:dyDescent="0.2">
      <c r="C535" s="121">
        <v>73792.736276388954</v>
      </c>
      <c r="D535">
        <v>14.269917120568817</v>
      </c>
      <c r="E535" s="121">
        <v>75104.761900847865</v>
      </c>
      <c r="F535" s="121">
        <v>14.131480913439328</v>
      </c>
      <c r="G535" s="121">
        <v>-1312.0256244589109</v>
      </c>
      <c r="H535" s="121">
        <v>0.13843620712948912</v>
      </c>
      <c r="N535" s="121"/>
      <c r="O535" s="121"/>
      <c r="P535" s="121"/>
      <c r="R535">
        <v>130.50003151462977</v>
      </c>
      <c r="S535">
        <v>59.036258334141344</v>
      </c>
      <c r="T535">
        <v>209.34873307724433</v>
      </c>
      <c r="U535">
        <v>96.725008591908747</v>
      </c>
      <c r="X535">
        <v>0.61426697849461909</v>
      </c>
      <c r="Y535">
        <v>0.74041041616404923</v>
      </c>
      <c r="Z535">
        <v>0.61783378403583311</v>
      </c>
      <c r="AA535">
        <v>0.60777673939598109</v>
      </c>
      <c r="AB535">
        <v>0.8405860316937982</v>
      </c>
      <c r="AC535">
        <v>0.85374253419891255</v>
      </c>
      <c r="AD535">
        <v>0.74852186882281302</v>
      </c>
      <c r="AE535">
        <v>0.81469719827686582</v>
      </c>
      <c r="AH535">
        <v>6.2281350121109802E-2</v>
      </c>
      <c r="AI535">
        <v>0.32453836801114566</v>
      </c>
      <c r="AJ535">
        <v>5.4263323575735822E-2</v>
      </c>
      <c r="AK535">
        <v>4.3285478851583514E-2</v>
      </c>
      <c r="AL535">
        <v>0.1018102523325658</v>
      </c>
      <c r="AM535">
        <v>8.9374365227923858E-2</v>
      </c>
      <c r="AN535">
        <v>7.3518593534661725E-2</v>
      </c>
      <c r="AO535">
        <v>7.1915235340672901E-2</v>
      </c>
      <c r="AR535">
        <v>7.5911663722346182E-4</v>
      </c>
      <c r="AS535">
        <v>4.851265484225542E-3</v>
      </c>
      <c r="AT535">
        <v>5.0097794746022384E-3</v>
      </c>
      <c r="AU535">
        <v>1.8453339052970561E-3</v>
      </c>
      <c r="AV535">
        <v>1.9860709707422001E-3</v>
      </c>
      <c r="AW535">
        <v>3.5045527558961176E-3</v>
      </c>
      <c r="AX535">
        <v>3.0661775129973843E-4</v>
      </c>
      <c r="AY535">
        <v>3.7708777610989555E-4</v>
      </c>
      <c r="BB535">
        <v>5.7154770281450662E-2</v>
      </c>
      <c r="BC535">
        <v>4.0198375680730869E-2</v>
      </c>
      <c r="BE535">
        <v>73792.736276388954</v>
      </c>
      <c r="BF535">
        <v>14.269917120568817</v>
      </c>
      <c r="BG535">
        <v>75104.761900847865</v>
      </c>
      <c r="BH535">
        <v>14.131480913439328</v>
      </c>
      <c r="BI535">
        <v>-1312.0256244589109</v>
      </c>
      <c r="BJ535">
        <v>0.13843620712948912</v>
      </c>
    </row>
    <row r="536" spans="3:62" x14ac:dyDescent="0.2">
      <c r="C536" s="121">
        <v>67330.45607472035</v>
      </c>
      <c r="D536">
        <v>16.74945130622956</v>
      </c>
      <c r="E536" s="121">
        <v>68877.018706254603</v>
      </c>
      <c r="F536" s="121">
        <v>16.668152059291419</v>
      </c>
      <c r="G536" s="121">
        <v>-1546.5626315342524</v>
      </c>
      <c r="H536" s="121">
        <v>8.1299246938140612E-2</v>
      </c>
      <c r="N536" s="121"/>
      <c r="O536" s="121"/>
      <c r="P536" s="121"/>
      <c r="R536">
        <v>316.7523030618604</v>
      </c>
      <c r="S536">
        <v>59.168485923218249</v>
      </c>
      <c r="T536">
        <v>273.2391912468704</v>
      </c>
      <c r="U536">
        <v>84.560756704643779</v>
      </c>
      <c r="X536">
        <v>0.61216585658534961</v>
      </c>
      <c r="Y536">
        <v>0.96770210113879362</v>
      </c>
      <c r="Z536">
        <v>0.77906024072564983</v>
      </c>
      <c r="AA536">
        <v>0.72911097266119285</v>
      </c>
      <c r="AB536">
        <v>0.74292600672936404</v>
      </c>
      <c r="AC536">
        <v>0.62303712792249843</v>
      </c>
      <c r="AD536">
        <v>0.68482794197130836</v>
      </c>
      <c r="AE536">
        <v>0.92619821160868931</v>
      </c>
      <c r="AH536">
        <v>3.3177562984343156E-2</v>
      </c>
      <c r="AI536">
        <v>3.6846275491130065E-2</v>
      </c>
      <c r="AJ536">
        <v>0.18248148783900242</v>
      </c>
      <c r="AK536">
        <v>0.15588025819908746</v>
      </c>
      <c r="AL536">
        <v>0.13990115564515559</v>
      </c>
      <c r="AM536">
        <v>0.20190533600330218</v>
      </c>
      <c r="AN536">
        <v>0.11589940788727615</v>
      </c>
      <c r="AO536">
        <v>2.4883794985829932E-2</v>
      </c>
      <c r="AR536">
        <v>9.2877298174920409E-4</v>
      </c>
      <c r="AS536">
        <v>4.5308537534085591E-3</v>
      </c>
      <c r="AT536">
        <v>5.0217992853017757E-3</v>
      </c>
      <c r="AU536">
        <v>2.038085104484777E-3</v>
      </c>
      <c r="AV536">
        <v>1.6599324853109239E-3</v>
      </c>
      <c r="AW536">
        <v>3.5630090693895555E-3</v>
      </c>
      <c r="AX536">
        <v>4.1344956954803003E-4</v>
      </c>
      <c r="AY536">
        <v>4.4074536238677953E-4</v>
      </c>
      <c r="BB536">
        <v>5.5786849579655851E-2</v>
      </c>
      <c r="BC536">
        <v>7.6191925327887544E-2</v>
      </c>
      <c r="BE536">
        <v>67330.45607472035</v>
      </c>
      <c r="BF536">
        <v>16.74945130622956</v>
      </c>
      <c r="BG536">
        <v>68877.018706254603</v>
      </c>
      <c r="BH536">
        <v>16.668152059291419</v>
      </c>
      <c r="BI536">
        <v>-1546.5626315342524</v>
      </c>
      <c r="BJ536">
        <v>8.1299246938140612E-2</v>
      </c>
    </row>
    <row r="537" spans="3:62" x14ac:dyDescent="0.2">
      <c r="C537" s="121">
        <v>77072.92328746675</v>
      </c>
      <c r="D537">
        <v>17.12643427768182</v>
      </c>
      <c r="E537" s="121">
        <v>78382.545721546339</v>
      </c>
      <c r="F537" s="121">
        <v>17.01672882603356</v>
      </c>
      <c r="G537" s="121">
        <v>-1309.6224340795889</v>
      </c>
      <c r="H537" s="121">
        <v>0.10970545164826007</v>
      </c>
      <c r="N537" s="121"/>
      <c r="O537" s="121"/>
      <c r="P537" s="121"/>
      <c r="R537">
        <v>310.58893352772355</v>
      </c>
      <c r="S537">
        <v>50.753741393160816</v>
      </c>
      <c r="T537">
        <v>256.70647253495764</v>
      </c>
      <c r="U537">
        <v>89.740736649764912</v>
      </c>
      <c r="X537">
        <v>0.61148524425509743</v>
      </c>
      <c r="Y537">
        <v>0.93152305774835387</v>
      </c>
      <c r="Z537">
        <v>0.8184368776853409</v>
      </c>
      <c r="AA537">
        <v>0.56544231567089387</v>
      </c>
      <c r="AB537">
        <v>0.96916862604346954</v>
      </c>
      <c r="AC537">
        <v>0.82763683463375759</v>
      </c>
      <c r="AD537">
        <v>0.81653527818381044</v>
      </c>
      <c r="AE537">
        <v>0.82064085482664928</v>
      </c>
      <c r="AH537">
        <v>9.3523787654612334E-2</v>
      </c>
      <c r="AI537">
        <v>5.9987742109485875E-2</v>
      </c>
      <c r="AJ537">
        <v>6.0097807857055097E-2</v>
      </c>
      <c r="AK537">
        <v>0.16137145958516419</v>
      </c>
      <c r="AL537">
        <v>8.3472498709171949E-2</v>
      </c>
      <c r="AM537">
        <v>5.3547738627957697E-2</v>
      </c>
      <c r="AN537">
        <v>3.3860462101604982E-2</v>
      </c>
      <c r="AO537">
        <v>7.5935495097565253E-2</v>
      </c>
      <c r="AR537">
        <v>8.8323475777995087E-4</v>
      </c>
      <c r="AS537">
        <v>4.5894794205185718E-3</v>
      </c>
      <c r="AT537">
        <v>4.7606452320666211E-3</v>
      </c>
      <c r="AU537">
        <v>2.0940508529994073E-3</v>
      </c>
      <c r="AV537">
        <v>2.0043388314171517E-3</v>
      </c>
      <c r="AW537">
        <v>3.5659545532595871E-3</v>
      </c>
      <c r="AX537">
        <v>3.4404693938039664E-4</v>
      </c>
      <c r="AY537">
        <v>3.9500667326219637E-4</v>
      </c>
      <c r="BB537">
        <v>5.0690435370093101E-2</v>
      </c>
      <c r="BC537">
        <v>1.998709997253266E-2</v>
      </c>
      <c r="BE537">
        <v>77072.92328746675</v>
      </c>
      <c r="BF537">
        <v>17.12643427768182</v>
      </c>
      <c r="BG537">
        <v>78382.545721546339</v>
      </c>
      <c r="BH537">
        <v>17.01672882603356</v>
      </c>
      <c r="BI537">
        <v>-1309.6224340795889</v>
      </c>
      <c r="BJ537">
        <v>0.10970545164826007</v>
      </c>
    </row>
    <row r="538" spans="3:62" x14ac:dyDescent="0.2">
      <c r="C538" s="121">
        <v>72872.479291654628</v>
      </c>
      <c r="D538">
        <v>16.441753105487479</v>
      </c>
      <c r="E538" s="121">
        <v>74632.258999293321</v>
      </c>
      <c r="F538" s="121">
        <v>16.306343836985164</v>
      </c>
      <c r="G538" s="121">
        <v>-1759.7797076386923</v>
      </c>
      <c r="H538" s="121">
        <v>0.13540926850231472</v>
      </c>
      <c r="N538" s="121"/>
      <c r="O538" s="121"/>
      <c r="P538" s="121"/>
      <c r="R538">
        <v>191.10339199537594</v>
      </c>
      <c r="S538">
        <v>56.128830526848184</v>
      </c>
      <c r="T538">
        <v>254.54517115257406</v>
      </c>
      <c r="U538">
        <v>98.237707039913616</v>
      </c>
      <c r="X538">
        <v>0.78961474863649028</v>
      </c>
      <c r="Y538">
        <v>0.85754699949235258</v>
      </c>
      <c r="Z538">
        <v>0.81841382306868149</v>
      </c>
      <c r="AA538">
        <v>0.8805571922251606</v>
      </c>
      <c r="AB538">
        <v>0.87175874111014928</v>
      </c>
      <c r="AC538">
        <v>0.73711406000386659</v>
      </c>
      <c r="AD538">
        <v>0.54288257383128524</v>
      </c>
      <c r="AE538">
        <v>0.59327946634301365</v>
      </c>
      <c r="AH538">
        <v>0.11348958675147292</v>
      </c>
      <c r="AI538">
        <v>6.0044042954871757E-2</v>
      </c>
      <c r="AJ538">
        <v>6.028292402477009E-2</v>
      </c>
      <c r="AK538">
        <v>5.0710645990845182E-2</v>
      </c>
      <c r="AL538">
        <v>9.5658044770753792E-2</v>
      </c>
      <c r="AM538">
        <v>0.19743375977348854</v>
      </c>
      <c r="AN538">
        <v>3.0544481033689008E-2</v>
      </c>
      <c r="AO538">
        <v>0.15065603767649327</v>
      </c>
      <c r="AR538">
        <v>9.3916916014069596E-4</v>
      </c>
      <c r="AS538">
        <v>4.374115018358272E-3</v>
      </c>
      <c r="AT538">
        <v>4.8234306812943656E-3</v>
      </c>
      <c r="AU538">
        <v>2.1461828748058354E-3</v>
      </c>
      <c r="AV538">
        <v>1.8317099289026377E-3</v>
      </c>
      <c r="AW538">
        <v>3.5842364938973859E-3</v>
      </c>
      <c r="AX538">
        <v>3.9866148804856838E-4</v>
      </c>
      <c r="AY538">
        <v>4.8902595667976723E-4</v>
      </c>
      <c r="BB538">
        <v>4.5005846249425469E-2</v>
      </c>
      <c r="BC538">
        <v>4.4553677472059038E-2</v>
      </c>
      <c r="BE538">
        <v>72872.479291654628</v>
      </c>
      <c r="BF538">
        <v>16.441753105487479</v>
      </c>
      <c r="BG538">
        <v>74632.258999293321</v>
      </c>
      <c r="BH538">
        <v>16.306343836985164</v>
      </c>
      <c r="BI538">
        <v>-1759.7797076386923</v>
      </c>
      <c r="BJ538">
        <v>0.13540926850231472</v>
      </c>
    </row>
    <row r="539" spans="3:62" x14ac:dyDescent="0.2">
      <c r="C539" s="121">
        <v>70233.540148942033</v>
      </c>
      <c r="D539">
        <v>17.282091265413488</v>
      </c>
      <c r="E539" s="121">
        <v>70476.675017612186</v>
      </c>
      <c r="F539" s="121">
        <v>17.23886681168144</v>
      </c>
      <c r="G539" s="121">
        <v>-243.13486867015308</v>
      </c>
      <c r="H539" s="121">
        <v>4.3224453732047863E-2</v>
      </c>
      <c r="N539" s="121"/>
      <c r="O539" s="121"/>
      <c r="P539" s="121"/>
      <c r="R539">
        <v>218.22018834691855</v>
      </c>
      <c r="S539">
        <v>61.630284496250468</v>
      </c>
      <c r="T539">
        <v>202.81305596072343</v>
      </c>
      <c r="U539">
        <v>96.215515626740441</v>
      </c>
      <c r="X539">
        <v>0.96765650824209004</v>
      </c>
      <c r="Y539">
        <v>0.84232784963819229</v>
      </c>
      <c r="Z539">
        <v>0.71874793895900868</v>
      </c>
      <c r="AA539">
        <v>0.69477600995712752</v>
      </c>
      <c r="AB539">
        <v>0.49616830263401557</v>
      </c>
      <c r="AC539">
        <v>0.77692656406283844</v>
      </c>
      <c r="AD539">
        <v>0.74270916696102196</v>
      </c>
      <c r="AE539">
        <v>0.6735064890121828</v>
      </c>
      <c r="AH539">
        <v>9.5394890658961784E-2</v>
      </c>
      <c r="AI539">
        <v>0.18540575298965711</v>
      </c>
      <c r="AJ539">
        <v>4.4700218562478189E-2</v>
      </c>
      <c r="AK539">
        <v>0.13058910507918386</v>
      </c>
      <c r="AL539">
        <v>0.17490982275339917</v>
      </c>
      <c r="AM539">
        <v>9.5979866864644547E-2</v>
      </c>
      <c r="AN539">
        <v>1.7328809095058961E-2</v>
      </c>
      <c r="AO539">
        <v>4.5783896865753682E-2</v>
      </c>
      <c r="AR539">
        <v>8.1569797266611041E-4</v>
      </c>
      <c r="AS539">
        <v>4.4233537251421534E-3</v>
      </c>
      <c r="AT539">
        <v>5.2433210770873595E-3</v>
      </c>
      <c r="AU539">
        <v>2.1051866127190788E-3</v>
      </c>
      <c r="AV539">
        <v>1.7472693994854795E-3</v>
      </c>
      <c r="AW539">
        <v>3.3723426032353995E-3</v>
      </c>
      <c r="AX539">
        <v>2.5016303595620722E-4</v>
      </c>
      <c r="AY539">
        <v>4.4817339343494744E-4</v>
      </c>
      <c r="BB539">
        <v>5.3733942967590931E-2</v>
      </c>
      <c r="BC539">
        <v>3.9486263017170821E-2</v>
      </c>
      <c r="BE539">
        <v>70233.540148942033</v>
      </c>
      <c r="BF539">
        <v>17.282091265413488</v>
      </c>
      <c r="BG539">
        <v>70476.675017612186</v>
      </c>
      <c r="BH539">
        <v>17.23886681168144</v>
      </c>
      <c r="BI539">
        <v>-243.13486867015308</v>
      </c>
      <c r="BJ539">
        <v>4.3224453732047863E-2</v>
      </c>
    </row>
    <row r="540" spans="3:62" x14ac:dyDescent="0.2">
      <c r="C540" s="121">
        <v>69320.339810326434</v>
      </c>
      <c r="D540">
        <v>15.334402989143173</v>
      </c>
      <c r="E540" s="121">
        <v>71517.467748742914</v>
      </c>
      <c r="F540" s="121">
        <v>15.137760213469576</v>
      </c>
      <c r="G540" s="121">
        <v>-2197.1279384164809</v>
      </c>
      <c r="H540" s="121">
        <v>0.19664277567359711</v>
      </c>
      <c r="N540" s="121"/>
      <c r="O540" s="121"/>
      <c r="P540" s="121"/>
      <c r="R540">
        <v>338.86824887690995</v>
      </c>
      <c r="S540">
        <v>63.643035525785614</v>
      </c>
      <c r="T540">
        <v>266.57931991252599</v>
      </c>
      <c r="U540">
        <v>91.652013018770774</v>
      </c>
      <c r="X540">
        <v>0.66976496372308614</v>
      </c>
      <c r="Y540">
        <v>0.74496468560652018</v>
      </c>
      <c r="Z540">
        <v>0.71288927930358414</v>
      </c>
      <c r="AA540">
        <v>0.76635001607811881</v>
      </c>
      <c r="AB540">
        <v>0.86270295587346502</v>
      </c>
      <c r="AC540">
        <v>0.83373567827862682</v>
      </c>
      <c r="AD540">
        <v>0.67454209456785053</v>
      </c>
      <c r="AE540">
        <v>0.83196081843258329</v>
      </c>
      <c r="AH540">
        <v>0.16158275015377199</v>
      </c>
      <c r="AI540">
        <v>0.44067713668964914</v>
      </c>
      <c r="AJ540">
        <v>0.29844610426870177</v>
      </c>
      <c r="AK540">
        <v>0.11187200616462478</v>
      </c>
      <c r="AL540">
        <v>0.31418134941164833</v>
      </c>
      <c r="AM540">
        <v>2.1785022443927105E-2</v>
      </c>
      <c r="AN540">
        <v>0.11161122437216353</v>
      </c>
      <c r="AO540">
        <v>0.10089889629253779</v>
      </c>
      <c r="AR540">
        <v>8.9892435106764257E-4</v>
      </c>
      <c r="AS540">
        <v>4.4026923653834975E-3</v>
      </c>
      <c r="AT540">
        <v>5.040859957373689E-3</v>
      </c>
      <c r="AU540">
        <v>2.2296029534567552E-3</v>
      </c>
      <c r="AV540">
        <v>1.976954705023206E-3</v>
      </c>
      <c r="AW540">
        <v>3.4783591527867141E-3</v>
      </c>
      <c r="AX540">
        <v>3.9185173155779912E-4</v>
      </c>
      <c r="AY540">
        <v>4.7803554624314959E-4</v>
      </c>
      <c r="BB540">
        <v>4.4534204090457809E-2</v>
      </c>
      <c r="BC540">
        <v>3.8070248951194346E-2</v>
      </c>
      <c r="BE540">
        <v>69320.339810326434</v>
      </c>
      <c r="BF540">
        <v>15.334402989143173</v>
      </c>
      <c r="BG540">
        <v>71517.467748742914</v>
      </c>
      <c r="BH540">
        <v>15.137760213469576</v>
      </c>
      <c r="BI540">
        <v>-2197.1279384164809</v>
      </c>
      <c r="BJ540">
        <v>0.19664277567359711</v>
      </c>
    </row>
    <row r="541" spans="3:62" x14ac:dyDescent="0.2">
      <c r="C541" s="121">
        <v>72561.35419927309</v>
      </c>
      <c r="D541">
        <v>18.118895347385884</v>
      </c>
      <c r="E541" s="121">
        <v>73726.60222936736</v>
      </c>
      <c r="F541" s="121">
        <v>18.031449176301958</v>
      </c>
      <c r="G541" s="121">
        <v>-1165.2480300942698</v>
      </c>
      <c r="H541" s="121">
        <v>8.7446171083925606E-2</v>
      </c>
      <c r="N541" s="121"/>
      <c r="O541" s="121"/>
      <c r="P541" s="121"/>
      <c r="R541">
        <v>409.83892859321941</v>
      </c>
      <c r="S541">
        <v>61.393029573137781</v>
      </c>
      <c r="T541">
        <v>248.5922260529407</v>
      </c>
      <c r="U541">
        <v>104.43039732820823</v>
      </c>
      <c r="X541">
        <v>0.76224385400832517</v>
      </c>
      <c r="Y541">
        <v>0.83408992448947405</v>
      </c>
      <c r="Z541">
        <v>0.68887107399849312</v>
      </c>
      <c r="AA541">
        <v>0.76472238258666358</v>
      </c>
      <c r="AB541">
        <v>0.86658974533152999</v>
      </c>
      <c r="AC541">
        <v>0.74581515420948563</v>
      </c>
      <c r="AD541">
        <v>0.94518049161964302</v>
      </c>
      <c r="AE541">
        <v>0.91087469749253069</v>
      </c>
      <c r="AH541">
        <v>0.15179191506411682</v>
      </c>
      <c r="AI541">
        <v>4.9949075891755346E-2</v>
      </c>
      <c r="AJ541">
        <v>3.4222278899883607E-2</v>
      </c>
      <c r="AK541">
        <v>4.8497015037559543E-2</v>
      </c>
      <c r="AL541">
        <v>7.9326070309480801E-2</v>
      </c>
      <c r="AM541">
        <v>3.5646547397261141E-3</v>
      </c>
      <c r="AN541">
        <v>5.6466681452409295E-2</v>
      </c>
      <c r="AO541">
        <v>0.11465017567005442</v>
      </c>
      <c r="AR541">
        <v>8.598045358476573E-4</v>
      </c>
      <c r="AS541">
        <v>4.4298599530296382E-3</v>
      </c>
      <c r="AT541">
        <v>5.2526675479497298E-3</v>
      </c>
      <c r="AU541">
        <v>1.9931203317580903E-3</v>
      </c>
      <c r="AV541">
        <v>1.8509215867452593E-3</v>
      </c>
      <c r="AW541">
        <v>3.516039432262752E-3</v>
      </c>
      <c r="AX541">
        <v>3.7895542676104647E-4</v>
      </c>
      <c r="AY541">
        <v>5.4323665489286466E-4</v>
      </c>
      <c r="BB541">
        <v>4.5214389624398242E-2</v>
      </c>
      <c r="BC541">
        <v>2.3811222123866303E-2</v>
      </c>
      <c r="BE541">
        <v>72561.35419927309</v>
      </c>
      <c r="BF541">
        <v>18.118895347385884</v>
      </c>
      <c r="BG541">
        <v>73726.60222936736</v>
      </c>
      <c r="BH541">
        <v>18.031449176301958</v>
      </c>
      <c r="BI541">
        <v>-1165.2480300942698</v>
      </c>
      <c r="BJ541">
        <v>8.7446171083925606E-2</v>
      </c>
    </row>
    <row r="542" spans="3:62" x14ac:dyDescent="0.2">
      <c r="C542" s="121">
        <v>73060.520997901986</v>
      </c>
      <c r="D542">
        <v>16.000211465327155</v>
      </c>
      <c r="E542" s="121">
        <v>75359.626374400366</v>
      </c>
      <c r="F542" s="121">
        <v>15.795761231968038</v>
      </c>
      <c r="G542" s="121">
        <v>-2299.1053764983808</v>
      </c>
      <c r="H542" s="121">
        <v>0.2044502333591165</v>
      </c>
      <c r="N542" s="121"/>
      <c r="O542" s="121"/>
      <c r="P542" s="121"/>
      <c r="R542">
        <v>313.50161531699615</v>
      </c>
      <c r="S542">
        <v>62.361182040506776</v>
      </c>
      <c r="T542">
        <v>225.75411221092293</v>
      </c>
      <c r="U542">
        <v>100.80202945109789</v>
      </c>
      <c r="X542">
        <v>0.88837994531725906</v>
      </c>
      <c r="Y542">
        <v>0.63118121619799339</v>
      </c>
      <c r="Z542">
        <v>0.70686025739031744</v>
      </c>
      <c r="AA542">
        <v>0.87576606035533966</v>
      </c>
      <c r="AB542">
        <v>0.94120244981717083</v>
      </c>
      <c r="AC542">
        <v>0.9025249220856566</v>
      </c>
      <c r="AD542">
        <v>0.89091433415810029</v>
      </c>
      <c r="AE542">
        <v>0.56317860735721714</v>
      </c>
      <c r="AH542">
        <v>0.22973718934148368</v>
      </c>
      <c r="AI542">
        <v>9.8257953303852785E-2</v>
      </c>
      <c r="AJ542">
        <v>0.24313433645123639</v>
      </c>
      <c r="AK542">
        <v>0.11325272434328082</v>
      </c>
      <c r="AL542">
        <v>6.1356339836273088E-2</v>
      </c>
      <c r="AM542">
        <v>0.16980622988900662</v>
      </c>
      <c r="AN542">
        <v>7.6691509935908675E-2</v>
      </c>
      <c r="AO542">
        <v>1.6868424589475683E-2</v>
      </c>
      <c r="AR542">
        <v>9.2262122804553925E-4</v>
      </c>
      <c r="AS542">
        <v>4.5848283819805991E-3</v>
      </c>
      <c r="AT542">
        <v>4.8808467906028882E-3</v>
      </c>
      <c r="AU542">
        <v>1.9351285135934366E-3</v>
      </c>
      <c r="AV542">
        <v>2.1460624595257549E-3</v>
      </c>
      <c r="AW542">
        <v>3.5508195350200111E-3</v>
      </c>
      <c r="AX542">
        <v>4.7225145636442534E-4</v>
      </c>
      <c r="AY542">
        <v>3.6311183826944621E-4</v>
      </c>
      <c r="BB542">
        <v>5.2783703136743743E-2</v>
      </c>
      <c r="BC542">
        <v>4.1389435772327801E-2</v>
      </c>
      <c r="BE542">
        <v>73060.520997901986</v>
      </c>
      <c r="BF542">
        <v>16.000211465327155</v>
      </c>
      <c r="BG542">
        <v>75359.626374400366</v>
      </c>
      <c r="BH542">
        <v>15.795761231968038</v>
      </c>
      <c r="BI542">
        <v>-2299.1053764983808</v>
      </c>
      <c r="BJ542">
        <v>0.2044502333591165</v>
      </c>
    </row>
    <row r="543" spans="3:62" x14ac:dyDescent="0.2">
      <c r="C543" s="121">
        <v>69219.146823863528</v>
      </c>
      <c r="D543">
        <v>12.620438043164263</v>
      </c>
      <c r="E543" s="121">
        <v>70974.687035946656</v>
      </c>
      <c r="F543" s="121">
        <v>12.610928482228164</v>
      </c>
      <c r="G543" s="121">
        <v>-1755.5402120831277</v>
      </c>
      <c r="H543" s="121">
        <v>9.5095609360988931E-3</v>
      </c>
      <c r="N543" s="121"/>
      <c r="O543" s="121"/>
      <c r="P543" s="121"/>
      <c r="R543">
        <v>53.00513165001226</v>
      </c>
      <c r="S543">
        <v>67.119401823112966</v>
      </c>
      <c r="T543">
        <v>260.79542233548443</v>
      </c>
      <c r="U543">
        <v>85.506286889717842</v>
      </c>
      <c r="X543">
        <v>0.77354930721226023</v>
      </c>
      <c r="Y543">
        <v>0.62675749517570045</v>
      </c>
      <c r="Z543">
        <v>0.85803989176568496</v>
      </c>
      <c r="AA543">
        <v>0.90881862301698513</v>
      </c>
      <c r="AB543">
        <v>0.91514037837490991</v>
      </c>
      <c r="AC543">
        <v>0.62014188187359975</v>
      </c>
      <c r="AD543">
        <v>0.45383031845755295</v>
      </c>
      <c r="AE543">
        <v>0.78158852182214633</v>
      </c>
      <c r="AH543">
        <v>0.11698707257994112</v>
      </c>
      <c r="AI543">
        <v>7.2049954456374743E-2</v>
      </c>
      <c r="AJ543">
        <v>0.22987854440457856</v>
      </c>
      <c r="AK543">
        <v>0.19050054008229189</v>
      </c>
      <c r="AL543">
        <v>2.4713904119869401E-2</v>
      </c>
      <c r="AM543">
        <v>0.18531306819339033</v>
      </c>
      <c r="AN543">
        <v>7.7783284106700101E-2</v>
      </c>
      <c r="AO543">
        <v>0.26020605354658466</v>
      </c>
      <c r="AR543">
        <v>8.7432821120981207E-4</v>
      </c>
      <c r="AS543">
        <v>4.6450245595056616E-3</v>
      </c>
      <c r="AT543">
        <v>4.9481626056443462E-3</v>
      </c>
      <c r="AU543">
        <v>1.7648655658666853E-3</v>
      </c>
      <c r="AV543">
        <v>2.1030154317890348E-3</v>
      </c>
      <c r="AW543">
        <v>3.4032566965653144E-3</v>
      </c>
      <c r="AX543">
        <v>3.6224929542064696E-4</v>
      </c>
      <c r="AY543">
        <v>5.5641332623312945E-4</v>
      </c>
      <c r="BB543">
        <v>4.9594062177055129E-2</v>
      </c>
      <c r="BC543">
        <v>4.2192635823270777E-2</v>
      </c>
      <c r="BE543">
        <v>69219.146823863528</v>
      </c>
      <c r="BF543">
        <v>12.620438043164263</v>
      </c>
      <c r="BG543">
        <v>70974.687035946656</v>
      </c>
      <c r="BH543">
        <v>12.610928482228164</v>
      </c>
      <c r="BI543">
        <v>-1755.5402120831277</v>
      </c>
      <c r="BJ543">
        <v>9.5095609360988931E-3</v>
      </c>
    </row>
    <row r="544" spans="3:62" x14ac:dyDescent="0.2">
      <c r="C544" s="121">
        <v>68473.435924573161</v>
      </c>
      <c r="D544">
        <v>16.468049663611161</v>
      </c>
      <c r="E544" s="121">
        <v>68925.671370606098</v>
      </c>
      <c r="F544" s="121">
        <v>16.404868378821412</v>
      </c>
      <c r="G544" s="121">
        <v>-452.23544603293703</v>
      </c>
      <c r="H544" s="121">
        <v>6.318128478974927E-2</v>
      </c>
      <c r="N544" s="121"/>
      <c r="O544" s="121"/>
      <c r="P544" s="121"/>
      <c r="R544">
        <v>191.04283121288489</v>
      </c>
      <c r="S544">
        <v>65.122758611099187</v>
      </c>
      <c r="T544">
        <v>259.24809355102519</v>
      </c>
      <c r="U544">
        <v>92.013242816394268</v>
      </c>
      <c r="X544">
        <v>0.89272407328707404</v>
      </c>
      <c r="Y544">
        <v>0.97047971949220213</v>
      </c>
      <c r="Z544">
        <v>0.73698890125538874</v>
      </c>
      <c r="AA544">
        <v>0.69736088712898237</v>
      </c>
      <c r="AB544">
        <v>0.59269710946157927</v>
      </c>
      <c r="AC544">
        <v>0.76069159134417053</v>
      </c>
      <c r="AD544">
        <v>0.92374245726796267</v>
      </c>
      <c r="AE544">
        <v>0.82068184133190347</v>
      </c>
      <c r="AH544">
        <v>0.17071846406445734</v>
      </c>
      <c r="AI544">
        <v>5.5991998430568124E-2</v>
      </c>
      <c r="AJ544">
        <v>0.19553052538159865</v>
      </c>
      <c r="AK544">
        <v>0.14281377104264159</v>
      </c>
      <c r="AL544">
        <v>0.44452083211945259</v>
      </c>
      <c r="AM544">
        <v>0.13024736274494231</v>
      </c>
      <c r="AN544">
        <v>0.15251012332313607</v>
      </c>
      <c r="AO544">
        <v>0.24431667199675244</v>
      </c>
      <c r="AR544">
        <v>7.8885255531768944E-4</v>
      </c>
      <c r="AS544">
        <v>4.469006709347358E-3</v>
      </c>
      <c r="AT544">
        <v>4.8204664360321182E-3</v>
      </c>
      <c r="AU544">
        <v>2.1260657385115955E-3</v>
      </c>
      <c r="AV544">
        <v>2.0311855528878375E-3</v>
      </c>
      <c r="AW544">
        <v>3.6654735755157208E-3</v>
      </c>
      <c r="AX544">
        <v>4.0298061583621259E-4</v>
      </c>
      <c r="AY544">
        <v>5.0900161284517242E-4</v>
      </c>
      <c r="BB544">
        <v>4.9012633733823321E-2</v>
      </c>
      <c r="BC544">
        <v>8.103943919752854E-2</v>
      </c>
      <c r="BE544">
        <v>68473.435924573161</v>
      </c>
      <c r="BF544">
        <v>16.468049663611161</v>
      </c>
      <c r="BG544">
        <v>68925.671370606098</v>
      </c>
      <c r="BH544">
        <v>16.404868378821412</v>
      </c>
      <c r="BI544">
        <v>-452.23544603293703</v>
      </c>
      <c r="BJ544">
        <v>6.318128478974927E-2</v>
      </c>
    </row>
    <row r="545" spans="3:62" x14ac:dyDescent="0.2">
      <c r="C545" s="121">
        <v>65344.239750717308</v>
      </c>
      <c r="D545">
        <v>15.518693198041719</v>
      </c>
      <c r="E545" s="121">
        <v>66378.604180764552</v>
      </c>
      <c r="F545" s="121">
        <v>15.488044717124451</v>
      </c>
      <c r="G545" s="121">
        <v>-1034.3644300472442</v>
      </c>
      <c r="H545" s="121">
        <v>3.0648480917268017E-2</v>
      </c>
      <c r="N545" s="121"/>
      <c r="O545" s="121"/>
      <c r="P545" s="121"/>
      <c r="R545">
        <v>220.46929357020957</v>
      </c>
      <c r="S545">
        <v>53.349600542887529</v>
      </c>
      <c r="T545">
        <v>246.35975579371757</v>
      </c>
      <c r="U545">
        <v>90.326024911222689</v>
      </c>
      <c r="X545">
        <v>0.74616863168481651</v>
      </c>
      <c r="Y545">
        <v>0.57770952032781331</v>
      </c>
      <c r="Z545">
        <v>0.74450393047518248</v>
      </c>
      <c r="AA545">
        <v>0.75169123845465047</v>
      </c>
      <c r="AB545">
        <v>0.65457594171090672</v>
      </c>
      <c r="AC545">
        <v>0.61150898789776453</v>
      </c>
      <c r="AD545">
        <v>0.9107250661552071</v>
      </c>
      <c r="AE545">
        <v>0.91089110817540919</v>
      </c>
      <c r="AH545">
        <v>9.368605401038721E-2</v>
      </c>
      <c r="AI545">
        <v>6.3390211857958567E-2</v>
      </c>
      <c r="AJ545">
        <v>2.3530494959581816E-2</v>
      </c>
      <c r="AK545">
        <v>9.9827512376899241E-2</v>
      </c>
      <c r="AL545">
        <v>5.3377767120487696E-2</v>
      </c>
      <c r="AM545">
        <v>0.21268293549432593</v>
      </c>
      <c r="AN545">
        <v>0.21625526410689366</v>
      </c>
      <c r="AO545">
        <v>6.8821419171638532E-2</v>
      </c>
      <c r="AR545">
        <v>7.710854653014312E-4</v>
      </c>
      <c r="AS545">
        <v>4.1990226323819014E-3</v>
      </c>
      <c r="AT545">
        <v>4.6002051776407472E-3</v>
      </c>
      <c r="AU545">
        <v>1.9888633394231385E-3</v>
      </c>
      <c r="AV545">
        <v>1.7793569872682931E-3</v>
      </c>
      <c r="AW545">
        <v>3.1523293806223524E-3</v>
      </c>
      <c r="AX545">
        <v>3.1698261440795967E-4</v>
      </c>
      <c r="AY545">
        <v>4.7280903794744145E-4</v>
      </c>
      <c r="BB545">
        <v>4.0482269772247836E-2</v>
      </c>
      <c r="BC545">
        <v>7.8811940060099284E-2</v>
      </c>
      <c r="BE545">
        <v>65344.239750717308</v>
      </c>
      <c r="BF545">
        <v>15.518693198041719</v>
      </c>
      <c r="BG545">
        <v>66378.604180764552</v>
      </c>
      <c r="BH545">
        <v>15.488044717124451</v>
      </c>
      <c r="BI545">
        <v>-1034.3644300472442</v>
      </c>
      <c r="BJ545">
        <v>3.0648480917268017E-2</v>
      </c>
    </row>
    <row r="546" spans="3:62" x14ac:dyDescent="0.2">
      <c r="C546" s="121">
        <v>66998.382341097968</v>
      </c>
      <c r="D546">
        <v>15.244601629185537</v>
      </c>
      <c r="E546" s="121">
        <v>69127.237448786633</v>
      </c>
      <c r="F546" s="121">
        <v>15.083040874503748</v>
      </c>
      <c r="G546" s="121">
        <v>-2128.8551076886652</v>
      </c>
      <c r="H546" s="121">
        <v>0.16156075468178877</v>
      </c>
      <c r="N546" s="121"/>
      <c r="O546" s="121"/>
      <c r="P546" s="121"/>
      <c r="R546">
        <v>280.02156259885749</v>
      </c>
      <c r="S546">
        <v>63.799460807944286</v>
      </c>
      <c r="T546">
        <v>199.57024533947344</v>
      </c>
      <c r="U546">
        <v>90.377312502063859</v>
      </c>
      <c r="X546">
        <v>0.4628827257192854</v>
      </c>
      <c r="Y546">
        <v>0.59372044264210055</v>
      </c>
      <c r="Z546">
        <v>0.89668629030075508</v>
      </c>
      <c r="AA546">
        <v>0.78172437597363731</v>
      </c>
      <c r="AB546">
        <v>0.77791085674724259</v>
      </c>
      <c r="AC546">
        <v>0.70013627502408837</v>
      </c>
      <c r="AD546">
        <v>0.76296863127604186</v>
      </c>
      <c r="AE546">
        <v>0.50450863470035245</v>
      </c>
      <c r="AH546">
        <v>5.8974622575375557E-2</v>
      </c>
      <c r="AI546">
        <v>0.25190368382811823</v>
      </c>
      <c r="AJ546">
        <v>9.7414958109502292E-2</v>
      </c>
      <c r="AK546">
        <v>5.3280059522036738E-2</v>
      </c>
      <c r="AL546">
        <v>0.10766233705234018</v>
      </c>
      <c r="AM546">
        <v>2.4609863350385286E-2</v>
      </c>
      <c r="AN546">
        <v>3.3767933912914549E-2</v>
      </c>
      <c r="AO546">
        <v>6.2437929794613822E-2</v>
      </c>
      <c r="AR546">
        <v>8.6900777917337955E-4</v>
      </c>
      <c r="AS546">
        <v>4.5383904803830699E-3</v>
      </c>
      <c r="AT546">
        <v>5.0949169062690647E-3</v>
      </c>
      <c r="AU546">
        <v>1.9179566152694976E-3</v>
      </c>
      <c r="AV546">
        <v>1.8656524793673737E-3</v>
      </c>
      <c r="AW546">
        <v>3.567082051098458E-3</v>
      </c>
      <c r="AX546">
        <v>4.475775919060565E-4</v>
      </c>
      <c r="AY546">
        <v>3.1717359685197455E-4</v>
      </c>
      <c r="BB546">
        <v>4.3648303769663929E-2</v>
      </c>
      <c r="BC546">
        <v>1.546759165690131E-2</v>
      </c>
      <c r="BE546">
        <v>66998.382341097968</v>
      </c>
      <c r="BF546">
        <v>15.244601629185537</v>
      </c>
      <c r="BG546">
        <v>69127.237448786633</v>
      </c>
      <c r="BH546">
        <v>15.083040874503748</v>
      </c>
      <c r="BI546">
        <v>-2128.8551076886652</v>
      </c>
      <c r="BJ546">
        <v>0.16156075468178877</v>
      </c>
    </row>
    <row r="547" spans="3:62" x14ac:dyDescent="0.2">
      <c r="C547" s="121">
        <v>64725.303832532743</v>
      </c>
      <c r="D547">
        <v>15.668747345174745</v>
      </c>
      <c r="E547" s="121">
        <v>66199.413116952754</v>
      </c>
      <c r="F547" s="121">
        <v>15.61534579931581</v>
      </c>
      <c r="G547" s="121">
        <v>-1474.1092844200102</v>
      </c>
      <c r="H547" s="121">
        <v>5.3401545858935862E-2</v>
      </c>
      <c r="N547" s="121"/>
      <c r="O547" s="121"/>
      <c r="P547" s="121"/>
      <c r="R547">
        <v>102.52055073136188</v>
      </c>
      <c r="S547">
        <v>59.504067883328432</v>
      </c>
      <c r="T547">
        <v>249.4770959159292</v>
      </c>
      <c r="U547">
        <v>75.831779275032872</v>
      </c>
      <c r="X547">
        <v>0.7120982830396142</v>
      </c>
      <c r="Y547">
        <v>0.83907236979273492</v>
      </c>
      <c r="Z547">
        <v>0.59695063361157263</v>
      </c>
      <c r="AA547">
        <v>0.74342884694242206</v>
      </c>
      <c r="AB547">
        <v>0.61769997326669757</v>
      </c>
      <c r="AC547">
        <v>0.81679138621204028</v>
      </c>
      <c r="AD547">
        <v>0.759462071028988</v>
      </c>
      <c r="AE547">
        <v>0.92270485026215532</v>
      </c>
      <c r="AH547">
        <v>0.12557715764597632</v>
      </c>
      <c r="AI547">
        <v>0.12936304613642435</v>
      </c>
      <c r="AJ547">
        <v>5.3523956996438304E-2</v>
      </c>
      <c r="AK547">
        <v>3.3231447253142532E-2</v>
      </c>
      <c r="AL547">
        <v>6.2393347172894131E-2</v>
      </c>
      <c r="AM547">
        <v>2.9292702206925147E-2</v>
      </c>
      <c r="AN547">
        <v>1.0336455342858208E-2</v>
      </c>
      <c r="AO547">
        <v>0.13470017046537452</v>
      </c>
      <c r="AR547">
        <v>7.9314505028236246E-4</v>
      </c>
      <c r="AS547">
        <v>4.6691119206364595E-3</v>
      </c>
      <c r="AT547">
        <v>4.9006417597645463E-3</v>
      </c>
      <c r="AU547">
        <v>1.839994618310181E-3</v>
      </c>
      <c r="AV547">
        <v>2.1501558033114598E-3</v>
      </c>
      <c r="AW547">
        <v>3.7126118126132868E-3</v>
      </c>
      <c r="AX547">
        <v>3.9028766386660466E-4</v>
      </c>
      <c r="AY547">
        <v>5.0248208838132857E-4</v>
      </c>
      <c r="BB547">
        <v>5.3356761835958055E-2</v>
      </c>
      <c r="BC547">
        <v>6.3570814282954857E-2</v>
      </c>
      <c r="BE547">
        <v>64725.303832532743</v>
      </c>
      <c r="BF547">
        <v>15.668747345174745</v>
      </c>
      <c r="BG547">
        <v>66199.413116952754</v>
      </c>
      <c r="BH547">
        <v>15.61534579931581</v>
      </c>
      <c r="BI547">
        <v>-1474.1092844200102</v>
      </c>
      <c r="BJ547">
        <v>5.3401545858935862E-2</v>
      </c>
    </row>
    <row r="548" spans="3:62" x14ac:dyDescent="0.2">
      <c r="C548" s="121">
        <v>67902.313783861784</v>
      </c>
      <c r="D548">
        <v>16.412501703410122</v>
      </c>
      <c r="E548" s="121">
        <v>68701.863288022301</v>
      </c>
      <c r="F548" s="121">
        <v>16.310966047857757</v>
      </c>
      <c r="G548" s="121">
        <v>-799.54950416051724</v>
      </c>
      <c r="H548" s="121">
        <v>0.10153565555236455</v>
      </c>
      <c r="N548" s="121"/>
      <c r="O548" s="121"/>
      <c r="P548" s="121"/>
      <c r="R548">
        <v>462.04422539440026</v>
      </c>
      <c r="S548">
        <v>54.259003083917037</v>
      </c>
      <c r="T548">
        <v>235.17450536494312</v>
      </c>
      <c r="U548">
        <v>87.266963605336201</v>
      </c>
      <c r="X548">
        <v>0.85498374433403446</v>
      </c>
      <c r="Y548">
        <v>0.80955264627324774</v>
      </c>
      <c r="Z548">
        <v>0.76110138829759744</v>
      </c>
      <c r="AA548">
        <v>0.80239242321709559</v>
      </c>
      <c r="AB548">
        <v>0.87424437070510397</v>
      </c>
      <c r="AC548">
        <v>0.93253338936075292</v>
      </c>
      <c r="AD548">
        <v>0.69437485580950886</v>
      </c>
      <c r="AE548">
        <v>0.92387327327384217</v>
      </c>
      <c r="AH548">
        <v>0.3244536393559061</v>
      </c>
      <c r="AI548">
        <v>5.325255582862376E-2</v>
      </c>
      <c r="AJ548">
        <v>6.4137040984770133E-2</v>
      </c>
      <c r="AK548">
        <v>0.2189600667870476</v>
      </c>
      <c r="AL548">
        <v>0.13084380554281516</v>
      </c>
      <c r="AM548">
        <v>0.17807754939823117</v>
      </c>
      <c r="AN548">
        <v>7.6886877178907298E-2</v>
      </c>
      <c r="AO548">
        <v>3.5026616452358939E-2</v>
      </c>
      <c r="AR548">
        <v>8.2991892310241614E-4</v>
      </c>
      <c r="AS548">
        <v>4.6881469027519884E-3</v>
      </c>
      <c r="AT548">
        <v>4.8351868038722231E-3</v>
      </c>
      <c r="AU548">
        <v>1.8176689853710685E-3</v>
      </c>
      <c r="AV548">
        <v>2.0053512019050368E-3</v>
      </c>
      <c r="AW548">
        <v>3.388380893896926E-3</v>
      </c>
      <c r="AX548">
        <v>4.4035075840964666E-4</v>
      </c>
      <c r="AY548">
        <v>3.2508150342165236E-4</v>
      </c>
      <c r="BB548">
        <v>4.770917308690821E-2</v>
      </c>
      <c r="BC548">
        <v>6.8662912180010749E-2</v>
      </c>
      <c r="BE548">
        <v>67902.313783861784</v>
      </c>
      <c r="BF548">
        <v>16.412501703410122</v>
      </c>
      <c r="BG548">
        <v>68701.863288022301</v>
      </c>
      <c r="BH548">
        <v>16.310966047857757</v>
      </c>
      <c r="BI548">
        <v>-799.54950416051724</v>
      </c>
      <c r="BJ548">
        <v>0.10153565555236455</v>
      </c>
    </row>
    <row r="549" spans="3:62" x14ac:dyDescent="0.2">
      <c r="C549" s="121">
        <v>73292.052017501337</v>
      </c>
      <c r="D549">
        <v>16.073814316144375</v>
      </c>
      <c r="E549" s="121">
        <v>74670.619284964734</v>
      </c>
      <c r="F549" s="121">
        <v>15.933526402965587</v>
      </c>
      <c r="G549" s="121">
        <v>-1378.567267463397</v>
      </c>
      <c r="H549" s="121">
        <v>0.14028791317878841</v>
      </c>
      <c r="N549" s="121"/>
      <c r="O549" s="121"/>
      <c r="P549" s="121"/>
      <c r="R549">
        <v>243.30562914930448</v>
      </c>
      <c r="S549">
        <v>63.99251730245026</v>
      </c>
      <c r="T549">
        <v>222.58564569364694</v>
      </c>
      <c r="U549">
        <v>94.594466362485122</v>
      </c>
      <c r="X549">
        <v>0.83626484073586771</v>
      </c>
      <c r="Y549">
        <v>0.54239718987617502</v>
      </c>
      <c r="Z549">
        <v>0.75122764123972896</v>
      </c>
      <c r="AA549">
        <v>0.92701555522684576</v>
      </c>
      <c r="AB549">
        <v>0.91897597534139019</v>
      </c>
      <c r="AC549">
        <v>0.78083939566853378</v>
      </c>
      <c r="AD549">
        <v>0.74892826191495221</v>
      </c>
      <c r="AE549">
        <v>0.87256112317808621</v>
      </c>
      <c r="AH549">
        <v>7.1917564590051497E-2</v>
      </c>
      <c r="AI549">
        <v>9.2286246759794244E-2</v>
      </c>
      <c r="AJ549">
        <v>0.10263778489367548</v>
      </c>
      <c r="AK549">
        <v>0.25883199047402605</v>
      </c>
      <c r="AL549">
        <v>6.4183746538064024E-2</v>
      </c>
      <c r="AM549">
        <v>5.1925352513349177E-2</v>
      </c>
      <c r="AN549">
        <v>3.0323146089098918E-2</v>
      </c>
      <c r="AO549">
        <v>4.5520721936316733E-2</v>
      </c>
      <c r="AR549">
        <v>8.8038008541264196E-4</v>
      </c>
      <c r="AS549">
        <v>4.3238329344198502E-3</v>
      </c>
      <c r="AT549">
        <v>4.7531695185896294E-3</v>
      </c>
      <c r="AU549">
        <v>1.9340355864128258E-3</v>
      </c>
      <c r="AV549">
        <v>1.860764194540137E-3</v>
      </c>
      <c r="AW549">
        <v>3.6046373581372082E-3</v>
      </c>
      <c r="AX549">
        <v>3.6769865999892293E-4</v>
      </c>
      <c r="AY549">
        <v>5.5536952397750028E-4</v>
      </c>
      <c r="BB549">
        <v>5.2682107445490844E-2</v>
      </c>
      <c r="BC549">
        <v>2.2758191638347341E-2</v>
      </c>
      <c r="BE549">
        <v>73292.052017501337</v>
      </c>
      <c r="BF549">
        <v>16.073814316144375</v>
      </c>
      <c r="BG549">
        <v>74670.619284964734</v>
      </c>
      <c r="BH549">
        <v>15.933526402965587</v>
      </c>
      <c r="BI549">
        <v>-1378.567267463397</v>
      </c>
      <c r="BJ549">
        <v>0.14028791317878841</v>
      </c>
    </row>
    <row r="550" spans="3:62" x14ac:dyDescent="0.2">
      <c r="C550" s="121">
        <v>61124.812229074654</v>
      </c>
      <c r="D550">
        <v>17.293341182506254</v>
      </c>
      <c r="E550" s="121">
        <v>63017.045708821497</v>
      </c>
      <c r="F550" s="121">
        <v>17.18792872335025</v>
      </c>
      <c r="G550" s="121">
        <v>-1892.2334797468429</v>
      </c>
      <c r="H550" s="121">
        <v>0.10541245915600328</v>
      </c>
      <c r="N550" s="121"/>
      <c r="O550" s="121"/>
      <c r="P550" s="121"/>
      <c r="R550">
        <v>343.90660272018238</v>
      </c>
      <c r="S550">
        <v>58.402367219705077</v>
      </c>
      <c r="T550">
        <v>216.24575090006502</v>
      </c>
      <c r="U550">
        <v>85.675323391501706</v>
      </c>
      <c r="X550">
        <v>0.9338792026709738</v>
      </c>
      <c r="Y550">
        <v>0.80868992678456408</v>
      </c>
      <c r="Z550">
        <v>0.85985024461279025</v>
      </c>
      <c r="AA550">
        <v>0.9206277544830046</v>
      </c>
      <c r="AB550">
        <v>0.74283522119317702</v>
      </c>
      <c r="AC550">
        <v>0.73432362237704885</v>
      </c>
      <c r="AD550">
        <v>0.73629538835050146</v>
      </c>
      <c r="AE550">
        <v>0.6554266708126022</v>
      </c>
      <c r="AH550">
        <v>0.17686090404606503</v>
      </c>
      <c r="AI550">
        <v>0.12342748885146992</v>
      </c>
      <c r="AJ550">
        <v>1.0337414594741245E-2</v>
      </c>
      <c r="AK550">
        <v>9.2125931028260166E-2</v>
      </c>
      <c r="AL550">
        <v>7.4885819456734448E-2</v>
      </c>
      <c r="AM550">
        <v>2.1833952008279089E-2</v>
      </c>
      <c r="AN550">
        <v>2.2455841485144123E-2</v>
      </c>
      <c r="AO550">
        <v>8.3218136633768536E-2</v>
      </c>
      <c r="AR550">
        <v>7.8637563408501319E-4</v>
      </c>
      <c r="AS550">
        <v>4.5430281668868977E-3</v>
      </c>
      <c r="AT550">
        <v>5.1071211733096922E-3</v>
      </c>
      <c r="AU550">
        <v>2.1627383793844102E-3</v>
      </c>
      <c r="AV550">
        <v>2.0551847550462909E-3</v>
      </c>
      <c r="AW550">
        <v>3.2186494893905039E-3</v>
      </c>
      <c r="AX550">
        <v>2.8208498098607221E-4</v>
      </c>
      <c r="AY550">
        <v>5.6086765093255053E-4</v>
      </c>
      <c r="BB550">
        <v>4.743146982753086E-2</v>
      </c>
      <c r="BC550">
        <v>6.4329024497790429E-3</v>
      </c>
      <c r="BE550">
        <v>61124.812229074654</v>
      </c>
      <c r="BF550">
        <v>17.293341182506254</v>
      </c>
      <c r="BG550">
        <v>63017.045708821497</v>
      </c>
      <c r="BH550">
        <v>17.18792872335025</v>
      </c>
      <c r="BI550">
        <v>-1892.2334797468429</v>
      </c>
      <c r="BJ550">
        <v>0.10541245915600328</v>
      </c>
    </row>
    <row r="551" spans="3:62" x14ac:dyDescent="0.2">
      <c r="C551" s="121">
        <v>68167.541959373368</v>
      </c>
      <c r="D551">
        <v>15.605027826465792</v>
      </c>
      <c r="E551" s="121">
        <v>69215.944674155107</v>
      </c>
      <c r="F551" s="121">
        <v>15.508998024305724</v>
      </c>
      <c r="G551" s="121">
        <v>-1048.4027147817396</v>
      </c>
      <c r="H551" s="121">
        <v>9.6029802160067845E-2</v>
      </c>
      <c r="N551" s="121"/>
      <c r="O551" s="121"/>
      <c r="P551" s="121"/>
      <c r="R551">
        <v>321.63312239415706</v>
      </c>
      <c r="S551">
        <v>62.237060828608762</v>
      </c>
      <c r="T551">
        <v>249.82640484388057</v>
      </c>
      <c r="U551">
        <v>95.070492808771363</v>
      </c>
      <c r="X551">
        <v>0.81629567640732326</v>
      </c>
      <c r="Y551">
        <v>0.47775870192953562</v>
      </c>
      <c r="Z551">
        <v>0.91272582348241693</v>
      </c>
      <c r="AA551">
        <v>0.69070446553615883</v>
      </c>
      <c r="AB551">
        <v>0.62295849135352677</v>
      </c>
      <c r="AC551">
        <v>0.87876468988565404</v>
      </c>
      <c r="AD551">
        <v>0.82784979483357302</v>
      </c>
      <c r="AE551">
        <v>0.86583686037574847</v>
      </c>
      <c r="AH551">
        <v>6.4794021908587074E-2</v>
      </c>
      <c r="AI551">
        <v>4.9353695756328642E-2</v>
      </c>
      <c r="AJ551">
        <v>0.24845057990892694</v>
      </c>
      <c r="AK551">
        <v>0.14260468290967809</v>
      </c>
      <c r="AL551">
        <v>0.14907764554893266</v>
      </c>
      <c r="AM551">
        <v>5.5297315578720752E-2</v>
      </c>
      <c r="AN551">
        <v>0.23648181237593857</v>
      </c>
      <c r="AO551">
        <v>0.10490795368008865</v>
      </c>
      <c r="AR551">
        <v>8.3747136983435206E-4</v>
      </c>
      <c r="AS551">
        <v>4.8877574199721607E-3</v>
      </c>
      <c r="AT551">
        <v>4.8220827354276494E-3</v>
      </c>
      <c r="AU551">
        <v>2.1340731750605357E-3</v>
      </c>
      <c r="AV551">
        <v>2.1029117696873545E-3</v>
      </c>
      <c r="AW551">
        <v>3.3231957865594805E-3</v>
      </c>
      <c r="AX551">
        <v>5.016917637197249E-4</v>
      </c>
      <c r="AY551">
        <v>4.6727745615637861E-4</v>
      </c>
      <c r="BB551">
        <v>5.2084842538856035E-2</v>
      </c>
      <c r="BC551">
        <v>6.3046012549939023E-2</v>
      </c>
      <c r="BE551">
        <v>68167.541959373368</v>
      </c>
      <c r="BF551">
        <v>15.605027826465792</v>
      </c>
      <c r="BG551">
        <v>69215.944674155107</v>
      </c>
      <c r="BH551">
        <v>15.508998024305724</v>
      </c>
      <c r="BI551">
        <v>-1048.4027147817396</v>
      </c>
      <c r="BJ551">
        <v>9.6029802160067845E-2</v>
      </c>
    </row>
    <row r="552" spans="3:62" x14ac:dyDescent="0.2">
      <c r="C552" s="121">
        <v>68110.518530714646</v>
      </c>
      <c r="D552">
        <v>16.685374098543168</v>
      </c>
      <c r="E552" s="121">
        <v>70326.834081127541</v>
      </c>
      <c r="F552" s="121">
        <v>16.510423892286656</v>
      </c>
      <c r="G552" s="121">
        <v>-2216.3155504128954</v>
      </c>
      <c r="H552" s="121">
        <v>0.17495020625651136</v>
      </c>
      <c r="N552" s="121"/>
      <c r="O552" s="121"/>
      <c r="P552" s="121"/>
      <c r="R552">
        <v>278.8499131677994</v>
      </c>
      <c r="S552">
        <v>56.899404655211697</v>
      </c>
      <c r="T552">
        <v>268.73874504189121</v>
      </c>
      <c r="U552">
        <v>85.629290989649519</v>
      </c>
      <c r="X552">
        <v>0.52776103796848484</v>
      </c>
      <c r="Y552">
        <v>0.72500452008787675</v>
      </c>
      <c r="Z552">
        <v>0.82492728163130657</v>
      </c>
      <c r="AA552">
        <v>0.7735259992624901</v>
      </c>
      <c r="AB552">
        <v>0.86480403628165847</v>
      </c>
      <c r="AC552">
        <v>0.65029076368858685</v>
      </c>
      <c r="AD552">
        <v>0.68322580504533281</v>
      </c>
      <c r="AE552">
        <v>0.71746109140247105</v>
      </c>
      <c r="AH552">
        <v>0.11316716021192197</v>
      </c>
      <c r="AI552">
        <v>0.23707550609052441</v>
      </c>
      <c r="AJ552">
        <v>0.23416562806536945</v>
      </c>
      <c r="AK552">
        <v>3.0249337705863133E-2</v>
      </c>
      <c r="AL552">
        <v>0.13622572667931288</v>
      </c>
      <c r="AM552">
        <v>0.10804379294024413</v>
      </c>
      <c r="AN552">
        <v>3.5380693049720802E-2</v>
      </c>
      <c r="AO552">
        <v>0.11471527908796442</v>
      </c>
      <c r="AR552">
        <v>9.5441692861464311E-4</v>
      </c>
      <c r="AS552">
        <v>4.375104529650049E-3</v>
      </c>
      <c r="AT552">
        <v>4.7777008424243136E-3</v>
      </c>
      <c r="AU552">
        <v>2.0626503671991037E-3</v>
      </c>
      <c r="AV552">
        <v>1.9784496398954615E-3</v>
      </c>
      <c r="AW552">
        <v>3.3229155816838904E-3</v>
      </c>
      <c r="AX552">
        <v>5.4288639146338191E-4</v>
      </c>
      <c r="AY552">
        <v>4.7220855042551246E-4</v>
      </c>
      <c r="BB552">
        <v>5.3276266879953571E-2</v>
      </c>
      <c r="BC552">
        <v>3.9076285373299074E-2</v>
      </c>
      <c r="BE552">
        <v>68110.518530714646</v>
      </c>
      <c r="BF552">
        <v>16.685374098543168</v>
      </c>
      <c r="BG552">
        <v>70326.834081127541</v>
      </c>
      <c r="BH552">
        <v>16.510423892286656</v>
      </c>
      <c r="BI552">
        <v>-2216.3155504128954</v>
      </c>
      <c r="BJ552">
        <v>0.17495020625651136</v>
      </c>
    </row>
    <row r="553" spans="3:62" x14ac:dyDescent="0.2">
      <c r="C553" s="121">
        <v>71581.849625663119</v>
      </c>
      <c r="D553">
        <v>16.081384075971865</v>
      </c>
      <c r="E553" s="121">
        <v>71843.378481891588</v>
      </c>
      <c r="F553" s="121">
        <v>16.062469107771559</v>
      </c>
      <c r="G553" s="121">
        <v>-261.52885622846952</v>
      </c>
      <c r="H553" s="121">
        <v>1.8914968200306248E-2</v>
      </c>
      <c r="N553" s="121"/>
      <c r="O553" s="121"/>
      <c r="P553" s="121"/>
      <c r="R553">
        <v>310.40953769886153</v>
      </c>
      <c r="S553">
        <v>61.496392842809158</v>
      </c>
      <c r="T553">
        <v>227.29306925500492</v>
      </c>
      <c r="U553">
        <v>99.78297658614251</v>
      </c>
      <c r="X553">
        <v>0.49374621253103779</v>
      </c>
      <c r="Y553">
        <v>0.72498831322478119</v>
      </c>
      <c r="Z553">
        <v>0.6797239312242378</v>
      </c>
      <c r="AA553">
        <v>0.86197819243663898</v>
      </c>
      <c r="AB553">
        <v>0.82753633301768748</v>
      </c>
      <c r="AC553">
        <v>0.96251549987482155</v>
      </c>
      <c r="AD553">
        <v>0.594392649622695</v>
      </c>
      <c r="AE553">
        <v>0.825336762138974</v>
      </c>
      <c r="AH553">
        <v>0.12821997053897105</v>
      </c>
      <c r="AI553">
        <v>0.11086220944831626</v>
      </c>
      <c r="AJ553">
        <v>4.7881343662500186E-2</v>
      </c>
      <c r="AK553">
        <v>3.0623222602532918E-2</v>
      </c>
      <c r="AL553">
        <v>0.26365085776583297</v>
      </c>
      <c r="AM553">
        <v>5.1680618541521173E-2</v>
      </c>
      <c r="AN553">
        <v>5.301331296564038E-2</v>
      </c>
      <c r="AO553">
        <v>4.8328920024218958E-2</v>
      </c>
      <c r="AR553">
        <v>8.1779043371424495E-4</v>
      </c>
      <c r="AS553">
        <v>4.4383045701332901E-3</v>
      </c>
      <c r="AT553">
        <v>5.2356944822662399E-3</v>
      </c>
      <c r="AU553">
        <v>2.1717926492103024E-3</v>
      </c>
      <c r="AV553">
        <v>2.0438471389121471E-3</v>
      </c>
      <c r="AW553">
        <v>3.4155376100625245E-3</v>
      </c>
      <c r="AX553">
        <v>3.4040894740376476E-4</v>
      </c>
      <c r="AY553">
        <v>4.3107574693461372E-4</v>
      </c>
      <c r="BB553">
        <v>4.7294434906001777E-2</v>
      </c>
      <c r="BC553">
        <v>7.3278662692931595E-2</v>
      </c>
      <c r="BE553">
        <v>71581.849625663119</v>
      </c>
      <c r="BF553">
        <v>16.081384075971865</v>
      </c>
      <c r="BG553">
        <v>71843.378481891588</v>
      </c>
      <c r="BH553">
        <v>16.062469107771559</v>
      </c>
      <c r="BI553">
        <v>-261.52885622846952</v>
      </c>
      <c r="BJ553">
        <v>1.8914968200306248E-2</v>
      </c>
    </row>
    <row r="554" spans="3:62" x14ac:dyDescent="0.2">
      <c r="C554" s="121">
        <v>75111.425399038853</v>
      </c>
      <c r="D554">
        <v>15.334771035282616</v>
      </c>
      <c r="E554" s="121">
        <v>76895.56371701225</v>
      </c>
      <c r="F554" s="121">
        <v>15.175562166787117</v>
      </c>
      <c r="G554" s="121">
        <v>-1784.1383179733966</v>
      </c>
      <c r="H554" s="121">
        <v>0.15920886849549909</v>
      </c>
      <c r="N554" s="121"/>
      <c r="O554" s="121"/>
      <c r="P554" s="121"/>
      <c r="R554">
        <v>243.09483624141163</v>
      </c>
      <c r="S554">
        <v>62.933943546060917</v>
      </c>
      <c r="T554">
        <v>262.96342783037028</v>
      </c>
      <c r="U554">
        <v>95.176171197952428</v>
      </c>
      <c r="X554">
        <v>0.78157800157899426</v>
      </c>
      <c r="Y554">
        <v>0.7583511221952508</v>
      </c>
      <c r="Z554">
        <v>0.7285168472750686</v>
      </c>
      <c r="AA554">
        <v>0.8124396938891516</v>
      </c>
      <c r="AB554">
        <v>0.70710739533762024</v>
      </c>
      <c r="AC554">
        <v>0.50336990158885808</v>
      </c>
      <c r="AD554">
        <v>0.7218081679298044</v>
      </c>
      <c r="AE554">
        <v>0.75454767361613162</v>
      </c>
      <c r="AH554">
        <v>2.9655939671439313E-2</v>
      </c>
      <c r="AI554">
        <v>3.0905923489156217E-2</v>
      </c>
      <c r="AJ554">
        <v>0.30605065326476344</v>
      </c>
      <c r="AK554">
        <v>0.11411619625745506</v>
      </c>
      <c r="AL554">
        <v>8.1157832814334308E-2</v>
      </c>
      <c r="AM554">
        <v>0.21255580562648413</v>
      </c>
      <c r="AN554">
        <v>5.3092946144226438E-2</v>
      </c>
      <c r="AO554">
        <v>0.11527318087008964</v>
      </c>
      <c r="AR554">
        <v>1.0177019768398132E-3</v>
      </c>
      <c r="AS554">
        <v>4.1690020035497627E-3</v>
      </c>
      <c r="AT554">
        <v>4.5463517318201051E-3</v>
      </c>
      <c r="AU554">
        <v>2.3392630884041532E-3</v>
      </c>
      <c r="AV554">
        <v>2.1899800819814574E-3</v>
      </c>
      <c r="AW554">
        <v>3.3090054790321116E-3</v>
      </c>
      <c r="AX554">
        <v>4.7909173026838836E-4</v>
      </c>
      <c r="AY554">
        <v>4.6095014992897365E-4</v>
      </c>
      <c r="BB554">
        <v>6.1581085641839728E-2</v>
      </c>
      <c r="BC554">
        <v>6.811084079995755E-2</v>
      </c>
      <c r="BE554">
        <v>75111.425399038853</v>
      </c>
      <c r="BF554">
        <v>15.334771035282616</v>
      </c>
      <c r="BG554">
        <v>76895.56371701225</v>
      </c>
      <c r="BH554">
        <v>15.175562166787117</v>
      </c>
      <c r="BI554">
        <v>-1784.1383179733966</v>
      </c>
      <c r="BJ554">
        <v>0.15920886849549909</v>
      </c>
    </row>
    <row r="555" spans="3:62" x14ac:dyDescent="0.2">
      <c r="C555" s="121">
        <v>74133.16657005153</v>
      </c>
      <c r="D555">
        <v>16.279044405964203</v>
      </c>
      <c r="E555" s="121">
        <v>75096.704650827116</v>
      </c>
      <c r="F555" s="121">
        <v>16.207021349058877</v>
      </c>
      <c r="G555" s="121">
        <v>-963.53808077558642</v>
      </c>
      <c r="H555" s="121">
        <v>7.2023056905326399E-2</v>
      </c>
      <c r="N555" s="121"/>
      <c r="O555" s="121"/>
      <c r="P555" s="121"/>
      <c r="R555">
        <v>400.690057097644</v>
      </c>
      <c r="S555">
        <v>57.528825667025728</v>
      </c>
      <c r="T555">
        <v>205.31158627292808</v>
      </c>
      <c r="U555">
        <v>95.791278977533793</v>
      </c>
      <c r="X555">
        <v>0.7577927988362142</v>
      </c>
      <c r="Y555">
        <v>0.84362631215000961</v>
      </c>
      <c r="Z555">
        <v>0.86685817194389736</v>
      </c>
      <c r="AA555">
        <v>0.78135330920744095</v>
      </c>
      <c r="AB555">
        <v>0.76886128646616592</v>
      </c>
      <c r="AC555">
        <v>0.68705557810806472</v>
      </c>
      <c r="AD555">
        <v>0.74679962708219938</v>
      </c>
      <c r="AE555">
        <v>0.76749246457974585</v>
      </c>
      <c r="AH555">
        <v>0.18616860542822022</v>
      </c>
      <c r="AI555">
        <v>4.0051577628328117E-2</v>
      </c>
      <c r="AJ555">
        <v>8.4399325873426356E-2</v>
      </c>
      <c r="AK555">
        <v>0.13779464051748647</v>
      </c>
      <c r="AL555">
        <v>0.18886681957060336</v>
      </c>
      <c r="AM555">
        <v>0.37387199881004773</v>
      </c>
      <c r="AN555">
        <v>0.15067698743019253</v>
      </c>
      <c r="AO555">
        <v>7.2702871990361739E-2</v>
      </c>
      <c r="AR555">
        <v>8.9977978820554583E-4</v>
      </c>
      <c r="AS555">
        <v>4.4340741376555186E-3</v>
      </c>
      <c r="AT555">
        <v>4.9050213843529564E-3</v>
      </c>
      <c r="AU555">
        <v>1.8613161655340858E-3</v>
      </c>
      <c r="AV555">
        <v>1.8848068485707496E-3</v>
      </c>
      <c r="AW555">
        <v>3.2898219106008908E-3</v>
      </c>
      <c r="AX555">
        <v>3.7666099916216876E-4</v>
      </c>
      <c r="AY555">
        <v>5.1606424687478114E-4</v>
      </c>
      <c r="BB555">
        <v>5.1761103572772749E-2</v>
      </c>
      <c r="BC555">
        <v>3.7399304822196403E-2</v>
      </c>
      <c r="BE555">
        <v>74133.16657005153</v>
      </c>
      <c r="BF555">
        <v>16.279044405964203</v>
      </c>
      <c r="BG555">
        <v>75096.704650827116</v>
      </c>
      <c r="BH555">
        <v>16.207021349058877</v>
      </c>
      <c r="BI555">
        <v>-963.53808077558642</v>
      </c>
      <c r="BJ555">
        <v>7.2023056905326399E-2</v>
      </c>
    </row>
    <row r="556" spans="3:62" x14ac:dyDescent="0.2">
      <c r="C556" s="121">
        <v>66950.849766139436</v>
      </c>
      <c r="D556">
        <v>16.346995763626904</v>
      </c>
      <c r="E556" s="121">
        <v>69362.542013363738</v>
      </c>
      <c r="F556" s="121">
        <v>16.169024586938637</v>
      </c>
      <c r="G556" s="121">
        <v>-2411.6922472243023</v>
      </c>
      <c r="H556" s="121">
        <v>0.17797117668826701</v>
      </c>
      <c r="N556" s="121"/>
      <c r="O556" s="121"/>
      <c r="P556" s="121"/>
      <c r="R556">
        <v>188.33473218827407</v>
      </c>
      <c r="S556">
        <v>64.477377216140141</v>
      </c>
      <c r="T556">
        <v>221.1369105660217</v>
      </c>
      <c r="U556">
        <v>90.367434260975585</v>
      </c>
      <c r="X556">
        <v>0.90592488667291238</v>
      </c>
      <c r="Y556">
        <v>0.54486577694748128</v>
      </c>
      <c r="Z556">
        <v>0.8811258094644806</v>
      </c>
      <c r="AA556">
        <v>0.60440875927426063</v>
      </c>
      <c r="AB556">
        <v>0.89991256509426931</v>
      </c>
      <c r="AC556">
        <v>0.77667414545772495</v>
      </c>
      <c r="AD556">
        <v>0.94871678683313965</v>
      </c>
      <c r="AE556">
        <v>0.862714295177476</v>
      </c>
      <c r="AH556">
        <v>0.22400397325193433</v>
      </c>
      <c r="AI556">
        <v>0.16479857587507429</v>
      </c>
      <c r="AJ556">
        <v>0.15507463968673241</v>
      </c>
      <c r="AK556">
        <v>9.9148614231221233E-2</v>
      </c>
      <c r="AL556">
        <v>0.12372742730759456</v>
      </c>
      <c r="AM556">
        <v>2.2637175112067309E-2</v>
      </c>
      <c r="AN556">
        <v>9.7853495349611963E-2</v>
      </c>
      <c r="AO556">
        <v>8.8935942552963665E-2</v>
      </c>
      <c r="AR556">
        <v>9.9989111734066771E-4</v>
      </c>
      <c r="AS556">
        <v>4.1226369587615561E-3</v>
      </c>
      <c r="AT556">
        <v>5.2333819875748366E-3</v>
      </c>
      <c r="AU556">
        <v>2.0435119819987024E-3</v>
      </c>
      <c r="AV556">
        <v>1.8720820990537062E-3</v>
      </c>
      <c r="AW556">
        <v>3.4415025299439073E-3</v>
      </c>
      <c r="AX556">
        <v>4.1442114854284284E-4</v>
      </c>
      <c r="AY556">
        <v>4.238514577634819E-4</v>
      </c>
      <c r="BB556">
        <v>5.3306768424756901E-2</v>
      </c>
      <c r="BC556">
        <v>0.10273745340811125</v>
      </c>
      <c r="BE556">
        <v>66950.849766139436</v>
      </c>
      <c r="BF556">
        <v>16.346995763626904</v>
      </c>
      <c r="BG556">
        <v>69362.542013363738</v>
      </c>
      <c r="BH556">
        <v>16.169024586938637</v>
      </c>
      <c r="BI556">
        <v>-2411.6922472243023</v>
      </c>
      <c r="BJ556">
        <v>0.17797117668826701</v>
      </c>
    </row>
    <row r="557" spans="3:62" x14ac:dyDescent="0.2">
      <c r="C557" s="121">
        <v>69859.886367214334</v>
      </c>
      <c r="D557">
        <v>17.346658553679394</v>
      </c>
      <c r="E557" s="121">
        <v>71478.361394683525</v>
      </c>
      <c r="F557" s="121">
        <v>17.232109411453372</v>
      </c>
      <c r="G557" s="121">
        <v>-1618.4750274691905</v>
      </c>
      <c r="H557" s="121">
        <v>0.11454914222602142</v>
      </c>
      <c r="N557" s="121"/>
      <c r="O557" s="121"/>
      <c r="P557" s="121"/>
      <c r="R557">
        <v>172.67381032380194</v>
      </c>
      <c r="S557">
        <v>62.051845464629537</v>
      </c>
      <c r="T557">
        <v>267.56219640735975</v>
      </c>
      <c r="U557">
        <v>87.469460040124673</v>
      </c>
      <c r="X557">
        <v>0.816916030130167</v>
      </c>
      <c r="Y557">
        <v>0.46720558066825074</v>
      </c>
      <c r="Z557">
        <v>0.94204108681226395</v>
      </c>
      <c r="AA557">
        <v>0.91531895481234926</v>
      </c>
      <c r="AB557">
        <v>0.88354576385295713</v>
      </c>
      <c r="AC557">
        <v>0.65012031890813837</v>
      </c>
      <c r="AD557">
        <v>0.83025078706897515</v>
      </c>
      <c r="AE557">
        <v>0.68404903615195967</v>
      </c>
      <c r="AH557">
        <v>8.7776912987771794E-2</v>
      </c>
      <c r="AI557">
        <v>0.17567178150321594</v>
      </c>
      <c r="AJ557">
        <v>5.7016526778346122E-2</v>
      </c>
      <c r="AK557">
        <v>0.2109863243519452</v>
      </c>
      <c r="AL557">
        <v>5.558482801121456E-2</v>
      </c>
      <c r="AM557">
        <v>7.328274540818247E-2</v>
      </c>
      <c r="AN557">
        <v>8.0023596375788042E-2</v>
      </c>
      <c r="AO557">
        <v>6.8541792962603987E-2</v>
      </c>
      <c r="AR557">
        <v>8.3159654300685875E-4</v>
      </c>
      <c r="AS557">
        <v>4.4329459626644401E-3</v>
      </c>
      <c r="AT557">
        <v>4.5984493168826643E-3</v>
      </c>
      <c r="AU557">
        <v>2.1568245193857027E-3</v>
      </c>
      <c r="AV557">
        <v>2.1533745078687883E-3</v>
      </c>
      <c r="AW557">
        <v>3.5960822649669932E-3</v>
      </c>
      <c r="AX557">
        <v>4.5279336473236231E-4</v>
      </c>
      <c r="AY557">
        <v>4.5607478801334977E-4</v>
      </c>
      <c r="BB557">
        <v>5.4948615831136749E-2</v>
      </c>
      <c r="BC557">
        <v>4.3967530097097196E-2</v>
      </c>
      <c r="BE557">
        <v>69859.886367214334</v>
      </c>
      <c r="BF557">
        <v>17.346658553679394</v>
      </c>
      <c r="BG557">
        <v>71478.361394683525</v>
      </c>
      <c r="BH557">
        <v>17.232109411453372</v>
      </c>
      <c r="BI557">
        <v>-1618.4750274691905</v>
      </c>
      <c r="BJ557">
        <v>0.11454914222602142</v>
      </c>
    </row>
    <row r="558" spans="3:62" x14ac:dyDescent="0.2">
      <c r="C558" s="121">
        <v>73162.429432457488</v>
      </c>
      <c r="D558">
        <v>14.522543915118472</v>
      </c>
      <c r="E558" s="121">
        <v>75176.701508436861</v>
      </c>
      <c r="F558" s="121">
        <v>14.415390112068557</v>
      </c>
      <c r="G558" s="121">
        <v>-2014.2720759793738</v>
      </c>
      <c r="H558" s="121">
        <v>0.10715380304991484</v>
      </c>
      <c r="N558" s="121"/>
      <c r="O558" s="121"/>
      <c r="P558" s="121"/>
      <c r="R558">
        <v>-61.393029138310737</v>
      </c>
      <c r="S558">
        <v>59.324968743252029</v>
      </c>
      <c r="T558">
        <v>234.28381454919671</v>
      </c>
      <c r="U558">
        <v>88.345214359271523</v>
      </c>
      <c r="X558">
        <v>0.68355983396269349</v>
      </c>
      <c r="Y558">
        <v>0.90518982371233203</v>
      </c>
      <c r="Z558">
        <v>0.772056344353242</v>
      </c>
      <c r="AA558">
        <v>0.74716200654156151</v>
      </c>
      <c r="AB558">
        <v>0.84257370076164684</v>
      </c>
      <c r="AC558">
        <v>0.79159760663669565</v>
      </c>
      <c r="AD558">
        <v>0.7461656639475267</v>
      </c>
      <c r="AE558">
        <v>0.56010612016454431</v>
      </c>
      <c r="AH558">
        <v>0.12091924816221389</v>
      </c>
      <c r="AI558">
        <v>5.9698210228147697E-2</v>
      </c>
      <c r="AJ558">
        <v>0.28972208890627704</v>
      </c>
      <c r="AK558">
        <v>5.3407057218458176E-2</v>
      </c>
      <c r="AL558">
        <v>8.1069727135582692E-2</v>
      </c>
      <c r="AM558">
        <v>0.14636972718211982</v>
      </c>
      <c r="AN558">
        <v>0.38847569112717117</v>
      </c>
      <c r="AO558">
        <v>0.11479304595584439</v>
      </c>
      <c r="AR558">
        <v>9.0397193008673327E-4</v>
      </c>
      <c r="AS558">
        <v>4.3608653046001925E-3</v>
      </c>
      <c r="AT558">
        <v>4.7986931158966739E-3</v>
      </c>
      <c r="AU558">
        <v>2.1389495190925478E-3</v>
      </c>
      <c r="AV558">
        <v>2.0214657037612715E-3</v>
      </c>
      <c r="AW558">
        <v>3.0618057371196864E-3</v>
      </c>
      <c r="AX558">
        <v>3.5379353252417599E-4</v>
      </c>
      <c r="AY558">
        <v>5.3700926511646152E-4</v>
      </c>
      <c r="BB558">
        <v>4.1036618698832697E-2</v>
      </c>
      <c r="BC558">
        <v>5.8742078247811302E-2</v>
      </c>
      <c r="BE558">
        <v>73162.429432457488</v>
      </c>
      <c r="BF558">
        <v>14.522543915118472</v>
      </c>
      <c r="BG558">
        <v>75176.701508436861</v>
      </c>
      <c r="BH558">
        <v>14.415390112068557</v>
      </c>
      <c r="BI558">
        <v>-2014.2720759793738</v>
      </c>
      <c r="BJ558">
        <v>0.10715380304991484</v>
      </c>
    </row>
    <row r="559" spans="3:62" x14ac:dyDescent="0.2">
      <c r="C559" s="121">
        <v>70474.951257166715</v>
      </c>
      <c r="D559">
        <v>15.301756863943988</v>
      </c>
      <c r="E559" s="121">
        <v>72471.411742293829</v>
      </c>
      <c r="F559" s="121">
        <v>15.143052892725047</v>
      </c>
      <c r="G559" s="121">
        <v>-1996.4604851271142</v>
      </c>
      <c r="H559" s="121">
        <v>0.15870397121894086</v>
      </c>
      <c r="N559" s="121"/>
      <c r="O559" s="121"/>
      <c r="P559" s="121"/>
      <c r="R559">
        <v>391.62753313416022</v>
      </c>
      <c r="S559">
        <v>54.723603047841451</v>
      </c>
      <c r="T559">
        <v>232.2712750268941</v>
      </c>
      <c r="U559">
        <v>93.594235599472967</v>
      </c>
      <c r="X559">
        <v>0.39878093448247531</v>
      </c>
      <c r="Y559">
        <v>0.81314394523961431</v>
      </c>
      <c r="Z559">
        <v>0.714407674057014</v>
      </c>
      <c r="AA559">
        <v>0.81010577051396782</v>
      </c>
      <c r="AB559">
        <v>0.66732315333885905</v>
      </c>
      <c r="AC559">
        <v>0.91513284304133669</v>
      </c>
      <c r="AD559">
        <v>0.74977968142991824</v>
      </c>
      <c r="AE559">
        <v>0.94639851716942225</v>
      </c>
      <c r="AH559">
        <v>7.249347800272421E-2</v>
      </c>
      <c r="AI559">
        <v>0.1060731714533768</v>
      </c>
      <c r="AJ559">
        <v>0.21232926355654325</v>
      </c>
      <c r="AK559">
        <v>0.14379439806666672</v>
      </c>
      <c r="AL559">
        <v>0.16193434084920877</v>
      </c>
      <c r="AM559">
        <v>6.8622642903121367E-2</v>
      </c>
      <c r="AN559">
        <v>8.3299928219285002E-2</v>
      </c>
      <c r="AO559">
        <v>8.3149332711378476E-2</v>
      </c>
      <c r="AR559">
        <v>1.0011793116351253E-3</v>
      </c>
      <c r="AS559">
        <v>4.7481901639594426E-3</v>
      </c>
      <c r="AT559">
        <v>4.496087702884669E-3</v>
      </c>
      <c r="AU559">
        <v>1.9926398458215817E-3</v>
      </c>
      <c r="AV559">
        <v>2.1663106646698793E-3</v>
      </c>
      <c r="AW559">
        <v>3.3756816454138358E-3</v>
      </c>
      <c r="AX559">
        <v>5.3482155636119799E-4</v>
      </c>
      <c r="AY559">
        <v>4.4373636931912993E-4</v>
      </c>
      <c r="BB559">
        <v>4.9087105660678865E-2</v>
      </c>
      <c r="BC559">
        <v>4.4208495142127845E-2</v>
      </c>
      <c r="BE559">
        <v>70474.951257166715</v>
      </c>
      <c r="BF559">
        <v>15.301756863943988</v>
      </c>
      <c r="BG559">
        <v>72471.411742293829</v>
      </c>
      <c r="BH559">
        <v>15.143052892725047</v>
      </c>
      <c r="BI559">
        <v>-1996.4604851271142</v>
      </c>
      <c r="BJ559">
        <v>0.15870397121894086</v>
      </c>
    </row>
    <row r="560" spans="3:62" x14ac:dyDescent="0.2">
      <c r="C560" s="121">
        <v>64345.017355727614</v>
      </c>
      <c r="D560">
        <v>16.426047366421315</v>
      </c>
      <c r="E560" s="121">
        <v>65734.989839924776</v>
      </c>
      <c r="F560" s="121">
        <v>16.32431427201935</v>
      </c>
      <c r="G560" s="121">
        <v>-1389.972484197162</v>
      </c>
      <c r="H560" s="121">
        <v>0.10173309440196476</v>
      </c>
      <c r="N560" s="121"/>
      <c r="O560" s="121"/>
      <c r="P560" s="121"/>
      <c r="R560">
        <v>189.08961064688094</v>
      </c>
      <c r="S560">
        <v>67.675865933209991</v>
      </c>
      <c r="T560">
        <v>241.77242257341859</v>
      </c>
      <c r="U560">
        <v>109.18558692174091</v>
      </c>
      <c r="X560">
        <v>0.90291760791034004</v>
      </c>
      <c r="Y560">
        <v>0.89080267322183748</v>
      </c>
      <c r="Z560">
        <v>0.41981663589006701</v>
      </c>
      <c r="AA560">
        <v>0.712725201874151</v>
      </c>
      <c r="AB560">
        <v>0.64902276404693893</v>
      </c>
      <c r="AC560">
        <v>0.45931447891722671</v>
      </c>
      <c r="AD560">
        <v>0.81495572309175124</v>
      </c>
      <c r="AE560">
        <v>0.44997145140540229</v>
      </c>
      <c r="AH560">
        <v>0.22142910859865894</v>
      </c>
      <c r="AI560">
        <v>7.4144153576914507E-2</v>
      </c>
      <c r="AJ560">
        <v>0.14384956563895201</v>
      </c>
      <c r="AK560">
        <v>3.8612829047304231E-3</v>
      </c>
      <c r="AL560">
        <v>0.15645755259788485</v>
      </c>
      <c r="AM560">
        <v>0.12363079386537434</v>
      </c>
      <c r="AN560">
        <v>0.12245290129313868</v>
      </c>
      <c r="AO560">
        <v>0.10165602511042726</v>
      </c>
      <c r="AR560">
        <v>7.4253888908991405E-4</v>
      </c>
      <c r="AS560">
        <v>4.6023931767072979E-3</v>
      </c>
      <c r="AT560">
        <v>4.7826656824611095E-3</v>
      </c>
      <c r="AU560">
        <v>2.148050081196784E-3</v>
      </c>
      <c r="AV560">
        <v>1.870685206864578E-3</v>
      </c>
      <c r="AW560">
        <v>3.2321387031118334E-3</v>
      </c>
      <c r="AX560">
        <v>4.9647034881661334E-4</v>
      </c>
      <c r="AY560">
        <v>4.1151511045146351E-4</v>
      </c>
      <c r="BB560">
        <v>5.4839652559865559E-2</v>
      </c>
      <c r="BC560">
        <v>4.0501786184426687E-2</v>
      </c>
      <c r="BE560">
        <v>64345.017355727614</v>
      </c>
      <c r="BF560">
        <v>16.426047366421315</v>
      </c>
      <c r="BG560">
        <v>65734.989839924776</v>
      </c>
      <c r="BH560">
        <v>16.32431427201935</v>
      </c>
      <c r="BI560">
        <v>-1389.972484197162</v>
      </c>
      <c r="BJ560">
        <v>0.10173309440196476</v>
      </c>
    </row>
    <row r="561" spans="3:62" x14ac:dyDescent="0.2">
      <c r="C561" s="121">
        <v>71981.375680445795</v>
      </c>
      <c r="D561">
        <v>15.825281314777857</v>
      </c>
      <c r="E561" s="121">
        <v>73227.996065598825</v>
      </c>
      <c r="F561" s="121">
        <v>15.688858928969378</v>
      </c>
      <c r="G561" s="121">
        <v>-1246.6203851530299</v>
      </c>
      <c r="H561" s="121">
        <v>0.13642238580847987</v>
      </c>
      <c r="N561" s="121"/>
      <c r="O561" s="121"/>
      <c r="P561" s="121"/>
      <c r="R561">
        <v>421.87237102641859</v>
      </c>
      <c r="S561">
        <v>65.873217485641689</v>
      </c>
      <c r="T561">
        <v>247.2147898454906</v>
      </c>
      <c r="U561">
        <v>106.29182046452146</v>
      </c>
      <c r="X561">
        <v>0.58465631284707054</v>
      </c>
      <c r="Y561">
        <v>0.74655202018916766</v>
      </c>
      <c r="Z561">
        <v>0.85576075280948982</v>
      </c>
      <c r="AA561">
        <v>0.78185741277154386</v>
      </c>
      <c r="AB561">
        <v>0.72328849185182553</v>
      </c>
      <c r="AC561">
        <v>0.38473403901546777</v>
      </c>
      <c r="AD561">
        <v>0.82375010172051888</v>
      </c>
      <c r="AE561">
        <v>0.56460239008236335</v>
      </c>
      <c r="AH561">
        <v>0.29789414607847386</v>
      </c>
      <c r="AI561">
        <v>6.1603089129288691E-2</v>
      </c>
      <c r="AJ561">
        <v>0.24522300350410842</v>
      </c>
      <c r="AK561">
        <v>3.7516812877482764E-2</v>
      </c>
      <c r="AL561">
        <v>0.22834339266477466</v>
      </c>
      <c r="AM561">
        <v>0.14568914309918912</v>
      </c>
      <c r="AN561">
        <v>2.3569501386333291E-2</v>
      </c>
      <c r="AO561">
        <v>0.12316530588568053</v>
      </c>
      <c r="AR561">
        <v>7.2502718695772084E-4</v>
      </c>
      <c r="AS561">
        <v>4.130849350478985E-3</v>
      </c>
      <c r="AT561">
        <v>4.5961482202240122E-3</v>
      </c>
      <c r="AU561">
        <v>1.9348982237611216E-3</v>
      </c>
      <c r="AV561">
        <v>1.9085924715623597E-3</v>
      </c>
      <c r="AW561">
        <v>3.1593114538745817E-3</v>
      </c>
      <c r="AX561">
        <v>3.3801694515812002E-4</v>
      </c>
      <c r="AY561">
        <v>4.0092554389430178E-4</v>
      </c>
      <c r="BB561">
        <v>4.8765695371568087E-2</v>
      </c>
      <c r="BC561">
        <v>3.4387830575940026E-2</v>
      </c>
      <c r="BE561">
        <v>71981.375680445795</v>
      </c>
      <c r="BF561">
        <v>15.825281314777857</v>
      </c>
      <c r="BG561">
        <v>73227.996065598825</v>
      </c>
      <c r="BH561">
        <v>15.688858928969378</v>
      </c>
      <c r="BI561">
        <v>-1246.6203851530299</v>
      </c>
      <c r="BJ561">
        <v>0.13642238580847987</v>
      </c>
    </row>
    <row r="562" spans="3:62" x14ac:dyDescent="0.2">
      <c r="C562" s="121">
        <v>81400.108429823202</v>
      </c>
      <c r="D562">
        <v>14.850915808385878</v>
      </c>
      <c r="E562" s="121">
        <v>83006.845727186752</v>
      </c>
      <c r="F562" s="121">
        <v>14.726146687871632</v>
      </c>
      <c r="G562" s="121">
        <v>-1606.7372973635502</v>
      </c>
      <c r="H562" s="121">
        <v>0.12476912051424627</v>
      </c>
      <c r="N562" s="121"/>
      <c r="O562" s="121"/>
      <c r="P562" s="121"/>
      <c r="R562">
        <v>267.27765105461356</v>
      </c>
      <c r="S562">
        <v>62.140046417262909</v>
      </c>
      <c r="T562">
        <v>234.86386689335347</v>
      </c>
      <c r="U562">
        <v>81.490489673094999</v>
      </c>
      <c r="X562">
        <v>0.85657382691607675</v>
      </c>
      <c r="Y562">
        <v>0.86083385438143312</v>
      </c>
      <c r="Z562">
        <v>0.56871968340429235</v>
      </c>
      <c r="AA562">
        <v>0.5332199820889072</v>
      </c>
      <c r="AB562">
        <v>0.87079101228461497</v>
      </c>
      <c r="AC562">
        <v>0.95200281311548374</v>
      </c>
      <c r="AD562">
        <v>0.79012321797352281</v>
      </c>
      <c r="AE562">
        <v>0.85155652318712194</v>
      </c>
      <c r="AH562">
        <v>0.14538964849748126</v>
      </c>
      <c r="AI562">
        <v>0.16675476781959664</v>
      </c>
      <c r="AJ562">
        <v>7.1485034842271977E-2</v>
      </c>
      <c r="AK562">
        <v>0.15215321362520462</v>
      </c>
      <c r="AL562">
        <v>0.10858362490256768</v>
      </c>
      <c r="AM562">
        <v>0.25754528092005469</v>
      </c>
      <c r="AN562">
        <v>0.11685345028234539</v>
      </c>
      <c r="AO562">
        <v>0.18191245327487582</v>
      </c>
      <c r="AR562">
        <v>1.0301491671468321E-3</v>
      </c>
      <c r="AS562">
        <v>4.4552870154899154E-3</v>
      </c>
      <c r="AT562">
        <v>5.3279102516441412E-3</v>
      </c>
      <c r="AU562">
        <v>2.0212260378442704E-3</v>
      </c>
      <c r="AV562">
        <v>1.7407573094365854E-3</v>
      </c>
      <c r="AW562">
        <v>3.3794049945510191E-3</v>
      </c>
      <c r="AX562">
        <v>3.7877867766152712E-4</v>
      </c>
      <c r="AY562">
        <v>5.3874568481016016E-4</v>
      </c>
      <c r="BB562">
        <v>5.3154936536173203E-2</v>
      </c>
      <c r="BC562">
        <v>7.0868184042899518E-2</v>
      </c>
      <c r="BE562">
        <v>81400.108429823202</v>
      </c>
      <c r="BF562">
        <v>14.850915808385878</v>
      </c>
      <c r="BG562">
        <v>83006.845727186752</v>
      </c>
      <c r="BH562">
        <v>14.726146687871632</v>
      </c>
      <c r="BI562">
        <v>-1606.7372973635502</v>
      </c>
      <c r="BJ562">
        <v>0.12476912051424627</v>
      </c>
    </row>
    <row r="563" spans="3:62" x14ac:dyDescent="0.2">
      <c r="C563" s="121">
        <v>78253.048883138777</v>
      </c>
      <c r="D563">
        <v>15.652770505132295</v>
      </c>
      <c r="E563" s="121">
        <v>79591.032473156403</v>
      </c>
      <c r="F563" s="121">
        <v>15.530386845435457</v>
      </c>
      <c r="G563" s="121">
        <v>-1337.9835900176258</v>
      </c>
      <c r="H563" s="121">
        <v>0.12238365969683862</v>
      </c>
      <c r="N563" s="121"/>
      <c r="O563" s="121"/>
      <c r="P563" s="121"/>
      <c r="R563">
        <v>280.02069864434884</v>
      </c>
      <c r="S563">
        <v>67.621730429836433</v>
      </c>
      <c r="T563">
        <v>181.56643262929833</v>
      </c>
      <c r="U563">
        <v>92.943610026153436</v>
      </c>
      <c r="X563">
        <v>0.82104926413366019</v>
      </c>
      <c r="Y563">
        <v>0.46944090963763813</v>
      </c>
      <c r="Z563">
        <v>0.77579964234074228</v>
      </c>
      <c r="AA563">
        <v>0.77903696592666483</v>
      </c>
      <c r="AB563">
        <v>0.72797281818230908</v>
      </c>
      <c r="AC563">
        <v>0.83217800889760163</v>
      </c>
      <c r="AD563">
        <v>0.79242608302537676</v>
      </c>
      <c r="AE563">
        <v>0.79578744958907244</v>
      </c>
      <c r="AH563">
        <v>0.23378393012250598</v>
      </c>
      <c r="AI563">
        <v>6.8652150994562566E-2</v>
      </c>
      <c r="AJ563">
        <v>0.16330628622321108</v>
      </c>
      <c r="AK563">
        <v>0.22143954284482559</v>
      </c>
      <c r="AL563">
        <v>0.13393057144874354</v>
      </c>
      <c r="AM563">
        <v>3.8905307986292437E-2</v>
      </c>
      <c r="AN563">
        <v>0.13092908516462565</v>
      </c>
      <c r="AO563">
        <v>0.32441172945741337</v>
      </c>
      <c r="AR563">
        <v>9.4077332381248269E-4</v>
      </c>
      <c r="AS563">
        <v>4.8623584959489596E-3</v>
      </c>
      <c r="AT563">
        <v>4.9712702944261222E-3</v>
      </c>
      <c r="AU563">
        <v>1.972461842424457E-3</v>
      </c>
      <c r="AV563">
        <v>1.9596507582575456E-3</v>
      </c>
      <c r="AW563">
        <v>3.5986640183474083E-3</v>
      </c>
      <c r="AX563">
        <v>3.705657324271672E-4</v>
      </c>
      <c r="AY563">
        <v>3.3602533309878152E-4</v>
      </c>
      <c r="BB563">
        <v>5.6621211884093525E-2</v>
      </c>
      <c r="BC563">
        <v>5.431512066391897E-2</v>
      </c>
      <c r="BE563">
        <v>78253.048883138777</v>
      </c>
      <c r="BF563">
        <v>15.652770505132295</v>
      </c>
      <c r="BG563">
        <v>79591.032473156403</v>
      </c>
      <c r="BH563">
        <v>15.530386845435457</v>
      </c>
      <c r="BI563">
        <v>-1337.9835900176258</v>
      </c>
      <c r="BJ563">
        <v>0.12238365969683862</v>
      </c>
    </row>
    <row r="564" spans="3:62" x14ac:dyDescent="0.2">
      <c r="C564" s="121">
        <v>72819.407692505236</v>
      </c>
      <c r="D564">
        <v>15.764254049156881</v>
      </c>
      <c r="E564" s="121">
        <v>74461.353503698178</v>
      </c>
      <c r="F564" s="121">
        <v>15.673968639447187</v>
      </c>
      <c r="G564" s="121">
        <v>-1641.9458111929416</v>
      </c>
      <c r="H564" s="121">
        <v>9.0285409709693454E-2</v>
      </c>
      <c r="N564" s="121"/>
      <c r="O564" s="121"/>
      <c r="P564" s="121"/>
      <c r="R564">
        <v>304.19868777552455</v>
      </c>
      <c r="S564">
        <v>56.19177332006749</v>
      </c>
      <c r="T564">
        <v>271.2546820006387</v>
      </c>
      <c r="U564">
        <v>69.417189166726217</v>
      </c>
      <c r="X564">
        <v>0.83524684411347105</v>
      </c>
      <c r="Y564">
        <v>0.62671429549095226</v>
      </c>
      <c r="Z564">
        <v>0.73309608060684961</v>
      </c>
      <c r="AA564">
        <v>0.63851425644153403</v>
      </c>
      <c r="AB564">
        <v>0.46495512883654067</v>
      </c>
      <c r="AC564">
        <v>0.83657218422357338</v>
      </c>
      <c r="AD564">
        <v>0.98297585173777335</v>
      </c>
      <c r="AE564">
        <v>0.63205215375135282</v>
      </c>
      <c r="AH564">
        <v>5.6937655796837516E-2</v>
      </c>
      <c r="AI564">
        <v>5.1767261747460047E-2</v>
      </c>
      <c r="AJ564">
        <v>1.1820428982093567E-2</v>
      </c>
      <c r="AK564">
        <v>0.24350573436916279</v>
      </c>
      <c r="AL564">
        <v>0.15985707797367554</v>
      </c>
      <c r="AM564">
        <v>0.18733948646521403</v>
      </c>
      <c r="AN564">
        <v>4.6956460682425649E-2</v>
      </c>
      <c r="AO564">
        <v>0.20290989095623702</v>
      </c>
      <c r="AR564">
        <v>8.6680915993434828E-4</v>
      </c>
      <c r="AS564">
        <v>4.5273715558332706E-3</v>
      </c>
      <c r="AT564">
        <v>5.2054507879554235E-3</v>
      </c>
      <c r="AU564">
        <v>2.1838720320224159E-3</v>
      </c>
      <c r="AV564">
        <v>2.0108522852835264E-3</v>
      </c>
      <c r="AW564">
        <v>3.4040361298070306E-3</v>
      </c>
      <c r="AX564">
        <v>3.8632901119257392E-4</v>
      </c>
      <c r="AY564">
        <v>5.6934186677437548E-4</v>
      </c>
      <c r="BB564">
        <v>4.039288735901924E-2</v>
      </c>
      <c r="BC564">
        <v>3.8906841576211555E-2</v>
      </c>
      <c r="BE564">
        <v>72819.407692505236</v>
      </c>
      <c r="BF564">
        <v>15.764254049156881</v>
      </c>
      <c r="BG564">
        <v>74461.353503698178</v>
      </c>
      <c r="BH564">
        <v>15.673968639447187</v>
      </c>
      <c r="BI564">
        <v>-1641.9458111929416</v>
      </c>
      <c r="BJ564">
        <v>9.0285409709693454E-2</v>
      </c>
    </row>
    <row r="565" spans="3:62" x14ac:dyDescent="0.2">
      <c r="C565" s="121">
        <v>71062.825032460518</v>
      </c>
      <c r="D565">
        <v>16.256465028654141</v>
      </c>
      <c r="E565" s="121">
        <v>72319.580798947398</v>
      </c>
      <c r="F565" s="121">
        <v>16.140432657645725</v>
      </c>
      <c r="G565" s="121">
        <v>-1256.75576648688</v>
      </c>
      <c r="H565" s="121">
        <v>0.11603237100841568</v>
      </c>
      <c r="N565" s="121"/>
      <c r="O565" s="121"/>
      <c r="P565" s="121"/>
      <c r="R565">
        <v>236.11524947665089</v>
      </c>
      <c r="S565">
        <v>63.045456508033887</v>
      </c>
      <c r="T565">
        <v>280.05122881998824</v>
      </c>
      <c r="U565">
        <v>114.36932764953659</v>
      </c>
      <c r="X565">
        <v>0.563040147971688</v>
      </c>
      <c r="Y565">
        <v>0.78435706524768545</v>
      </c>
      <c r="Z565">
        <v>0.55980250929603481</v>
      </c>
      <c r="AA565">
        <v>0.78394006271074457</v>
      </c>
      <c r="AB565">
        <v>0.7466513710801862</v>
      </c>
      <c r="AC565">
        <v>0.58603838462765168</v>
      </c>
      <c r="AD565">
        <v>0.68961595632408179</v>
      </c>
      <c r="AE565">
        <v>0.8925733334731617</v>
      </c>
      <c r="AH565">
        <v>0.10901900923442442</v>
      </c>
      <c r="AI565">
        <v>0.24868541908351594</v>
      </c>
      <c r="AJ565">
        <v>9.3082565890266422E-2</v>
      </c>
      <c r="AK565">
        <v>0.20907877973596833</v>
      </c>
      <c r="AL565">
        <v>0.12583622627997504</v>
      </c>
      <c r="AM565">
        <v>0.12823068390839043</v>
      </c>
      <c r="AN565">
        <v>0.14857082824781942</v>
      </c>
      <c r="AO565">
        <v>0.17210703015119533</v>
      </c>
      <c r="AR565">
        <v>9.7259670047045166E-4</v>
      </c>
      <c r="AS565">
        <v>4.3470135001601566E-3</v>
      </c>
      <c r="AT565">
        <v>5.4032052752822635E-3</v>
      </c>
      <c r="AU565">
        <v>1.8758589709313206E-3</v>
      </c>
      <c r="AV565">
        <v>1.9676443379563519E-3</v>
      </c>
      <c r="AW565">
        <v>3.5051629789923933E-3</v>
      </c>
      <c r="AX565">
        <v>4.026986425742507E-4</v>
      </c>
      <c r="AY565">
        <v>4.6664156701636816E-4</v>
      </c>
      <c r="BB565">
        <v>5.4943420955991251E-2</v>
      </c>
      <c r="BC565">
        <v>2.8618423663814591E-2</v>
      </c>
      <c r="BE565">
        <v>71062.825032460518</v>
      </c>
      <c r="BF565">
        <v>16.256465028654141</v>
      </c>
      <c r="BG565">
        <v>72319.580798947398</v>
      </c>
      <c r="BH565">
        <v>16.140432657645725</v>
      </c>
      <c r="BI565">
        <v>-1256.75576648688</v>
      </c>
      <c r="BJ565">
        <v>0.11603237100841568</v>
      </c>
    </row>
    <row r="566" spans="3:62" x14ac:dyDescent="0.2">
      <c r="C566" s="121">
        <v>67508.094390014885</v>
      </c>
      <c r="D566">
        <v>15.550897998872642</v>
      </c>
      <c r="E566" s="121">
        <v>68909.074999285964</v>
      </c>
      <c r="F566" s="121">
        <v>15.439085091746957</v>
      </c>
      <c r="G566" s="121">
        <v>-1400.9806092710787</v>
      </c>
      <c r="H566" s="121">
        <v>0.11181290712568526</v>
      </c>
      <c r="N566" s="121"/>
      <c r="O566" s="121"/>
      <c r="P566" s="121"/>
      <c r="R566">
        <v>197.69258143176828</v>
      </c>
      <c r="S566">
        <v>60.537412948036838</v>
      </c>
      <c r="T566">
        <v>243.36460862567461</v>
      </c>
      <c r="U566">
        <v>99.707229411230585</v>
      </c>
      <c r="X566">
        <v>0.82285447241065568</v>
      </c>
      <c r="Y566">
        <v>0.77229434533563768</v>
      </c>
      <c r="Z566">
        <v>0.7090881101688864</v>
      </c>
      <c r="AA566">
        <v>0.7925052547662923</v>
      </c>
      <c r="AB566">
        <v>0.86415282562029971</v>
      </c>
      <c r="AC566">
        <v>0.76223190587228329</v>
      </c>
      <c r="AD566">
        <v>0.67768656576951591</v>
      </c>
      <c r="AE566">
        <v>0.85442106920915895</v>
      </c>
      <c r="AH566">
        <v>9.4347132094538044E-2</v>
      </c>
      <c r="AI566">
        <v>6.557149078002622E-2</v>
      </c>
      <c r="AJ566">
        <v>0.10556975534499136</v>
      </c>
      <c r="AK566">
        <v>1.851739858882151E-2</v>
      </c>
      <c r="AL566">
        <v>0.145176515951149</v>
      </c>
      <c r="AM566">
        <v>0.22261438201012995</v>
      </c>
      <c r="AN566">
        <v>0.39215167323809386</v>
      </c>
      <c r="AO566">
        <v>0.14733803616603691</v>
      </c>
      <c r="AR566">
        <v>1.0662648392844032E-3</v>
      </c>
      <c r="AS566">
        <v>4.6935586204869262E-3</v>
      </c>
      <c r="AT566">
        <v>4.8769770794464999E-3</v>
      </c>
      <c r="AU566">
        <v>2.25708671585656E-3</v>
      </c>
      <c r="AV566">
        <v>2.2122570449495393E-3</v>
      </c>
      <c r="AW566">
        <v>3.4122955388763421E-3</v>
      </c>
      <c r="AX566">
        <v>4.7140064033368567E-4</v>
      </c>
      <c r="AY566">
        <v>4.8138103073491756E-4</v>
      </c>
      <c r="BB566">
        <v>5.1806078702218983E-2</v>
      </c>
      <c r="BC566">
        <v>5.1246784534634715E-2</v>
      </c>
      <c r="BE566">
        <v>67508.094390014885</v>
      </c>
      <c r="BF566">
        <v>15.550897998872642</v>
      </c>
      <c r="BG566">
        <v>68909.074999285964</v>
      </c>
      <c r="BH566">
        <v>15.439085091746957</v>
      </c>
      <c r="BI566">
        <v>-1400.9806092710787</v>
      </c>
      <c r="BJ566">
        <v>0.11181290712568526</v>
      </c>
    </row>
    <row r="567" spans="3:62" x14ac:dyDescent="0.2">
      <c r="C567" s="121">
        <v>68436.813275752487</v>
      </c>
      <c r="D567">
        <v>17.132748983763396</v>
      </c>
      <c r="E567" s="121">
        <v>70480.290092868687</v>
      </c>
      <c r="F567" s="121">
        <v>17.007280564947326</v>
      </c>
      <c r="G567" s="121">
        <v>-2043.4768171161995</v>
      </c>
      <c r="H567" s="121">
        <v>0.12546841881606952</v>
      </c>
      <c r="N567" s="121"/>
      <c r="O567" s="121"/>
      <c r="P567" s="121"/>
      <c r="R567">
        <v>45.031570102772463</v>
      </c>
      <c r="S567">
        <v>72.138399174113715</v>
      </c>
      <c r="T567">
        <v>225.16370270883962</v>
      </c>
      <c r="U567">
        <v>76.878330273230318</v>
      </c>
      <c r="X567">
        <v>0.86260288919696548</v>
      </c>
      <c r="Y567">
        <v>0.85910679398658696</v>
      </c>
      <c r="Z567">
        <v>0.73485437702802736</v>
      </c>
      <c r="AA567">
        <v>0.85629289273734543</v>
      </c>
      <c r="AB567">
        <v>0.69506446773142283</v>
      </c>
      <c r="AC567">
        <v>0.6711113292180102</v>
      </c>
      <c r="AD567">
        <v>0.73030497205410616</v>
      </c>
      <c r="AE567">
        <v>0.64301724959544282</v>
      </c>
      <c r="AH567">
        <v>8.1342105184744828E-2</v>
      </c>
      <c r="AI567">
        <v>5.1090460990685704E-2</v>
      </c>
      <c r="AJ567">
        <v>0.31771153372804117</v>
      </c>
      <c r="AK567">
        <v>0.28295004259305545</v>
      </c>
      <c r="AL567">
        <v>2.6119741710845634E-2</v>
      </c>
      <c r="AM567">
        <v>0.23756705329252781</v>
      </c>
      <c r="AN567">
        <v>0.10032658802457162</v>
      </c>
      <c r="AO567">
        <v>7.3014717508992244E-2</v>
      </c>
      <c r="AR567">
        <v>7.6714924365991436E-4</v>
      </c>
      <c r="AS567">
        <v>5.171186843092368E-3</v>
      </c>
      <c r="AT567">
        <v>5.1007026839364755E-3</v>
      </c>
      <c r="AU567">
        <v>2.1312733826710506E-3</v>
      </c>
      <c r="AV567">
        <v>1.882107052585185E-3</v>
      </c>
      <c r="AW567">
        <v>3.2389244153878559E-3</v>
      </c>
      <c r="AX567">
        <v>4.525541935054278E-4</v>
      </c>
      <c r="AY567">
        <v>5.0512822353554476E-4</v>
      </c>
      <c r="BB567">
        <v>5.1316621414937869E-2</v>
      </c>
      <c r="BC567">
        <v>4.2917052736327531E-2</v>
      </c>
      <c r="BE567">
        <v>68436.813275752487</v>
      </c>
      <c r="BF567">
        <v>17.132748983763396</v>
      </c>
      <c r="BG567">
        <v>70480.290092868687</v>
      </c>
      <c r="BH567">
        <v>17.007280564947326</v>
      </c>
      <c r="BI567">
        <v>-2043.4768171161995</v>
      </c>
      <c r="BJ567">
        <v>0.12546841881606952</v>
      </c>
    </row>
    <row r="568" spans="3:62" x14ac:dyDescent="0.2">
      <c r="C568" s="121">
        <v>70698.132819974315</v>
      </c>
      <c r="D568">
        <v>17.660216499084544</v>
      </c>
      <c r="E568" s="121">
        <v>72706.151884341525</v>
      </c>
      <c r="F568" s="121">
        <v>17.638169920864161</v>
      </c>
      <c r="G568" s="121">
        <v>-2008.0190643672104</v>
      </c>
      <c r="H568" s="121">
        <v>2.204657822038314E-2</v>
      </c>
      <c r="N568" s="121"/>
      <c r="O568" s="121"/>
      <c r="P568" s="121"/>
      <c r="R568">
        <v>79.005687832771287</v>
      </c>
      <c r="S568">
        <v>65.315342598180237</v>
      </c>
      <c r="T568">
        <v>243.15387865169222</v>
      </c>
      <c r="U568">
        <v>80.051454403843309</v>
      </c>
      <c r="X568">
        <v>0.89888438089041156</v>
      </c>
      <c r="Y568">
        <v>0.95246561815800235</v>
      </c>
      <c r="Z568">
        <v>0.74536248896980362</v>
      </c>
      <c r="AA568">
        <v>0.74050536714650395</v>
      </c>
      <c r="AB568">
        <v>0.87971524720326943</v>
      </c>
      <c r="AC568">
        <v>0.84934296773518669</v>
      </c>
      <c r="AD568">
        <v>0.81544110658266566</v>
      </c>
      <c r="AE568">
        <v>0.74502913340622512</v>
      </c>
      <c r="AH568">
        <v>6.0276811221403159E-2</v>
      </c>
      <c r="AI568">
        <v>0.19518296467613649</v>
      </c>
      <c r="AJ568">
        <v>0.34308255525977105</v>
      </c>
      <c r="AK568">
        <v>0.16380960923627041</v>
      </c>
      <c r="AL568">
        <v>7.0039723959361533E-2</v>
      </c>
      <c r="AM568">
        <v>0.17375861194014885</v>
      </c>
      <c r="AN568">
        <v>7.4445490699995176E-2</v>
      </c>
      <c r="AO568">
        <v>8.4047693306426141E-2</v>
      </c>
      <c r="AR568">
        <v>8.3683199993598017E-4</v>
      </c>
      <c r="AS568">
        <v>4.4944490217600679E-3</v>
      </c>
      <c r="AT568">
        <v>4.9025114519858706E-3</v>
      </c>
      <c r="AU568">
        <v>1.7357823512972892E-3</v>
      </c>
      <c r="AV568">
        <v>1.9938882231455885E-3</v>
      </c>
      <c r="AW568">
        <v>3.2878110875315916E-3</v>
      </c>
      <c r="AX568">
        <v>3.3452517113825207E-4</v>
      </c>
      <c r="AY568">
        <v>4.1983003704992736E-4</v>
      </c>
      <c r="BB568">
        <v>5.5833289862732505E-2</v>
      </c>
      <c r="BC568">
        <v>5.1415118401611615E-2</v>
      </c>
      <c r="BE568">
        <v>70698.132819974315</v>
      </c>
      <c r="BF568">
        <v>17.660216499084544</v>
      </c>
      <c r="BG568">
        <v>72706.151884341525</v>
      </c>
      <c r="BH568">
        <v>17.638169920864161</v>
      </c>
      <c r="BI568">
        <v>-2008.0190643672104</v>
      </c>
      <c r="BJ568">
        <v>2.204657822038314E-2</v>
      </c>
    </row>
    <row r="569" spans="3:62" x14ac:dyDescent="0.2">
      <c r="C569" s="121">
        <v>68014.394108936089</v>
      </c>
      <c r="D569">
        <v>15.547738581728151</v>
      </c>
      <c r="E569" s="121">
        <v>69609.704487066148</v>
      </c>
      <c r="F569" s="121">
        <v>15.401953859539885</v>
      </c>
      <c r="G569" s="121">
        <v>-1595.3103781300597</v>
      </c>
      <c r="H569" s="121">
        <v>0.14578472218826555</v>
      </c>
      <c r="N569" s="121"/>
      <c r="O569" s="121"/>
      <c r="P569" s="121"/>
      <c r="R569">
        <v>96.041782838472983</v>
      </c>
      <c r="S569">
        <v>71.348822441661667</v>
      </c>
      <c r="T569">
        <v>272.19791277719031</v>
      </c>
      <c r="U569">
        <v>95.391025744205422</v>
      </c>
      <c r="X569">
        <v>0.72340138544247934</v>
      </c>
      <c r="Y569">
        <v>0.88265874209494388</v>
      </c>
      <c r="Z569">
        <v>0.90716853052029056</v>
      </c>
      <c r="AA569">
        <v>0.64387312431883115</v>
      </c>
      <c r="AB569">
        <v>0.49468553985071168</v>
      </c>
      <c r="AC569">
        <v>0.905057946923854</v>
      </c>
      <c r="AD569">
        <v>0.73369275409776946</v>
      </c>
      <c r="AE569">
        <v>0.76041267813067615</v>
      </c>
      <c r="AH569">
        <v>0.13567235861939186</v>
      </c>
      <c r="AI569">
        <v>9.7937345906951689E-2</v>
      </c>
      <c r="AJ569">
        <v>0.19674414068294832</v>
      </c>
      <c r="AK569">
        <v>0.13387273809921507</v>
      </c>
      <c r="AL569">
        <v>0.29136993379379394</v>
      </c>
      <c r="AM569">
        <v>2.4638595931439466E-2</v>
      </c>
      <c r="AN569">
        <v>0.23877064028766082</v>
      </c>
      <c r="AO569">
        <v>3.1490233541555113E-2</v>
      </c>
      <c r="AR569">
        <v>7.9167361457781486E-4</v>
      </c>
      <c r="AS569">
        <v>4.0198015309092462E-3</v>
      </c>
      <c r="AT569">
        <v>5.1770625926302882E-3</v>
      </c>
      <c r="AU569">
        <v>1.9266195950292649E-3</v>
      </c>
      <c r="AV569">
        <v>1.9005120214537921E-3</v>
      </c>
      <c r="AW569">
        <v>3.4901744130046986E-3</v>
      </c>
      <c r="AX569">
        <v>2.7891387562805204E-4</v>
      </c>
      <c r="AY569">
        <v>3.7277421864863319E-4</v>
      </c>
      <c r="BB569">
        <v>5.2077348050220795E-2</v>
      </c>
      <c r="BC569">
        <v>3.9855478054900563E-2</v>
      </c>
      <c r="BE569">
        <v>68014.394108936089</v>
      </c>
      <c r="BF569">
        <v>15.547738581728151</v>
      </c>
      <c r="BG569">
        <v>69609.704487066148</v>
      </c>
      <c r="BH569">
        <v>15.401953859539885</v>
      </c>
      <c r="BI569">
        <v>-1595.3103781300597</v>
      </c>
      <c r="BJ569">
        <v>0.14578472218826555</v>
      </c>
    </row>
    <row r="570" spans="3:62" x14ac:dyDescent="0.2">
      <c r="C570" s="121">
        <v>67665.347350211247</v>
      </c>
      <c r="D570">
        <v>17.927383720660622</v>
      </c>
      <c r="E570" s="121">
        <v>69453.61230741968</v>
      </c>
      <c r="F570" s="121">
        <v>17.828532084191338</v>
      </c>
      <c r="G570" s="121">
        <v>-1788.2649572084338</v>
      </c>
      <c r="H570" s="121">
        <v>9.8851636469284188E-2</v>
      </c>
      <c r="N570" s="121"/>
      <c r="O570" s="121"/>
      <c r="P570" s="121"/>
      <c r="R570">
        <v>265.04493054013665</v>
      </c>
      <c r="S570">
        <v>61.358461579547239</v>
      </c>
      <c r="T570">
        <v>292.21097726022577</v>
      </c>
      <c r="U570">
        <v>107.364647859507</v>
      </c>
      <c r="X570">
        <v>0.77210793015976598</v>
      </c>
      <c r="Y570">
        <v>0.73779018583670275</v>
      </c>
      <c r="Z570">
        <v>0.67846312388005292</v>
      </c>
      <c r="AA570">
        <v>0.91394105886358057</v>
      </c>
      <c r="AB570">
        <v>0.564409151962454</v>
      </c>
      <c r="AC570">
        <v>0.75359475521204267</v>
      </c>
      <c r="AD570">
        <v>0.61925342830861496</v>
      </c>
      <c r="AE570">
        <v>0.60531169516417171</v>
      </c>
      <c r="AH570">
        <v>0.11143199179558605</v>
      </c>
      <c r="AI570">
        <v>3.761728946093279E-2</v>
      </c>
      <c r="AJ570">
        <v>0.46264894654256838</v>
      </c>
      <c r="AK570">
        <v>0.2643449030688374</v>
      </c>
      <c r="AL570">
        <v>0.1231729108949382</v>
      </c>
      <c r="AM570">
        <v>8.4845732154515296E-2</v>
      </c>
      <c r="AN570">
        <v>3.5442032697375447E-2</v>
      </c>
      <c r="AO570">
        <v>4.7535737292510927E-2</v>
      </c>
      <c r="AR570">
        <v>9.2319738309498689E-4</v>
      </c>
      <c r="AS570">
        <v>4.2425542438914322E-3</v>
      </c>
      <c r="AT570">
        <v>4.7943557777221334E-3</v>
      </c>
      <c r="AU570">
        <v>2.1283818211894623E-3</v>
      </c>
      <c r="AV570">
        <v>1.9618990202812316E-3</v>
      </c>
      <c r="AW570">
        <v>3.4082095337891749E-3</v>
      </c>
      <c r="AX570">
        <v>3.8604724207705641E-4</v>
      </c>
      <c r="AY570">
        <v>4.3347742135195716E-4</v>
      </c>
      <c r="BB570">
        <v>4.8497545957423144E-2</v>
      </c>
      <c r="BC570">
        <v>6.3741236833101955E-2</v>
      </c>
      <c r="BE570">
        <v>67665.347350211247</v>
      </c>
      <c r="BF570">
        <v>17.927383720660622</v>
      </c>
      <c r="BG570">
        <v>69453.61230741968</v>
      </c>
      <c r="BH570">
        <v>17.828532084191338</v>
      </c>
      <c r="BI570">
        <v>-1788.2649572084338</v>
      </c>
      <c r="BJ570">
        <v>9.8851636469284188E-2</v>
      </c>
    </row>
    <row r="571" spans="3:62" x14ac:dyDescent="0.2">
      <c r="C571" s="121">
        <v>70031.56527888916</v>
      </c>
      <c r="D571">
        <v>15.836826646903191</v>
      </c>
      <c r="E571" s="121">
        <v>71644.593098874873</v>
      </c>
      <c r="F571" s="121">
        <v>15.664039544521271</v>
      </c>
      <c r="G571" s="121">
        <v>-1613.027819985713</v>
      </c>
      <c r="H571" s="121">
        <v>0.17278710238191941</v>
      </c>
      <c r="N571" s="121"/>
      <c r="O571" s="121"/>
      <c r="P571" s="121"/>
      <c r="R571">
        <v>280.36830185972411</v>
      </c>
      <c r="S571">
        <v>48.465294521142525</v>
      </c>
      <c r="T571">
        <v>266.87878526206066</v>
      </c>
      <c r="U571">
        <v>84.52633277987033</v>
      </c>
      <c r="X571">
        <v>0.95671955160944466</v>
      </c>
      <c r="Y571">
        <v>0.9152709342806733</v>
      </c>
      <c r="Z571">
        <v>0.72363564751213627</v>
      </c>
      <c r="AA571">
        <v>0.85043138802286689</v>
      </c>
      <c r="AB571">
        <v>0.6090690274531757</v>
      </c>
      <c r="AC571">
        <v>0.82295875066432567</v>
      </c>
      <c r="AD571">
        <v>0.93833091008962077</v>
      </c>
      <c r="AE571">
        <v>0.90691879631540107</v>
      </c>
      <c r="AH571">
        <v>0.10343522662869153</v>
      </c>
      <c r="AI571">
        <v>3.2289044098997355E-2</v>
      </c>
      <c r="AJ571">
        <v>0.19251282911392165</v>
      </c>
      <c r="AK571">
        <v>5.470787032875446E-2</v>
      </c>
      <c r="AL571">
        <v>8.3063616590980383E-3</v>
      </c>
      <c r="AM571">
        <v>0.15387705845029287</v>
      </c>
      <c r="AN571">
        <v>1.4753077177495189E-2</v>
      </c>
      <c r="AO571">
        <v>0.17788323976290821</v>
      </c>
      <c r="AR571">
        <v>8.987259020889482E-4</v>
      </c>
      <c r="AS571">
        <v>4.6160717900660675E-3</v>
      </c>
      <c r="AT571">
        <v>5.2160039406761172E-3</v>
      </c>
      <c r="AU571">
        <v>1.7566213062375369E-3</v>
      </c>
      <c r="AV571">
        <v>2.0275341291401405E-3</v>
      </c>
      <c r="AW571">
        <v>3.4293374986753555E-3</v>
      </c>
      <c r="AX571">
        <v>3.8900841571873498E-4</v>
      </c>
      <c r="AY571">
        <v>5.5103242983378653E-4</v>
      </c>
      <c r="BB571">
        <v>4.2249540926844367E-2</v>
      </c>
      <c r="BC571">
        <v>2.140212589692371E-2</v>
      </c>
      <c r="BE571">
        <v>70031.56527888916</v>
      </c>
      <c r="BF571">
        <v>15.836826646903191</v>
      </c>
      <c r="BG571">
        <v>71644.593098874873</v>
      </c>
      <c r="BH571">
        <v>15.664039544521271</v>
      </c>
      <c r="BI571">
        <v>-1613.027819985713</v>
      </c>
      <c r="BJ571">
        <v>0.17278710238191941</v>
      </c>
    </row>
    <row r="572" spans="3:62" x14ac:dyDescent="0.2">
      <c r="C572" s="121">
        <v>66923.033994636586</v>
      </c>
      <c r="D572">
        <v>17.209108624975549</v>
      </c>
      <c r="E572" s="121">
        <v>68232.284690781438</v>
      </c>
      <c r="F572" s="121">
        <v>17.101677704882299</v>
      </c>
      <c r="G572" s="121">
        <v>-1309.2506961448526</v>
      </c>
      <c r="H572" s="121">
        <v>0.10743092009325039</v>
      </c>
      <c r="N572" s="121"/>
      <c r="O572" s="121"/>
      <c r="P572" s="121"/>
      <c r="R572">
        <v>249.79059703590693</v>
      </c>
      <c r="S572">
        <v>61.774041820556086</v>
      </c>
      <c r="T572">
        <v>263.50947335835525</v>
      </c>
      <c r="U572">
        <v>82.927819255913022</v>
      </c>
      <c r="X572">
        <v>0.76669885547561045</v>
      </c>
      <c r="Y572">
        <v>0.83172687402401424</v>
      </c>
      <c r="Z572">
        <v>0.86069050370253408</v>
      </c>
      <c r="AA572">
        <v>0.88365730060618297</v>
      </c>
      <c r="AB572">
        <v>0.90920198484004433</v>
      </c>
      <c r="AC572">
        <v>0.74016827177014655</v>
      </c>
      <c r="AD572">
        <v>0.9139080318755296</v>
      </c>
      <c r="AE572">
        <v>0.61402492898997363</v>
      </c>
      <c r="AH572">
        <v>6.6629836033984757E-2</v>
      </c>
      <c r="AI572">
        <v>0.11520551458731687</v>
      </c>
      <c r="AJ572">
        <v>0.35747561992289789</v>
      </c>
      <c r="AK572">
        <v>2.6858686139829446E-2</v>
      </c>
      <c r="AL572">
        <v>0.1242596485386297</v>
      </c>
      <c r="AM572">
        <v>3.6711195988801237E-2</v>
      </c>
      <c r="AN572">
        <v>0.16058728040694825</v>
      </c>
      <c r="AO572">
        <v>0.17906785549631798</v>
      </c>
      <c r="AR572">
        <v>9.1907275686953227E-4</v>
      </c>
      <c r="AS572">
        <v>4.4620879213175561E-3</v>
      </c>
      <c r="AT572">
        <v>4.6180685327613206E-3</v>
      </c>
      <c r="AU572">
        <v>2.1581960703014325E-3</v>
      </c>
      <c r="AV572">
        <v>1.9990624520448419E-3</v>
      </c>
      <c r="AW572">
        <v>3.8443453714376297E-3</v>
      </c>
      <c r="AX572">
        <v>4.8990540146132133E-4</v>
      </c>
      <c r="AY572">
        <v>4.6999874625019977E-4</v>
      </c>
      <c r="BB572">
        <v>4.7532979388773572E-2</v>
      </c>
      <c r="BC572">
        <v>3.1126132049581402E-2</v>
      </c>
      <c r="BE572">
        <v>66923.033994636586</v>
      </c>
      <c r="BF572">
        <v>17.209108624975549</v>
      </c>
      <c r="BG572">
        <v>68232.284690781438</v>
      </c>
      <c r="BH572">
        <v>17.101677704882299</v>
      </c>
      <c r="BI572">
        <v>-1309.2506961448526</v>
      </c>
      <c r="BJ572">
        <v>0.10743092009325039</v>
      </c>
    </row>
    <row r="573" spans="3:62" x14ac:dyDescent="0.2">
      <c r="C573" s="121">
        <v>65081.111797963909</v>
      </c>
      <c r="D573">
        <v>16.178678888642533</v>
      </c>
      <c r="E573" s="121">
        <v>67051.312249481984</v>
      </c>
      <c r="F573" s="121">
        <v>16.053220888055257</v>
      </c>
      <c r="G573" s="121">
        <v>-1970.2004515180743</v>
      </c>
      <c r="H573" s="121">
        <v>0.12545800058727608</v>
      </c>
      <c r="N573" s="121"/>
      <c r="O573" s="121"/>
      <c r="P573" s="121"/>
      <c r="R573">
        <v>150.54886679478042</v>
      </c>
      <c r="S573">
        <v>60.487151023201491</v>
      </c>
      <c r="T573">
        <v>246.85177566142252</v>
      </c>
      <c r="U573">
        <v>100.26424159127365</v>
      </c>
      <c r="X573">
        <v>0.80078928568167651</v>
      </c>
      <c r="Y573">
        <v>0.89089454597201034</v>
      </c>
      <c r="Z573">
        <v>0.49378946098966497</v>
      </c>
      <c r="AA573">
        <v>0.88201750430018699</v>
      </c>
      <c r="AB573">
        <v>0.76831384092421318</v>
      </c>
      <c r="AC573">
        <v>0.70851603608964964</v>
      </c>
      <c r="AD573">
        <v>0.52262935539632682</v>
      </c>
      <c r="AE573">
        <v>0.60981283928486241</v>
      </c>
      <c r="AH573">
        <v>0.12505918859033627</v>
      </c>
      <c r="AI573">
        <v>6.6203221632259224E-2</v>
      </c>
      <c r="AJ573">
        <v>2.8490902480642566E-2</v>
      </c>
      <c r="AK573">
        <v>8.653093119540245E-2</v>
      </c>
      <c r="AL573">
        <v>7.0935985825737347E-2</v>
      </c>
      <c r="AM573">
        <v>0.17944753702263216</v>
      </c>
      <c r="AN573">
        <v>0.10675126419019332</v>
      </c>
      <c r="AO573">
        <v>8.4974804040515606E-2</v>
      </c>
      <c r="AR573">
        <v>1.1173974247633556E-3</v>
      </c>
      <c r="AS573">
        <v>4.487156964772537E-3</v>
      </c>
      <c r="AT573">
        <v>4.5866499629203996E-3</v>
      </c>
      <c r="AU573">
        <v>1.9355461934302063E-3</v>
      </c>
      <c r="AV573">
        <v>1.8969331585859087E-3</v>
      </c>
      <c r="AW573">
        <v>3.5765421318244561E-3</v>
      </c>
      <c r="AX573">
        <v>5.1881098432771111E-4</v>
      </c>
      <c r="AY573">
        <v>4.4577926978515417E-4</v>
      </c>
      <c r="BB573">
        <v>4.6647363923569315E-2</v>
      </c>
      <c r="BC573">
        <v>6.4655307155112696E-2</v>
      </c>
      <c r="BE573">
        <v>65081.111797963909</v>
      </c>
      <c r="BF573">
        <v>16.178678888642533</v>
      </c>
      <c r="BG573">
        <v>67051.312249481984</v>
      </c>
      <c r="BH573">
        <v>16.053220888055257</v>
      </c>
      <c r="BI573">
        <v>-1970.2004515180743</v>
      </c>
      <c r="BJ573">
        <v>0.12545800058727608</v>
      </c>
    </row>
    <row r="574" spans="3:62" x14ac:dyDescent="0.2">
      <c r="C574" s="121">
        <v>75287.955804343947</v>
      </c>
      <c r="D574">
        <v>16.76454946724596</v>
      </c>
      <c r="E574" s="121">
        <v>77155.907345132524</v>
      </c>
      <c r="F574" s="121">
        <v>16.628149510422592</v>
      </c>
      <c r="G574" s="121">
        <v>-1867.9515407885774</v>
      </c>
      <c r="H574" s="121">
        <v>0.13639995682336803</v>
      </c>
      <c r="N574" s="121"/>
      <c r="O574" s="121"/>
      <c r="P574" s="121"/>
      <c r="R574">
        <v>218.14232542837871</v>
      </c>
      <c r="S574">
        <v>68.249069107660191</v>
      </c>
      <c r="T574">
        <v>204.93429975034641</v>
      </c>
      <c r="U574">
        <v>87.730461021656026</v>
      </c>
      <c r="X574">
        <v>0.76232609213615909</v>
      </c>
      <c r="Y574">
        <v>0.76749432546038454</v>
      </c>
      <c r="Z574">
        <v>0.96245565596442351</v>
      </c>
      <c r="AA574">
        <v>0.64381095587863557</v>
      </c>
      <c r="AB574">
        <v>0.55882187720977916</v>
      </c>
      <c r="AC574">
        <v>0.81088206032393562</v>
      </c>
      <c r="AD574">
        <v>0.82360044482839612</v>
      </c>
      <c r="AE574">
        <v>0.78607751537699433</v>
      </c>
      <c r="AH574">
        <v>0.19584692777396306</v>
      </c>
      <c r="AI574">
        <v>5.0212456217789025E-2</v>
      </c>
      <c r="AJ574">
        <v>0.15836660876881636</v>
      </c>
      <c r="AK574">
        <v>2.3678542257067003E-2</v>
      </c>
      <c r="AL574">
        <v>0.10192711032037982</v>
      </c>
      <c r="AM574">
        <v>9.0654620306647837E-2</v>
      </c>
      <c r="AN574">
        <v>8.161659537906929E-2</v>
      </c>
      <c r="AO574">
        <v>8.1198911673517005E-2</v>
      </c>
      <c r="AR574">
        <v>9.6637538613619789E-4</v>
      </c>
      <c r="AS574">
        <v>4.3892180819630235E-3</v>
      </c>
      <c r="AT574">
        <v>5.43358478244238E-3</v>
      </c>
      <c r="AU574">
        <v>2.1910959737148072E-3</v>
      </c>
      <c r="AV574">
        <v>2.0941603684723198E-3</v>
      </c>
      <c r="AW574">
        <v>3.6799205047184369E-3</v>
      </c>
      <c r="AX574">
        <v>3.8359717456822284E-4</v>
      </c>
      <c r="AY574">
        <v>4.2427178457776782E-4</v>
      </c>
      <c r="BB574">
        <v>5.4484865436480456E-2</v>
      </c>
      <c r="BC574">
        <v>7.7177340979167064E-2</v>
      </c>
      <c r="BE574">
        <v>75287.955804343947</v>
      </c>
      <c r="BF574">
        <v>16.76454946724596</v>
      </c>
      <c r="BG574">
        <v>77155.907345132524</v>
      </c>
      <c r="BH574">
        <v>16.628149510422592</v>
      </c>
      <c r="BI574">
        <v>-1867.9515407885774</v>
      </c>
      <c r="BJ574">
        <v>0.13639995682336803</v>
      </c>
    </row>
    <row r="575" spans="3:62" x14ac:dyDescent="0.2">
      <c r="C575" s="121">
        <v>71435.813599599467</v>
      </c>
      <c r="D575">
        <v>13.182953479684464</v>
      </c>
      <c r="E575" s="121">
        <v>73143.998898328835</v>
      </c>
      <c r="F575" s="121">
        <v>13.011061275982119</v>
      </c>
      <c r="G575" s="121">
        <v>-1708.1852987293678</v>
      </c>
      <c r="H575" s="121">
        <v>0.17189220370234537</v>
      </c>
      <c r="N575" s="121"/>
      <c r="O575" s="121"/>
      <c r="P575" s="121"/>
      <c r="R575">
        <v>225.66027995995623</v>
      </c>
      <c r="S575">
        <v>64.863066657527924</v>
      </c>
      <c r="T575">
        <v>237.83166684198076</v>
      </c>
      <c r="U575">
        <v>112.71943250769135</v>
      </c>
      <c r="X575">
        <v>0.5745258087341325</v>
      </c>
      <c r="Y575">
        <v>0.58714273974235776</v>
      </c>
      <c r="Z575">
        <v>0.57763251035669272</v>
      </c>
      <c r="AA575">
        <v>0.75971531649567525</v>
      </c>
      <c r="AB575">
        <v>0.8383418747918846</v>
      </c>
      <c r="AC575">
        <v>0.76926644341356221</v>
      </c>
      <c r="AD575">
        <v>0.91280773445000274</v>
      </c>
      <c r="AE575">
        <v>0.61781383792236633</v>
      </c>
      <c r="AH575">
        <v>8.1836234917444739E-2</v>
      </c>
      <c r="AI575">
        <v>0.21567442852091057</v>
      </c>
      <c r="AJ575">
        <v>2.0362145995242997E-2</v>
      </c>
      <c r="AK575">
        <v>0.13812273087619065</v>
      </c>
      <c r="AL575">
        <v>0.19649718548354866</v>
      </c>
      <c r="AM575">
        <v>5.5900015902462186E-2</v>
      </c>
      <c r="AN575">
        <v>5.8112021151194293E-2</v>
      </c>
      <c r="AO575">
        <v>9.8735035854999875E-2</v>
      </c>
      <c r="AR575">
        <v>1.0232058677501765E-3</v>
      </c>
      <c r="AS575">
        <v>4.439119949633797E-3</v>
      </c>
      <c r="AT575">
        <v>5.0569006698590879E-3</v>
      </c>
      <c r="AU575">
        <v>1.9433893929370447E-3</v>
      </c>
      <c r="AV575">
        <v>2.0396652366403423E-3</v>
      </c>
      <c r="AW575">
        <v>3.6434605758579597E-3</v>
      </c>
      <c r="AX575">
        <v>6.1495240336018053E-4</v>
      </c>
      <c r="AY575">
        <v>5.5291249719668922E-4</v>
      </c>
      <c r="BB575">
        <v>5.894629179216937E-2</v>
      </c>
      <c r="BC575">
        <v>5.1701086635233429E-2</v>
      </c>
      <c r="BE575">
        <v>71435.813599599467</v>
      </c>
      <c r="BF575">
        <v>13.182953479684464</v>
      </c>
      <c r="BG575">
        <v>73143.998898328835</v>
      </c>
      <c r="BH575">
        <v>13.011061275982119</v>
      </c>
      <c r="BI575">
        <v>-1708.1852987293678</v>
      </c>
      <c r="BJ575">
        <v>0.17189220370234537</v>
      </c>
    </row>
    <row r="576" spans="3:62" x14ac:dyDescent="0.2">
      <c r="C576" s="121">
        <v>74053.531796151568</v>
      </c>
      <c r="D576">
        <v>15.9980650641563</v>
      </c>
      <c r="E576" s="121">
        <v>74841.31244987293</v>
      </c>
      <c r="F576" s="121">
        <v>15.905180848917858</v>
      </c>
      <c r="G576" s="121">
        <v>-787.78065372136189</v>
      </c>
      <c r="H576" s="121">
        <v>9.2884215238441925E-2</v>
      </c>
      <c r="N576" s="121"/>
      <c r="O576" s="121"/>
      <c r="P576" s="121"/>
      <c r="R576">
        <v>302.82049936512828</v>
      </c>
      <c r="S576">
        <v>72.855516367559318</v>
      </c>
      <c r="T576">
        <v>243.5909203549505</v>
      </c>
      <c r="U576">
        <v>91.139590043270928</v>
      </c>
      <c r="X576">
        <v>0.8202036087501976</v>
      </c>
      <c r="Y576">
        <v>0.84005911063739402</v>
      </c>
      <c r="Z576">
        <v>0.41375936631298421</v>
      </c>
      <c r="AA576">
        <v>0.81078148230740454</v>
      </c>
      <c r="AB576">
        <v>0.81706389029372151</v>
      </c>
      <c r="AC576">
        <v>0.87241352933519833</v>
      </c>
      <c r="AD576">
        <v>0.82108755162965175</v>
      </c>
      <c r="AE576">
        <v>0.82825234997446762</v>
      </c>
      <c r="AH576">
        <v>6.8106544531892466E-2</v>
      </c>
      <c r="AI576">
        <v>0.17278082833929709</v>
      </c>
      <c r="AJ576">
        <v>4.7583974772513082E-2</v>
      </c>
      <c r="AK576">
        <v>0.14815963751938688</v>
      </c>
      <c r="AL576">
        <v>0.13130463791892122</v>
      </c>
      <c r="AM576">
        <v>0.13429734880448307</v>
      </c>
      <c r="AN576">
        <v>1.3315906730497762E-3</v>
      </c>
      <c r="AO576">
        <v>0.10923220930174249</v>
      </c>
      <c r="AR576">
        <v>8.735173788433396E-4</v>
      </c>
      <c r="AS576">
        <v>4.3366708889149347E-3</v>
      </c>
      <c r="AT576">
        <v>4.6185347174270992E-3</v>
      </c>
      <c r="AU576">
        <v>2.2067188857399778E-3</v>
      </c>
      <c r="AV576">
        <v>2.2232384841095465E-3</v>
      </c>
      <c r="AW576">
        <v>3.6171034798594404E-3</v>
      </c>
      <c r="AX576">
        <v>3.150550904116259E-4</v>
      </c>
      <c r="AY576">
        <v>4.6285804686907461E-4</v>
      </c>
      <c r="BB576">
        <v>4.6540508275206949E-2</v>
      </c>
      <c r="BC576">
        <v>7.3981129129429113E-2</v>
      </c>
      <c r="BE576">
        <v>74053.531796151568</v>
      </c>
      <c r="BF576">
        <v>15.9980650641563</v>
      </c>
      <c r="BG576">
        <v>74841.31244987293</v>
      </c>
      <c r="BH576">
        <v>15.905180848917858</v>
      </c>
      <c r="BI576">
        <v>-787.78065372136189</v>
      </c>
      <c r="BJ576">
        <v>9.2884215238441925E-2</v>
      </c>
    </row>
    <row r="577" spans="3:62" x14ac:dyDescent="0.2">
      <c r="C577" s="121">
        <v>70761.093419304103</v>
      </c>
      <c r="D577">
        <v>17.651012963001477</v>
      </c>
      <c r="E577" s="121">
        <v>72408.99711984802</v>
      </c>
      <c r="F577" s="121">
        <v>17.538513458542781</v>
      </c>
      <c r="G577" s="121">
        <v>-1647.9037005439168</v>
      </c>
      <c r="H577" s="121">
        <v>0.11249950445869672</v>
      </c>
      <c r="N577" s="121"/>
      <c r="O577" s="121"/>
      <c r="P577" s="121"/>
      <c r="R577">
        <v>392.49275026363694</v>
      </c>
      <c r="S577">
        <v>61.01945108024551</v>
      </c>
      <c r="T577">
        <v>252.82527200854332</v>
      </c>
      <c r="U577">
        <v>108.92703332481395</v>
      </c>
      <c r="X577">
        <v>0.49667493386840417</v>
      </c>
      <c r="Y577">
        <v>0.91385265539663774</v>
      </c>
      <c r="Z577">
        <v>0.51610123414662146</v>
      </c>
      <c r="AA577">
        <v>0.79916700424578502</v>
      </c>
      <c r="AB577">
        <v>0.59907943691381904</v>
      </c>
      <c r="AC577">
        <v>0.57810506087507463</v>
      </c>
      <c r="AD577">
        <v>0.73381583621486568</v>
      </c>
      <c r="AE577">
        <v>0.66845393431035838</v>
      </c>
      <c r="AH577">
        <v>9.6498146212554925E-2</v>
      </c>
      <c r="AI577">
        <v>0.1133645918036752</v>
      </c>
      <c r="AJ577">
        <v>0.2874073817915902</v>
      </c>
      <c r="AK577">
        <v>5.5392784848104726E-2</v>
      </c>
      <c r="AL577">
        <v>8.2956246740433004E-2</v>
      </c>
      <c r="AM577">
        <v>0.10738687546186143</v>
      </c>
      <c r="AN577">
        <v>0.32960281328527175</v>
      </c>
      <c r="AO577">
        <v>0.14294234450395338</v>
      </c>
      <c r="AR577">
        <v>8.7942281341954584E-4</v>
      </c>
      <c r="AS577">
        <v>4.3951297768070529E-3</v>
      </c>
      <c r="AT577">
        <v>4.7932359410104925E-3</v>
      </c>
      <c r="AU577">
        <v>1.8636990760930233E-3</v>
      </c>
      <c r="AV577">
        <v>1.8990408705047571E-3</v>
      </c>
      <c r="AW577">
        <v>3.4331623819107149E-3</v>
      </c>
      <c r="AX577">
        <v>4.2703885699157951E-4</v>
      </c>
      <c r="AY577">
        <v>5.559024631194287E-4</v>
      </c>
      <c r="BB577">
        <v>5.1849469895586142E-2</v>
      </c>
      <c r="BC577">
        <v>7.2899872361794626E-2</v>
      </c>
      <c r="BE577">
        <v>70761.093419304103</v>
      </c>
      <c r="BF577">
        <v>17.651012963001477</v>
      </c>
      <c r="BG577">
        <v>72408.99711984802</v>
      </c>
      <c r="BH577">
        <v>17.538513458542781</v>
      </c>
      <c r="BI577">
        <v>-1647.9037005439168</v>
      </c>
      <c r="BJ577">
        <v>0.11249950445869672</v>
      </c>
    </row>
    <row r="578" spans="3:62" x14ac:dyDescent="0.2">
      <c r="C578" s="121">
        <v>75974.605455669851</v>
      </c>
      <c r="D578">
        <v>14.814507959118574</v>
      </c>
      <c r="E578" s="121">
        <v>77355.172019170364</v>
      </c>
      <c r="F578" s="121">
        <v>14.687355165107915</v>
      </c>
      <c r="G578" s="121">
        <v>-1380.5665635005134</v>
      </c>
      <c r="H578" s="121">
        <v>0.12715279401065871</v>
      </c>
      <c r="N578" s="121"/>
      <c r="O578" s="121"/>
      <c r="P578" s="121"/>
      <c r="R578">
        <v>329.25931993423376</v>
      </c>
      <c r="S578">
        <v>61.138619366540809</v>
      </c>
      <c r="T578">
        <v>259.30426422827315</v>
      </c>
      <c r="U578">
        <v>103.80034471207563</v>
      </c>
      <c r="X578">
        <v>0.86201994898851542</v>
      </c>
      <c r="Y578">
        <v>0.71498235866831328</v>
      </c>
      <c r="Z578">
        <v>0.76401164714714409</v>
      </c>
      <c r="AA578">
        <v>0.6723451565951698</v>
      </c>
      <c r="AB578">
        <v>0.62717171240153269</v>
      </c>
      <c r="AC578">
        <v>0.68749399399104061</v>
      </c>
      <c r="AD578">
        <v>0.77996328518611502</v>
      </c>
      <c r="AE578">
        <v>0.55709809014547018</v>
      </c>
      <c r="AH578">
        <v>0.18332746852442561</v>
      </c>
      <c r="AI578">
        <v>0.14279852418373318</v>
      </c>
      <c r="AJ578">
        <v>7.8547007944458791E-2</v>
      </c>
      <c r="AK578">
        <v>0.10365870574885927</v>
      </c>
      <c r="AL578">
        <v>0.12106301324524082</v>
      </c>
      <c r="AM578">
        <v>5.8373649348844592E-2</v>
      </c>
      <c r="AN578">
        <v>8.3331312780201117E-2</v>
      </c>
      <c r="AO578">
        <v>0.17407214708652519</v>
      </c>
      <c r="AR578">
        <v>1.1234675907095815E-3</v>
      </c>
      <c r="AS578">
        <v>4.7460370707828048E-3</v>
      </c>
      <c r="AT578">
        <v>5.2579254984950197E-3</v>
      </c>
      <c r="AU578">
        <v>2.108575984166472E-3</v>
      </c>
      <c r="AV578">
        <v>1.8432983147968795E-3</v>
      </c>
      <c r="AW578">
        <v>3.6254386182913434E-3</v>
      </c>
      <c r="AX578">
        <v>3.6492809099678019E-4</v>
      </c>
      <c r="AY578">
        <v>3.7868794196487649E-4</v>
      </c>
      <c r="BB578">
        <v>4.7934328866737E-2</v>
      </c>
      <c r="BC578">
        <v>4.3778954864183262E-2</v>
      </c>
      <c r="BE578">
        <v>75974.605455669851</v>
      </c>
      <c r="BF578">
        <v>14.814507959118574</v>
      </c>
      <c r="BG578">
        <v>77355.172019170364</v>
      </c>
      <c r="BH578">
        <v>14.687355165107915</v>
      </c>
      <c r="BI578">
        <v>-1380.5665635005134</v>
      </c>
      <c r="BJ578">
        <v>0.12715279401065871</v>
      </c>
    </row>
    <row r="579" spans="3:62" x14ac:dyDescent="0.2">
      <c r="C579" s="121">
        <v>76922.803409478438</v>
      </c>
      <c r="D579">
        <v>15.685704007138588</v>
      </c>
      <c r="E579" s="121">
        <v>79148.035682779824</v>
      </c>
      <c r="F579" s="121">
        <v>15.507085066145782</v>
      </c>
      <c r="G579" s="121">
        <v>-2225.2322733013862</v>
      </c>
      <c r="H579" s="121">
        <v>0.17861894099280562</v>
      </c>
      <c r="N579" s="121"/>
      <c r="O579" s="121"/>
      <c r="P579" s="121"/>
      <c r="R579">
        <v>298.8061301635027</v>
      </c>
      <c r="S579">
        <v>50.618102923899798</v>
      </c>
      <c r="T579">
        <v>253.72041039861779</v>
      </c>
      <c r="U579">
        <v>88.811159982352819</v>
      </c>
      <c r="X579">
        <v>0.77939642918399887</v>
      </c>
      <c r="Y579">
        <v>0.8428483740432261</v>
      </c>
      <c r="Z579">
        <v>0.57000738505929149</v>
      </c>
      <c r="AA579">
        <v>0.83831485485830237</v>
      </c>
      <c r="AB579">
        <v>0.93683771676772953</v>
      </c>
      <c r="AC579">
        <v>0.57356227048051933</v>
      </c>
      <c r="AD579">
        <v>0.82261946592757518</v>
      </c>
      <c r="AE579">
        <v>0.74501060517965656</v>
      </c>
      <c r="AH579">
        <v>3.8038913012710562E-2</v>
      </c>
      <c r="AI579">
        <v>0.10093986633435459</v>
      </c>
      <c r="AJ579">
        <v>0.10911695098287932</v>
      </c>
      <c r="AK579">
        <v>0.22994962250852813</v>
      </c>
      <c r="AL579">
        <v>3.7435459095626067E-2</v>
      </c>
      <c r="AM579">
        <v>6.4396552453290568E-2</v>
      </c>
      <c r="AN579">
        <v>0.13314011006638271</v>
      </c>
      <c r="AO579">
        <v>0.10867353009575276</v>
      </c>
      <c r="AR579">
        <v>8.5674354969088708E-4</v>
      </c>
      <c r="AS579">
        <v>4.4391164589517732E-3</v>
      </c>
      <c r="AT579">
        <v>4.7255368909468907E-3</v>
      </c>
      <c r="AU579">
        <v>2.1384087432284593E-3</v>
      </c>
      <c r="AV579">
        <v>2.1335167185591031E-3</v>
      </c>
      <c r="AW579">
        <v>3.5531242909313532E-3</v>
      </c>
      <c r="AX579">
        <v>3.7506418228499318E-4</v>
      </c>
      <c r="AY579">
        <v>4.7938942393155326E-4</v>
      </c>
      <c r="BB579">
        <v>5.5305115079311795E-2</v>
      </c>
      <c r="BC579">
        <v>2.6497576217795644E-2</v>
      </c>
      <c r="BE579">
        <v>76922.803409478438</v>
      </c>
      <c r="BF579">
        <v>15.685704007138588</v>
      </c>
      <c r="BG579">
        <v>79148.035682779824</v>
      </c>
      <c r="BH579">
        <v>15.507085066145782</v>
      </c>
      <c r="BI579">
        <v>-2225.2322733013862</v>
      </c>
      <c r="BJ579">
        <v>0.17861894099280562</v>
      </c>
    </row>
    <row r="580" spans="3:62" x14ac:dyDescent="0.2">
      <c r="C580" s="121">
        <v>71878.754080376413</v>
      </c>
      <c r="D580">
        <v>15.83096283565275</v>
      </c>
      <c r="E580" s="121">
        <v>74700.670177605192</v>
      </c>
      <c r="F580" s="121">
        <v>15.592898277427002</v>
      </c>
      <c r="G580" s="121">
        <v>-2821.9160972287791</v>
      </c>
      <c r="H580" s="121">
        <v>0.2380645582257479</v>
      </c>
      <c r="N580" s="121"/>
      <c r="O580" s="121"/>
      <c r="P580" s="121"/>
      <c r="R580">
        <v>439.67147241224319</v>
      </c>
      <c r="S580">
        <v>68.92711007849725</v>
      </c>
      <c r="T580">
        <v>262.39549744804845</v>
      </c>
      <c r="U580">
        <v>95.014280624076861</v>
      </c>
      <c r="X580">
        <v>0.68224742255710968</v>
      </c>
      <c r="Y580">
        <v>0.57873930055768952</v>
      </c>
      <c r="Z580">
        <v>0.72461634089345317</v>
      </c>
      <c r="AA580">
        <v>0.70468812159203409</v>
      </c>
      <c r="AB580">
        <v>0.88029819919990915</v>
      </c>
      <c r="AC580">
        <v>0.58833376196040499</v>
      </c>
      <c r="AD580">
        <v>0.85064093399993945</v>
      </c>
      <c r="AE580">
        <v>0.70992679272397519</v>
      </c>
      <c r="AH580">
        <v>0.18228430017568442</v>
      </c>
      <c r="AI580">
        <v>0.10413384415807192</v>
      </c>
      <c r="AJ580">
        <v>0.36151178765487857</v>
      </c>
      <c r="AK580">
        <v>0.19114835613387315</v>
      </c>
      <c r="AL580">
        <v>8.7816732328233615E-2</v>
      </c>
      <c r="AM580">
        <v>6.2748498260944086E-2</v>
      </c>
      <c r="AN580">
        <v>3.1687233795096859E-2</v>
      </c>
      <c r="AO580">
        <v>6.445181026700908E-2</v>
      </c>
      <c r="AR580">
        <v>9.639661151493728E-4</v>
      </c>
      <c r="AS580">
        <v>4.3095914402894852E-3</v>
      </c>
      <c r="AT580">
        <v>4.7977201856486155E-3</v>
      </c>
      <c r="AU580">
        <v>2.2645206605330648E-3</v>
      </c>
      <c r="AV580">
        <v>1.8101502932762305E-3</v>
      </c>
      <c r="AW580">
        <v>3.3967103012426708E-3</v>
      </c>
      <c r="AX580">
        <v>3.3849900526805387E-4</v>
      </c>
      <c r="AY580">
        <v>3.9452994283825351E-4</v>
      </c>
      <c r="BB580">
        <v>4.765837963369976E-2</v>
      </c>
      <c r="BC580">
        <v>4.4361111086650064E-2</v>
      </c>
      <c r="BE580">
        <v>71878.754080376413</v>
      </c>
      <c r="BF580">
        <v>15.83096283565275</v>
      </c>
      <c r="BG580">
        <v>74700.670177605192</v>
      </c>
      <c r="BH580">
        <v>15.592898277427002</v>
      </c>
      <c r="BI580">
        <v>-2821.9160972287791</v>
      </c>
      <c r="BJ580">
        <v>0.2380645582257479</v>
      </c>
    </row>
    <row r="581" spans="3:62" x14ac:dyDescent="0.2">
      <c r="C581" s="121">
        <v>68256.177698338841</v>
      </c>
      <c r="D581">
        <v>15.573492228832107</v>
      </c>
      <c r="E581" s="121">
        <v>69747.229202588438</v>
      </c>
      <c r="F581" s="121">
        <v>15.469966740347171</v>
      </c>
      <c r="G581" s="121">
        <v>-1491.0515042495972</v>
      </c>
      <c r="H581" s="121">
        <v>0.10352548848493548</v>
      </c>
      <c r="N581" s="121"/>
      <c r="O581" s="121"/>
      <c r="P581" s="121"/>
      <c r="R581">
        <v>299.80839150079669</v>
      </c>
      <c r="S581">
        <v>58.636628485355409</v>
      </c>
      <c r="T581">
        <v>247.81280134237485</v>
      </c>
      <c r="U581">
        <v>92.104448216872925</v>
      </c>
      <c r="X581">
        <v>0.78995919981174656</v>
      </c>
      <c r="Y581">
        <v>0.48984309832820006</v>
      </c>
      <c r="Z581">
        <v>0.81265147197901588</v>
      </c>
      <c r="AA581">
        <v>0.83116956498918326</v>
      </c>
      <c r="AB581">
        <v>0.65513810405303252</v>
      </c>
      <c r="AC581">
        <v>0.52532310342347621</v>
      </c>
      <c r="AD581">
        <v>0.69376297785878105</v>
      </c>
      <c r="AE581">
        <v>0.94519031036082746</v>
      </c>
      <c r="AH581">
        <v>0.14236857869633557</v>
      </c>
      <c r="AI581">
        <v>0.36397712645938285</v>
      </c>
      <c r="AJ581">
        <v>0.13287389115987658</v>
      </c>
      <c r="AK581">
        <v>2.939342915470522E-2</v>
      </c>
      <c r="AL581">
        <v>0.31307329028930786</v>
      </c>
      <c r="AM581">
        <v>0.17218715093812198</v>
      </c>
      <c r="AN581">
        <v>0.15654780484031572</v>
      </c>
      <c r="AO581">
        <v>0.12659776117482113</v>
      </c>
      <c r="AR581">
        <v>8.0717047227129831E-4</v>
      </c>
      <c r="AS581">
        <v>4.3538784382105263E-3</v>
      </c>
      <c r="AT581">
        <v>5.0625768965106843E-3</v>
      </c>
      <c r="AU581">
        <v>1.8285331091827083E-3</v>
      </c>
      <c r="AV581">
        <v>2.0229032025081972E-3</v>
      </c>
      <c r="AW581">
        <v>3.2452178751011074E-3</v>
      </c>
      <c r="AX581">
        <v>4.1632483230136241E-4</v>
      </c>
      <c r="AY581">
        <v>3.8067936007732845E-4</v>
      </c>
      <c r="BB581">
        <v>5.6800434310221193E-2</v>
      </c>
      <c r="BC581">
        <v>3.3833710392193059E-2</v>
      </c>
      <c r="BE581">
        <v>68256.177698338841</v>
      </c>
      <c r="BF581">
        <v>15.573492228832107</v>
      </c>
      <c r="BG581">
        <v>69747.229202588438</v>
      </c>
      <c r="BH581">
        <v>15.469966740347171</v>
      </c>
      <c r="BI581">
        <v>-1491.0515042495972</v>
      </c>
      <c r="BJ581">
        <v>0.10352548848493548</v>
      </c>
    </row>
    <row r="582" spans="3:62" x14ac:dyDescent="0.2">
      <c r="C582" s="121">
        <v>76251.668861193102</v>
      </c>
      <c r="D582">
        <v>12.466316917102088</v>
      </c>
      <c r="E582" s="121">
        <v>77294.032046261811</v>
      </c>
      <c r="F582" s="121">
        <v>12.354537141747763</v>
      </c>
      <c r="G582" s="121">
        <v>-1042.3631850687088</v>
      </c>
      <c r="H582" s="121">
        <v>0.11177977535432504</v>
      </c>
      <c r="N582" s="121"/>
      <c r="O582" s="121"/>
      <c r="P582" s="121"/>
      <c r="R582">
        <v>166.08640754484378</v>
      </c>
      <c r="S582">
        <v>72.125552626651853</v>
      </c>
      <c r="T582">
        <v>255.82196265722473</v>
      </c>
      <c r="U582">
        <v>95.170115530573668</v>
      </c>
      <c r="X582">
        <v>0.84461900674644119</v>
      </c>
      <c r="Y582">
        <v>0.84060818224006539</v>
      </c>
      <c r="Z582">
        <v>0.31926837737492569</v>
      </c>
      <c r="AA582">
        <v>0.81320953425767617</v>
      </c>
      <c r="AB582">
        <v>0.34318017552358004</v>
      </c>
      <c r="AC582">
        <v>0.92218522753995713</v>
      </c>
      <c r="AD582">
        <v>0.95419088584871592</v>
      </c>
      <c r="AE582">
        <v>0.96041801260954918</v>
      </c>
      <c r="AH582">
        <v>2.5254261934330779E-2</v>
      </c>
      <c r="AI582">
        <v>0.13133854823356506</v>
      </c>
      <c r="AJ582">
        <v>3.4373714918492171E-2</v>
      </c>
      <c r="AK582">
        <v>0.17324854767379083</v>
      </c>
      <c r="AL582">
        <v>8.5946713626259275E-2</v>
      </c>
      <c r="AM582">
        <v>0.1859731257245697</v>
      </c>
      <c r="AN582">
        <v>0.17717727062276911</v>
      </c>
      <c r="AO582">
        <v>3.9496638096313763E-2</v>
      </c>
      <c r="AR582">
        <v>1.2436699332237788E-3</v>
      </c>
      <c r="AS582">
        <v>4.9563812663556694E-3</v>
      </c>
      <c r="AT582">
        <v>5.0614266331661106E-3</v>
      </c>
      <c r="AU582">
        <v>2.0720043256731158E-3</v>
      </c>
      <c r="AV582">
        <v>2.0156808767717305E-3</v>
      </c>
      <c r="AW582">
        <v>3.2873662914292188E-3</v>
      </c>
      <c r="AX582">
        <v>3.7483441512268866E-4</v>
      </c>
      <c r="AY582">
        <v>3.5980915382123781E-4</v>
      </c>
      <c r="BB582">
        <v>4.6400441501629482E-2</v>
      </c>
      <c r="BC582">
        <v>4.345599136630518E-2</v>
      </c>
      <c r="BE582">
        <v>76251.668861193102</v>
      </c>
      <c r="BF582">
        <v>12.466316917102088</v>
      </c>
      <c r="BG582">
        <v>77294.032046261811</v>
      </c>
      <c r="BH582">
        <v>12.354537141747763</v>
      </c>
      <c r="BI582">
        <v>-1042.3631850687088</v>
      </c>
      <c r="BJ582">
        <v>0.11177977535432504</v>
      </c>
    </row>
    <row r="583" spans="3:62" x14ac:dyDescent="0.2">
      <c r="C583" s="121">
        <v>67686.77580194948</v>
      </c>
      <c r="D583">
        <v>18.182471481777124</v>
      </c>
      <c r="E583" s="121">
        <v>69726.191565135843</v>
      </c>
      <c r="F583" s="121">
        <v>18.035559206391834</v>
      </c>
      <c r="G583" s="121">
        <v>-2039.4157631863636</v>
      </c>
      <c r="H583" s="121">
        <v>0.14691227538529006</v>
      </c>
      <c r="N583" s="121"/>
      <c r="O583" s="121"/>
      <c r="P583" s="121"/>
      <c r="R583">
        <v>320.73352084676219</v>
      </c>
      <c r="S583">
        <v>65.057543713028181</v>
      </c>
      <c r="T583">
        <v>245.26035963879082</v>
      </c>
      <c r="U583">
        <v>106.55191420151665</v>
      </c>
      <c r="X583">
        <v>0.85772812903303153</v>
      </c>
      <c r="Y583">
        <v>0.85136244066571332</v>
      </c>
      <c r="Z583">
        <v>0.94561067160019896</v>
      </c>
      <c r="AA583">
        <v>0.81253309401658003</v>
      </c>
      <c r="AB583">
        <v>0.85182995371160641</v>
      </c>
      <c r="AC583">
        <v>0.87177058409196284</v>
      </c>
      <c r="AD583">
        <v>0.54231078592777215</v>
      </c>
      <c r="AE583">
        <v>0.72398110401291405</v>
      </c>
      <c r="AH583">
        <v>0.16553225893886425</v>
      </c>
      <c r="AI583">
        <v>5.3193223140355794E-2</v>
      </c>
      <c r="AJ583">
        <v>0.10264089882820326</v>
      </c>
      <c r="AK583">
        <v>0.157414708254626</v>
      </c>
      <c r="AL583">
        <v>0.1250568643731258</v>
      </c>
      <c r="AM583">
        <v>6.0555937952750383E-2</v>
      </c>
      <c r="AN583">
        <v>0.21160173034009366</v>
      </c>
      <c r="AO583">
        <v>9.0860077613630574E-2</v>
      </c>
      <c r="AR583">
        <v>9.2861847984082591E-4</v>
      </c>
      <c r="AS583">
        <v>4.3350677591776432E-3</v>
      </c>
      <c r="AT583">
        <v>5.2315526021162739E-3</v>
      </c>
      <c r="AU583">
        <v>1.9182063708521166E-3</v>
      </c>
      <c r="AV583">
        <v>2.2605659215563234E-3</v>
      </c>
      <c r="AW583">
        <v>3.7168656493019592E-3</v>
      </c>
      <c r="AX583">
        <v>3.6764298787542209E-4</v>
      </c>
      <c r="AY583">
        <v>4.4955232779742005E-4</v>
      </c>
      <c r="BB583">
        <v>4.3258805967877789E-2</v>
      </c>
      <c r="BC583">
        <v>7.2896116789838761E-2</v>
      </c>
      <c r="BE583">
        <v>67686.77580194948</v>
      </c>
      <c r="BF583">
        <v>18.182471481777124</v>
      </c>
      <c r="BG583">
        <v>69726.191565135843</v>
      </c>
      <c r="BH583">
        <v>18.035559206391834</v>
      </c>
      <c r="BI583">
        <v>-2039.4157631863636</v>
      </c>
      <c r="BJ583">
        <v>0.14691227538529006</v>
      </c>
    </row>
    <row r="584" spans="3:62" x14ac:dyDescent="0.2">
      <c r="C584" s="121">
        <v>64842.821463911641</v>
      </c>
      <c r="D584">
        <v>16.465973129134742</v>
      </c>
      <c r="E584" s="121">
        <v>65688.713746095091</v>
      </c>
      <c r="F584" s="121">
        <v>16.384934115464691</v>
      </c>
      <c r="G584" s="121">
        <v>-845.89228218344942</v>
      </c>
      <c r="H584" s="121">
        <v>8.1039013670050508E-2</v>
      </c>
      <c r="N584" s="121"/>
      <c r="O584" s="121"/>
      <c r="P584" s="121"/>
      <c r="R584">
        <v>253.85991547031864</v>
      </c>
      <c r="S584">
        <v>64.634276665552676</v>
      </c>
      <c r="T584">
        <v>285.32004446096079</v>
      </c>
      <c r="U584">
        <v>105.66663877192451</v>
      </c>
      <c r="X584">
        <v>0.67690998570028493</v>
      </c>
      <c r="Y584">
        <v>0.85193162417522461</v>
      </c>
      <c r="Z584">
        <v>0.78027435832154968</v>
      </c>
      <c r="AA584">
        <v>0.76774212136283915</v>
      </c>
      <c r="AB584">
        <v>0.53997498513481401</v>
      </c>
      <c r="AC584">
        <v>0.527707516232781</v>
      </c>
      <c r="AD584">
        <v>0.72038246901944347</v>
      </c>
      <c r="AE584">
        <v>0.81376156025312174</v>
      </c>
      <c r="AH584">
        <v>0.23967886062396293</v>
      </c>
      <c r="AI584">
        <v>0.23320880603578831</v>
      </c>
      <c r="AJ584">
        <v>0.24174422149239461</v>
      </c>
      <c r="AK584">
        <v>5.1674367415687095E-2</v>
      </c>
      <c r="AL584">
        <v>0.1133364280794108</v>
      </c>
      <c r="AM584">
        <v>0.40551598941337108</v>
      </c>
      <c r="AN584">
        <v>5.8174006513113996E-2</v>
      </c>
      <c r="AO584">
        <v>0.20451703114010966</v>
      </c>
      <c r="AR584">
        <v>8.1684926087363468E-4</v>
      </c>
      <c r="AS584">
        <v>4.7491710081821736E-3</v>
      </c>
      <c r="AT584">
        <v>4.8591790675445324E-3</v>
      </c>
      <c r="AU584">
        <v>1.8858456962614037E-3</v>
      </c>
      <c r="AV584">
        <v>1.8617385820204055E-3</v>
      </c>
      <c r="AW584">
        <v>3.5497266742379185E-3</v>
      </c>
      <c r="AX584">
        <v>5.5542056653712368E-4</v>
      </c>
      <c r="AY584">
        <v>3.3751322901019856E-4</v>
      </c>
      <c r="BB584">
        <v>5.5956770168752668E-2</v>
      </c>
      <c r="BC584">
        <v>3.1633791133079084E-2</v>
      </c>
      <c r="BE584">
        <v>64842.821463911641</v>
      </c>
      <c r="BF584">
        <v>16.465973129134742</v>
      </c>
      <c r="BG584">
        <v>65688.713746095091</v>
      </c>
      <c r="BH584">
        <v>16.384934115464691</v>
      </c>
      <c r="BI584">
        <v>-845.89228218344942</v>
      </c>
      <c r="BJ584">
        <v>8.1039013670050508E-2</v>
      </c>
    </row>
    <row r="585" spans="3:62" x14ac:dyDescent="0.2">
      <c r="C585" s="121">
        <v>64090.259239789666</v>
      </c>
      <c r="D585">
        <v>11.668249714829788</v>
      </c>
      <c r="E585" s="121">
        <v>64781.735799553855</v>
      </c>
      <c r="F585" s="121">
        <v>11.606475042277401</v>
      </c>
      <c r="G585" s="121">
        <v>-691.47655976418901</v>
      </c>
      <c r="H585" s="121">
        <v>6.1774672552386889E-2</v>
      </c>
      <c r="N585" s="121"/>
      <c r="O585" s="121"/>
      <c r="P585" s="121"/>
      <c r="R585">
        <v>306.86107492501975</v>
      </c>
      <c r="S585">
        <v>55.293924841790819</v>
      </c>
      <c r="T585">
        <v>294.07179454138793</v>
      </c>
      <c r="U585">
        <v>108.96042444492892</v>
      </c>
      <c r="X585">
        <v>0.77023235822274094</v>
      </c>
      <c r="Y585">
        <v>0.86588721460455575</v>
      </c>
      <c r="Z585">
        <v>0.39808120540751929</v>
      </c>
      <c r="AA585">
        <v>0.83159132630661292</v>
      </c>
      <c r="AB585">
        <v>0.79329811100128822</v>
      </c>
      <c r="AC585">
        <v>0.90011906984167378</v>
      </c>
      <c r="AD585">
        <v>0.94205400030709252</v>
      </c>
      <c r="AE585">
        <v>0.68996081284271737</v>
      </c>
      <c r="AH585">
        <v>7.4320314174225466E-2</v>
      </c>
      <c r="AI585">
        <v>8.4571921488493795E-2</v>
      </c>
      <c r="AJ585">
        <v>0.11239203771595052</v>
      </c>
      <c r="AK585">
        <v>5.9448079308974555E-2</v>
      </c>
      <c r="AL585">
        <v>0.14205699092479074</v>
      </c>
      <c r="AM585">
        <v>0.13357927162324856</v>
      </c>
      <c r="AN585">
        <v>6.332935249150573E-3</v>
      </c>
      <c r="AO585">
        <v>8.4166834650993838E-2</v>
      </c>
      <c r="AR585">
        <v>8.7626358105483821E-4</v>
      </c>
      <c r="AS585">
        <v>4.3785102521674982E-3</v>
      </c>
      <c r="AT585">
        <v>4.732806982991008E-3</v>
      </c>
      <c r="AU585">
        <v>2.0160221977059134E-3</v>
      </c>
      <c r="AV585">
        <v>1.8555404868197249E-3</v>
      </c>
      <c r="AW585">
        <v>3.1375975887233832E-3</v>
      </c>
      <c r="AX585">
        <v>4.2022423020671162E-4</v>
      </c>
      <c r="AY585">
        <v>4.0308989524282001E-4</v>
      </c>
      <c r="BB585">
        <v>4.3559698842258097E-2</v>
      </c>
      <c r="BC585">
        <v>7.8558069945334763E-2</v>
      </c>
      <c r="BE585">
        <v>64090.259239789666</v>
      </c>
      <c r="BF585">
        <v>11.668249714829788</v>
      </c>
      <c r="BG585">
        <v>64781.735799553855</v>
      </c>
      <c r="BH585">
        <v>11.606475042277401</v>
      </c>
      <c r="BI585">
        <v>-691.47655976418901</v>
      </c>
      <c r="BJ585">
        <v>6.1774672552386889E-2</v>
      </c>
    </row>
    <row r="586" spans="3:62" x14ac:dyDescent="0.2">
      <c r="C586" s="121">
        <v>64869.77608246282</v>
      </c>
      <c r="D586">
        <v>17.074986990548783</v>
      </c>
      <c r="E586" s="121">
        <v>66336.58381833155</v>
      </c>
      <c r="F586" s="121">
        <v>16.978273415272977</v>
      </c>
      <c r="G586" s="121">
        <v>-1466.8077358687297</v>
      </c>
      <c r="H586" s="121">
        <v>9.6713575275806818E-2</v>
      </c>
      <c r="N586" s="121"/>
      <c r="O586" s="121"/>
      <c r="P586" s="121"/>
      <c r="R586">
        <v>223.23475036286732</v>
      </c>
      <c r="S586">
        <v>46.452105811086426</v>
      </c>
      <c r="T586">
        <v>244.0927915637875</v>
      </c>
      <c r="U586">
        <v>94.49070478421983</v>
      </c>
      <c r="X586">
        <v>0.88610512027060662</v>
      </c>
      <c r="Y586">
        <v>0.71684471086200774</v>
      </c>
      <c r="Z586">
        <v>0.54930614710794867</v>
      </c>
      <c r="AA586">
        <v>0.82342313364152508</v>
      </c>
      <c r="AB586">
        <v>0.88111634295530239</v>
      </c>
      <c r="AC586">
        <v>0.84051228294628899</v>
      </c>
      <c r="AD586">
        <v>0.61141524286658655</v>
      </c>
      <c r="AE586">
        <v>0.48713960904912407</v>
      </c>
      <c r="AH586">
        <v>5.7605686658117938E-2</v>
      </c>
      <c r="AI586">
        <v>5.2399616081807654E-2</v>
      </c>
      <c r="AJ586">
        <v>7.3873473289498226E-2</v>
      </c>
      <c r="AK586">
        <v>0.12805924014748193</v>
      </c>
      <c r="AL586">
        <v>0.12915962847468787</v>
      </c>
      <c r="AM586">
        <v>0.13206334838314526</v>
      </c>
      <c r="AN586">
        <v>7.264940557440136E-2</v>
      </c>
      <c r="AO586">
        <v>4.2395282994744932E-3</v>
      </c>
      <c r="AR586">
        <v>7.6204624174818728E-4</v>
      </c>
      <c r="AS586">
        <v>4.3720866259348776E-3</v>
      </c>
      <c r="AT586">
        <v>4.7881128941491729E-3</v>
      </c>
      <c r="AU586">
        <v>1.9603035674712866E-3</v>
      </c>
      <c r="AV586">
        <v>1.9296381004453417E-3</v>
      </c>
      <c r="AW586">
        <v>3.2391466911501146E-3</v>
      </c>
      <c r="AX586">
        <v>2.8723700654229836E-4</v>
      </c>
      <c r="AY586">
        <v>4.8208379141778668E-4</v>
      </c>
      <c r="BB586">
        <v>4.6722567706161698E-2</v>
      </c>
      <c r="BC586">
        <v>7.6397398108326908E-2</v>
      </c>
      <c r="BE586">
        <v>64869.77608246282</v>
      </c>
      <c r="BF586">
        <v>17.074986990548783</v>
      </c>
      <c r="BG586">
        <v>66336.58381833155</v>
      </c>
      <c r="BH586">
        <v>16.978273415272977</v>
      </c>
      <c r="BI586">
        <v>-1466.8077358687297</v>
      </c>
      <c r="BJ586">
        <v>9.6713575275806818E-2</v>
      </c>
    </row>
    <row r="587" spans="3:62" x14ac:dyDescent="0.2">
      <c r="C587" s="121">
        <v>77727.820392710157</v>
      </c>
      <c r="D587">
        <v>16.282330639272942</v>
      </c>
      <c r="E587" s="121">
        <v>80315.428386661137</v>
      </c>
      <c r="F587" s="121">
        <v>16.069285116070915</v>
      </c>
      <c r="G587" s="121">
        <v>-2587.60799395098</v>
      </c>
      <c r="H587" s="121">
        <v>0.21304552320202674</v>
      </c>
      <c r="N587" s="121"/>
      <c r="O587" s="121"/>
      <c r="P587" s="121"/>
      <c r="R587">
        <v>263.35701095976469</v>
      </c>
      <c r="S587">
        <v>61.975088512322493</v>
      </c>
      <c r="T587">
        <v>272.89937319188948</v>
      </c>
      <c r="U587">
        <v>90.406571863887919</v>
      </c>
      <c r="X587">
        <v>0.92009151261632038</v>
      </c>
      <c r="Y587">
        <v>0.63023343696542555</v>
      </c>
      <c r="Z587">
        <v>0.53642838338325893</v>
      </c>
      <c r="AA587">
        <v>0.72778838189147299</v>
      </c>
      <c r="AB587">
        <v>0.78605160599802315</v>
      </c>
      <c r="AC587">
        <v>0.92287244595282736</v>
      </c>
      <c r="AD587">
        <v>0.88984463537311287</v>
      </c>
      <c r="AE587">
        <v>0.4996911740966945</v>
      </c>
      <c r="AH587">
        <v>9.2156772197505621E-2</v>
      </c>
      <c r="AI587">
        <v>6.6220556062767666E-2</v>
      </c>
      <c r="AJ587">
        <v>3.6968569353405201E-2</v>
      </c>
      <c r="AK587">
        <v>6.8611793419975364E-2</v>
      </c>
      <c r="AL587">
        <v>0.10751046068892955</v>
      </c>
      <c r="AM587">
        <v>8.3031545693728281E-2</v>
      </c>
      <c r="AN587">
        <v>3.535304170071818E-2</v>
      </c>
      <c r="AO587">
        <v>0.18964898689143872</v>
      </c>
      <c r="AR587">
        <v>8.9048546302794573E-4</v>
      </c>
      <c r="AS587">
        <v>4.7314947361601911E-3</v>
      </c>
      <c r="AT587">
        <v>4.9813272133497621E-3</v>
      </c>
      <c r="AU587">
        <v>1.7211834382763718E-3</v>
      </c>
      <c r="AV587">
        <v>1.9900276414612636E-3</v>
      </c>
      <c r="AW587">
        <v>3.2713844971975011E-3</v>
      </c>
      <c r="AX587">
        <v>3.7362771855614202E-4</v>
      </c>
      <c r="AY587">
        <v>4.8726464756321253E-4</v>
      </c>
      <c r="BB587">
        <v>4.6305856648781306E-2</v>
      </c>
      <c r="BC587">
        <v>7.302326277125093E-2</v>
      </c>
      <c r="BE587">
        <v>77727.820392710157</v>
      </c>
      <c r="BF587">
        <v>16.282330639272942</v>
      </c>
      <c r="BG587">
        <v>80315.428386661137</v>
      </c>
      <c r="BH587">
        <v>16.069285116070915</v>
      </c>
      <c r="BI587">
        <v>-2587.60799395098</v>
      </c>
      <c r="BJ587">
        <v>0.21304552320202674</v>
      </c>
    </row>
    <row r="588" spans="3:62" x14ac:dyDescent="0.2">
      <c r="C588" s="121">
        <v>68706.20011195002</v>
      </c>
      <c r="D588">
        <v>17.527354221740669</v>
      </c>
      <c r="E588" s="121">
        <v>70188.681436567014</v>
      </c>
      <c r="F588" s="121">
        <v>17.481417366313519</v>
      </c>
      <c r="G588" s="121">
        <v>-1482.4813246169942</v>
      </c>
      <c r="H588" s="121">
        <v>4.5936855427150647E-2</v>
      </c>
      <c r="N588" s="121"/>
      <c r="O588" s="121"/>
      <c r="P588" s="121"/>
      <c r="R588">
        <v>271.04116807625991</v>
      </c>
      <c r="S588">
        <v>50.086495709452663</v>
      </c>
      <c r="T588">
        <v>267.64887608832629</v>
      </c>
      <c r="U588">
        <v>72.686365052752748</v>
      </c>
      <c r="X588">
        <v>0.87705125769382097</v>
      </c>
      <c r="Y588">
        <v>0.87414718857629692</v>
      </c>
      <c r="Z588">
        <v>0.82303544831955122</v>
      </c>
      <c r="AA588">
        <v>0.79881076465140777</v>
      </c>
      <c r="AB588">
        <v>0.47580027183820112</v>
      </c>
      <c r="AC588">
        <v>0.89917727506586886</v>
      </c>
      <c r="AD588">
        <v>0.83521881158206768</v>
      </c>
      <c r="AE588">
        <v>0.96040691629972097</v>
      </c>
      <c r="AH588">
        <v>0.19578974191129939</v>
      </c>
      <c r="AI588">
        <v>0.15428811507584872</v>
      </c>
      <c r="AJ588">
        <v>0.14018391313463296</v>
      </c>
      <c r="AK588">
        <v>0.11465077261204182</v>
      </c>
      <c r="AL588">
        <v>5.2049784326254289E-2</v>
      </c>
      <c r="AM588">
        <v>1.0324394991745534E-2</v>
      </c>
      <c r="AN588">
        <v>8.2788463881942276E-2</v>
      </c>
      <c r="AO588">
        <v>9.2735931307119657E-2</v>
      </c>
      <c r="AR588">
        <v>9.5615130077220112E-4</v>
      </c>
      <c r="AS588">
        <v>4.6162398695616114E-3</v>
      </c>
      <c r="AT588">
        <v>4.7945289748119561E-3</v>
      </c>
      <c r="AU588">
        <v>1.9818763529633331E-3</v>
      </c>
      <c r="AV588">
        <v>1.9081130475444832E-3</v>
      </c>
      <c r="AW588">
        <v>3.2147476829980262E-3</v>
      </c>
      <c r="AX588">
        <v>3.8175065772638164E-4</v>
      </c>
      <c r="AY588">
        <v>5.0930335856558262E-4</v>
      </c>
      <c r="BB588">
        <v>6.6910552690225056E-2</v>
      </c>
      <c r="BC588">
        <v>5.3810944215575751E-2</v>
      </c>
      <c r="BE588">
        <v>68706.20011195002</v>
      </c>
      <c r="BF588">
        <v>17.527354221740669</v>
      </c>
      <c r="BG588">
        <v>70188.681436567014</v>
      </c>
      <c r="BH588">
        <v>17.481417366313519</v>
      </c>
      <c r="BI588">
        <v>-1482.4813246169942</v>
      </c>
      <c r="BJ588">
        <v>4.5936855427150647E-2</v>
      </c>
    </row>
    <row r="589" spans="3:62" x14ac:dyDescent="0.2">
      <c r="C589" s="121">
        <v>68758.940984907429</v>
      </c>
      <c r="D589">
        <v>17.112035783673981</v>
      </c>
      <c r="E589" s="121">
        <v>70567.309213365006</v>
      </c>
      <c r="F589" s="121">
        <v>16.988976231054775</v>
      </c>
      <c r="G589" s="121">
        <v>-1808.3682284575771</v>
      </c>
      <c r="H589" s="121">
        <v>0.12305955261920687</v>
      </c>
      <c r="N589" s="121"/>
      <c r="O589" s="121"/>
      <c r="P589" s="121"/>
      <c r="R589">
        <v>131.72383353596828</v>
      </c>
      <c r="S589">
        <v>67.323405976175835</v>
      </c>
      <c r="T589">
        <v>224.68287514289295</v>
      </c>
      <c r="U589">
        <v>98.107309109586566</v>
      </c>
      <c r="X589">
        <v>0.63254764880672298</v>
      </c>
      <c r="Y589">
        <v>0.61955794352757099</v>
      </c>
      <c r="Z589">
        <v>0.7902887205465241</v>
      </c>
      <c r="AA589">
        <v>0.70876345162430376</v>
      </c>
      <c r="AB589">
        <v>0.74054644076274312</v>
      </c>
      <c r="AC589">
        <v>0.82990707858351476</v>
      </c>
      <c r="AD589">
        <v>0.64330634273888954</v>
      </c>
      <c r="AE589">
        <v>0.74399580874099192</v>
      </c>
      <c r="AH589">
        <v>0.13387195521538642</v>
      </c>
      <c r="AI589">
        <v>0.12662230573596711</v>
      </c>
      <c r="AJ589">
        <v>0.28829841264944822</v>
      </c>
      <c r="AK589">
        <v>0.15066889023969032</v>
      </c>
      <c r="AL589">
        <v>2.2789619924928117E-2</v>
      </c>
      <c r="AM589">
        <v>0.1447991783489404</v>
      </c>
      <c r="AN589">
        <v>0.33982837659788323</v>
      </c>
      <c r="AO589">
        <v>0.19692081891879787</v>
      </c>
      <c r="AR589">
        <v>8.0282226543571683E-4</v>
      </c>
      <c r="AS589">
        <v>4.3790963819496853E-3</v>
      </c>
      <c r="AT589">
        <v>4.8907383115687616E-3</v>
      </c>
      <c r="AU589">
        <v>1.9431474188850624E-3</v>
      </c>
      <c r="AV589">
        <v>1.8960096324880235E-3</v>
      </c>
      <c r="AW589">
        <v>3.4108093127397376E-3</v>
      </c>
      <c r="AX589">
        <v>4.2459741958733588E-4</v>
      </c>
      <c r="AY589">
        <v>3.6905717711492288E-4</v>
      </c>
      <c r="BB589">
        <v>5.0284057165411844E-2</v>
      </c>
      <c r="BC589">
        <v>8.2463409984880331E-2</v>
      </c>
      <c r="BE589">
        <v>68758.940984907429</v>
      </c>
      <c r="BF589">
        <v>17.112035783673981</v>
      </c>
      <c r="BG589">
        <v>70567.309213365006</v>
      </c>
      <c r="BH589">
        <v>16.988976231054775</v>
      </c>
      <c r="BI589">
        <v>-1808.3682284575771</v>
      </c>
      <c r="BJ589">
        <v>0.12305955261920687</v>
      </c>
    </row>
    <row r="590" spans="3:62" x14ac:dyDescent="0.2">
      <c r="C590" s="121">
        <v>68542.685462849317</v>
      </c>
      <c r="D590">
        <v>18.025354900922938</v>
      </c>
      <c r="E590" s="121">
        <v>70185.888136927111</v>
      </c>
      <c r="F590" s="121">
        <v>17.893770482765504</v>
      </c>
      <c r="G590" s="121">
        <v>-1643.2026740777947</v>
      </c>
      <c r="H590" s="121">
        <v>0.13158441815743416</v>
      </c>
      <c r="N590" s="121"/>
      <c r="O590" s="121"/>
      <c r="P590" s="121"/>
      <c r="R590">
        <v>245.6310323711044</v>
      </c>
      <c r="S590">
        <v>65.390593594132227</v>
      </c>
      <c r="T590">
        <v>234.91540392050197</v>
      </c>
      <c r="U590">
        <v>95.167925274432719</v>
      </c>
      <c r="X590">
        <v>0.64514709352608057</v>
      </c>
      <c r="Y590">
        <v>0.77848572785775305</v>
      </c>
      <c r="Z590">
        <v>0.70419211619039646</v>
      </c>
      <c r="AA590">
        <v>0.78842536847781131</v>
      </c>
      <c r="AB590">
        <v>0.49647455851957778</v>
      </c>
      <c r="AC590">
        <v>0.57800171311752435</v>
      </c>
      <c r="AD590">
        <v>0.63616078680474719</v>
      </c>
      <c r="AE590">
        <v>0.41222591727823749</v>
      </c>
      <c r="AH590">
        <v>7.069116991661617E-2</v>
      </c>
      <c r="AI590">
        <v>0.18507049600558878</v>
      </c>
      <c r="AJ590">
        <v>5.7753366931238448E-2</v>
      </c>
      <c r="AK590">
        <v>0.26306558609268327</v>
      </c>
      <c r="AL590">
        <v>0.19041874344684329</v>
      </c>
      <c r="AM590">
        <v>7.5053900368342585E-2</v>
      </c>
      <c r="AN590">
        <v>0.19365267985205326</v>
      </c>
      <c r="AO590">
        <v>5.9732064065789015E-2</v>
      </c>
      <c r="AR590">
        <v>9.2282236491114666E-4</v>
      </c>
      <c r="AS590">
        <v>4.4621416571377472E-3</v>
      </c>
      <c r="AT590">
        <v>4.5922371119247688E-3</v>
      </c>
      <c r="AU590">
        <v>2.2231370373675396E-3</v>
      </c>
      <c r="AV590">
        <v>2.0876399472883334E-3</v>
      </c>
      <c r="AW590">
        <v>3.5758759178962096E-3</v>
      </c>
      <c r="AX590">
        <v>3.646090015906515E-4</v>
      </c>
      <c r="AY590">
        <v>3.9510806009340364E-4</v>
      </c>
      <c r="BB590">
        <v>4.4116436068826925E-2</v>
      </c>
      <c r="BC590">
        <v>5.6279006036792478E-2</v>
      </c>
      <c r="BE590">
        <v>68542.685462849317</v>
      </c>
      <c r="BF590">
        <v>18.025354900922938</v>
      </c>
      <c r="BG590">
        <v>70185.888136927111</v>
      </c>
      <c r="BH590">
        <v>17.893770482765504</v>
      </c>
      <c r="BI590">
        <v>-1643.2026740777947</v>
      </c>
      <c r="BJ590">
        <v>0.13158441815743416</v>
      </c>
    </row>
    <row r="591" spans="3:62" x14ac:dyDescent="0.2">
      <c r="C591" s="121">
        <v>73795.225344730381</v>
      </c>
      <c r="D591">
        <v>13.65172568811086</v>
      </c>
      <c r="E591" s="121">
        <v>75545.488079790695</v>
      </c>
      <c r="F591" s="121">
        <v>13.511488117074341</v>
      </c>
      <c r="G591" s="121">
        <v>-1750.2627350603143</v>
      </c>
      <c r="H591" s="121">
        <v>0.14023757103651846</v>
      </c>
      <c r="N591" s="121"/>
      <c r="O591" s="121"/>
      <c r="P591" s="121"/>
      <c r="R591">
        <v>397.24592881363378</v>
      </c>
      <c r="S591">
        <v>61.374814712352538</v>
      </c>
      <c r="T591">
        <v>255.91413111277546</v>
      </c>
      <c r="U591">
        <v>92.38933703239654</v>
      </c>
      <c r="X591">
        <v>0.80428019629428338</v>
      </c>
      <c r="Y591">
        <v>0.6345068936447773</v>
      </c>
      <c r="Z591">
        <v>0.7175003072899605</v>
      </c>
      <c r="AA591">
        <v>0.8423902061782369</v>
      </c>
      <c r="AB591">
        <v>0.96585583672135988</v>
      </c>
      <c r="AC591">
        <v>0.84628381321516266</v>
      </c>
      <c r="AD591">
        <v>0.89775525852833693</v>
      </c>
      <c r="AE591">
        <v>0.69835268876918277</v>
      </c>
      <c r="AH591">
        <v>3.8768709038189408E-2</v>
      </c>
      <c r="AI591">
        <v>0.17749306713526614</v>
      </c>
      <c r="AJ591">
        <v>0.25465412991578473</v>
      </c>
      <c r="AK591">
        <v>6.0302218815885489E-2</v>
      </c>
      <c r="AL591">
        <v>3.9078197252858216E-2</v>
      </c>
      <c r="AM591">
        <v>9.4083625925736492E-2</v>
      </c>
      <c r="AN591">
        <v>0.17280045726164028</v>
      </c>
      <c r="AO591">
        <v>0.21476470412014659</v>
      </c>
      <c r="AR591">
        <v>6.9711227939767216E-4</v>
      </c>
      <c r="AS591">
        <v>4.5953047594821106E-3</v>
      </c>
      <c r="AT591">
        <v>4.9406569581955107E-3</v>
      </c>
      <c r="AU591">
        <v>1.9598850871268966E-3</v>
      </c>
      <c r="AV591">
        <v>2.1732729189698485E-3</v>
      </c>
      <c r="AW591">
        <v>3.512571708792156E-3</v>
      </c>
      <c r="AX591">
        <v>4.8006080634677151E-4</v>
      </c>
      <c r="AY591">
        <v>3.7548318682092795E-4</v>
      </c>
      <c r="BB591">
        <v>5.2415759911728865E-2</v>
      </c>
      <c r="BC591">
        <v>6.722767770101834E-2</v>
      </c>
      <c r="BE591">
        <v>73795.225344730381</v>
      </c>
      <c r="BF591">
        <v>13.65172568811086</v>
      </c>
      <c r="BG591">
        <v>75545.488079790695</v>
      </c>
      <c r="BH591">
        <v>13.511488117074341</v>
      </c>
      <c r="BI591">
        <v>-1750.2627350603143</v>
      </c>
      <c r="BJ591">
        <v>0.14023757103651846</v>
      </c>
    </row>
    <row r="592" spans="3:62" x14ac:dyDescent="0.2">
      <c r="C592" s="121">
        <v>70758.010248185456</v>
      </c>
      <c r="D592">
        <v>17.589585958951517</v>
      </c>
      <c r="E592" s="121">
        <v>72220.785992325895</v>
      </c>
      <c r="F592" s="121">
        <v>17.466714090129031</v>
      </c>
      <c r="G592" s="121">
        <v>-1462.7757441404392</v>
      </c>
      <c r="H592" s="121">
        <v>0.12287186882248591</v>
      </c>
      <c r="N592" s="121"/>
      <c r="O592" s="121"/>
      <c r="P592" s="121"/>
      <c r="R592">
        <v>339.28460791422123</v>
      </c>
      <c r="S592">
        <v>57.031493601709336</v>
      </c>
      <c r="T592">
        <v>250.98494707560283</v>
      </c>
      <c r="U592">
        <v>79.392241749178865</v>
      </c>
      <c r="X592">
        <v>0.63507250228471401</v>
      </c>
      <c r="Y592">
        <v>0.65703326488852987</v>
      </c>
      <c r="Z592">
        <v>0.85647601952305286</v>
      </c>
      <c r="AA592">
        <v>0.50143163361797882</v>
      </c>
      <c r="AB592">
        <v>0.84796060507178117</v>
      </c>
      <c r="AC592">
        <v>0.73438365160315744</v>
      </c>
      <c r="AD592">
        <v>0.75537861087216529</v>
      </c>
      <c r="AE592">
        <v>0.80275530437432541</v>
      </c>
      <c r="AH592">
        <v>2.0671581438625464E-2</v>
      </c>
      <c r="AI592">
        <v>0.13325647779760574</v>
      </c>
      <c r="AJ592">
        <v>0.17619920757802676</v>
      </c>
      <c r="AK592">
        <v>6.7508315057677182E-2</v>
      </c>
      <c r="AL592">
        <v>5.800797901603072E-2</v>
      </c>
      <c r="AM592">
        <v>0.15009309510614044</v>
      </c>
      <c r="AN592">
        <v>0.10598350451890148</v>
      </c>
      <c r="AO592">
        <v>0.24276206713088055</v>
      </c>
      <c r="AR592">
        <v>9.259818669399289E-4</v>
      </c>
      <c r="AS592">
        <v>4.3564659911747138E-3</v>
      </c>
      <c r="AT592">
        <v>4.5837597203899818E-3</v>
      </c>
      <c r="AU592">
        <v>1.8465560758787422E-3</v>
      </c>
      <c r="AV592">
        <v>2.347982353327227E-3</v>
      </c>
      <c r="AW592">
        <v>3.672503759848178E-3</v>
      </c>
      <c r="AX592">
        <v>3.2705911920154998E-4</v>
      </c>
      <c r="AY592">
        <v>4.281030255150034E-4</v>
      </c>
      <c r="BB592">
        <v>4.7980585501103755E-2</v>
      </c>
      <c r="BC592">
        <v>2.7378985344870172E-2</v>
      </c>
      <c r="BE592">
        <v>70758.010248185456</v>
      </c>
      <c r="BF592">
        <v>17.589585958951517</v>
      </c>
      <c r="BG592">
        <v>72220.785992325895</v>
      </c>
      <c r="BH592">
        <v>17.466714090129031</v>
      </c>
      <c r="BI592">
        <v>-1462.7757441404392</v>
      </c>
      <c r="BJ592">
        <v>0.12287186882248591</v>
      </c>
    </row>
    <row r="593" spans="3:62" x14ac:dyDescent="0.2">
      <c r="C593" s="121">
        <v>73239.42317586526</v>
      </c>
      <c r="D593">
        <v>16.070479775578576</v>
      </c>
      <c r="E593" s="121">
        <v>75487.30378365342</v>
      </c>
      <c r="F593" s="121">
        <v>15.892621323253742</v>
      </c>
      <c r="G593" s="121">
        <v>-2247.88060778816</v>
      </c>
      <c r="H593" s="121">
        <v>0.1778584523248341</v>
      </c>
      <c r="N593" s="121"/>
      <c r="O593" s="121"/>
      <c r="P593" s="121"/>
      <c r="R593">
        <v>207.91011404014682</v>
      </c>
      <c r="S593">
        <v>70.294415124732865</v>
      </c>
      <c r="T593">
        <v>188.4089222885008</v>
      </c>
      <c r="U593">
        <v>108.67274241347177</v>
      </c>
      <c r="X593">
        <v>0.92623768979856047</v>
      </c>
      <c r="Y593">
        <v>0.91249843816834908</v>
      </c>
      <c r="Z593">
        <v>0.93121837734419222</v>
      </c>
      <c r="AA593">
        <v>0.85958727315827765</v>
      </c>
      <c r="AB593">
        <v>0.58331003307933049</v>
      </c>
      <c r="AC593">
        <v>0.68082713250214666</v>
      </c>
      <c r="AD593">
        <v>0.85974807874676373</v>
      </c>
      <c r="AE593">
        <v>0.74074109656855491</v>
      </c>
      <c r="AH593">
        <v>9.3348294005971999E-2</v>
      </c>
      <c r="AI593">
        <v>3.1078302325339591E-2</v>
      </c>
      <c r="AJ593">
        <v>0.13313687142491459</v>
      </c>
      <c r="AK593">
        <v>0.20700382800850547</v>
      </c>
      <c r="AL593">
        <v>0.16093578383689677</v>
      </c>
      <c r="AM593">
        <v>0.20962671617967055</v>
      </c>
      <c r="AN593">
        <v>7.7551513355254231E-2</v>
      </c>
      <c r="AO593">
        <v>0.18823177132897706</v>
      </c>
      <c r="AR593">
        <v>9.2690657558969214E-4</v>
      </c>
      <c r="AS593">
        <v>4.679611810697093E-3</v>
      </c>
      <c r="AT593">
        <v>4.7941352073265541E-3</v>
      </c>
      <c r="AU593">
        <v>1.7681227317576831E-3</v>
      </c>
      <c r="AV593">
        <v>2.0206483068636594E-3</v>
      </c>
      <c r="AW593">
        <v>3.7393285598736892E-3</v>
      </c>
      <c r="AX593">
        <v>3.8192747860195907E-4</v>
      </c>
      <c r="AY593">
        <v>4.4429743784059301E-4</v>
      </c>
      <c r="BB593">
        <v>4.9779848926831009E-2</v>
      </c>
      <c r="BC593">
        <v>5.7990853600062175E-2</v>
      </c>
      <c r="BE593">
        <v>73239.42317586526</v>
      </c>
      <c r="BF593">
        <v>16.070479775578576</v>
      </c>
      <c r="BG593">
        <v>75487.30378365342</v>
      </c>
      <c r="BH593">
        <v>15.892621323253742</v>
      </c>
      <c r="BI593">
        <v>-2247.88060778816</v>
      </c>
      <c r="BJ593">
        <v>0.1778584523248341</v>
      </c>
    </row>
    <row r="594" spans="3:62" x14ac:dyDescent="0.2">
      <c r="C594" s="121">
        <v>76744.319720018844</v>
      </c>
      <c r="D594">
        <v>14.409866012526418</v>
      </c>
      <c r="E594" s="121">
        <v>77745.097592733815</v>
      </c>
      <c r="F594" s="121">
        <v>14.278136348631392</v>
      </c>
      <c r="G594" s="121">
        <v>-1000.7778727149707</v>
      </c>
      <c r="H594" s="121">
        <v>0.13172966389502605</v>
      </c>
      <c r="N594" s="121"/>
      <c r="O594" s="121"/>
      <c r="P594" s="121"/>
      <c r="R594">
        <v>326.43972099073289</v>
      </c>
      <c r="S594">
        <v>59.069374371297442</v>
      </c>
      <c r="T594">
        <v>218.33333227546811</v>
      </c>
      <c r="U594">
        <v>90.354430598192096</v>
      </c>
      <c r="X594">
        <v>0.80805046190551044</v>
      </c>
      <c r="Y594">
        <v>0.49119037960929102</v>
      </c>
      <c r="Z594">
        <v>0.86482819120625209</v>
      </c>
      <c r="AA594">
        <v>0.45599397210331855</v>
      </c>
      <c r="AB594">
        <v>0.79472565289280528</v>
      </c>
      <c r="AC594">
        <v>0.76777551165220803</v>
      </c>
      <c r="AD594">
        <v>0.88206814877658946</v>
      </c>
      <c r="AE594">
        <v>0.77900141834435566</v>
      </c>
      <c r="AH594">
        <v>0.14205658166140178</v>
      </c>
      <c r="AI594">
        <v>0.2108166317082808</v>
      </c>
      <c r="AJ594">
        <v>4.0094184605339311E-2</v>
      </c>
      <c r="AK594">
        <v>9.6641703843162396E-2</v>
      </c>
      <c r="AL594">
        <v>0.1386562680657053</v>
      </c>
      <c r="AM594">
        <v>0.12929830421201793</v>
      </c>
      <c r="AN594">
        <v>2.9558065279413626E-2</v>
      </c>
      <c r="AO594">
        <v>0.13645659438302726</v>
      </c>
      <c r="AR594">
        <v>8.7220793854547133E-4</v>
      </c>
      <c r="AS594">
        <v>4.5433641125812718E-3</v>
      </c>
      <c r="AT594">
        <v>5.0120117877751058E-3</v>
      </c>
      <c r="AU594">
        <v>1.8604626568009687E-3</v>
      </c>
      <c r="AV594">
        <v>1.8987314025746566E-3</v>
      </c>
      <c r="AW594">
        <v>3.3323271141983638E-3</v>
      </c>
      <c r="AX594">
        <v>4.6161945804379378E-4</v>
      </c>
      <c r="AY594">
        <v>4.0053791828001292E-4</v>
      </c>
      <c r="BB594">
        <v>5.1775651339325379E-2</v>
      </c>
      <c r="BC594">
        <v>3.8664817436873361E-2</v>
      </c>
      <c r="BE594">
        <v>76744.319720018844</v>
      </c>
      <c r="BF594">
        <v>14.409866012526418</v>
      </c>
      <c r="BG594">
        <v>77745.097592733815</v>
      </c>
      <c r="BH594">
        <v>14.278136348631392</v>
      </c>
      <c r="BI594">
        <v>-1000.7778727149707</v>
      </c>
      <c r="BJ594">
        <v>0.13172966389502605</v>
      </c>
    </row>
    <row r="595" spans="3:62" x14ac:dyDescent="0.2">
      <c r="C595" s="121">
        <v>70938.103645254261</v>
      </c>
      <c r="D595">
        <v>17.033670133153329</v>
      </c>
      <c r="E595" s="121">
        <v>72403.793301373546</v>
      </c>
      <c r="F595" s="121">
        <v>16.900919341571196</v>
      </c>
      <c r="G595" s="121">
        <v>-1465.6896561192843</v>
      </c>
      <c r="H595" s="121">
        <v>0.13275079158213288</v>
      </c>
      <c r="N595" s="121"/>
      <c r="O595" s="121"/>
      <c r="P595" s="121"/>
      <c r="R595">
        <v>221.45954011590959</v>
      </c>
      <c r="S595">
        <v>54.321321674874142</v>
      </c>
      <c r="T595">
        <v>252.50149789094303</v>
      </c>
      <c r="U595">
        <v>88.647246465906406</v>
      </c>
      <c r="X595">
        <v>0.85131703021436267</v>
      </c>
      <c r="Y595">
        <v>0.89474144532607514</v>
      </c>
      <c r="Z595">
        <v>0.44485323685788825</v>
      </c>
      <c r="AA595">
        <v>0.85799274747530196</v>
      </c>
      <c r="AB595">
        <v>0.5842055797921335</v>
      </c>
      <c r="AC595">
        <v>0.59258491607566588</v>
      </c>
      <c r="AD595">
        <v>0.92878189442290093</v>
      </c>
      <c r="AE595">
        <v>0.76142683623076579</v>
      </c>
      <c r="AH595">
        <v>0.20552059843937842</v>
      </c>
      <c r="AI595">
        <v>3.2690418967739832E-2</v>
      </c>
      <c r="AJ595">
        <v>0.13812269349363315</v>
      </c>
      <c r="AK595">
        <v>0.23766650073598095</v>
      </c>
      <c r="AL595">
        <v>0.29440577725027728</v>
      </c>
      <c r="AM595">
        <v>0.25156853876474694</v>
      </c>
      <c r="AN595">
        <v>0.18764849965278307</v>
      </c>
      <c r="AO595">
        <v>0.15749084012650949</v>
      </c>
      <c r="AR595">
        <v>8.3038598682656805E-4</v>
      </c>
      <c r="AS595">
        <v>4.6646236142660058E-3</v>
      </c>
      <c r="AT595">
        <v>5.1693503723766465E-3</v>
      </c>
      <c r="AU595">
        <v>1.8451289169455814E-3</v>
      </c>
      <c r="AV595">
        <v>1.9944421790759302E-3</v>
      </c>
      <c r="AW595">
        <v>3.5351512024699439E-3</v>
      </c>
      <c r="AX595">
        <v>3.9353593244516761E-4</v>
      </c>
      <c r="AY595">
        <v>4.8126591621433512E-4</v>
      </c>
      <c r="BB595">
        <v>5.6609876447655139E-2</v>
      </c>
      <c r="BC595">
        <v>3.0265578663955101E-2</v>
      </c>
      <c r="BE595">
        <v>70938.103645254261</v>
      </c>
      <c r="BF595">
        <v>17.033670133153329</v>
      </c>
      <c r="BG595">
        <v>72403.793301373546</v>
      </c>
      <c r="BH595">
        <v>16.900919341571196</v>
      </c>
      <c r="BI595">
        <v>-1465.6896561192843</v>
      </c>
      <c r="BJ595">
        <v>0.13275079158213288</v>
      </c>
    </row>
    <row r="596" spans="3:62" x14ac:dyDescent="0.2">
      <c r="C596" s="121">
        <v>73628.189126546713</v>
      </c>
      <c r="D596">
        <v>16.092836212904071</v>
      </c>
      <c r="E596" s="121">
        <v>74812.729784463343</v>
      </c>
      <c r="F596" s="121">
        <v>15.993159857322624</v>
      </c>
      <c r="G596" s="121">
        <v>-1184.5406579166302</v>
      </c>
      <c r="H596" s="121">
        <v>9.9676355581447496E-2</v>
      </c>
      <c r="N596" s="121"/>
      <c r="O596" s="121"/>
      <c r="P596" s="121"/>
      <c r="R596">
        <v>233.60812741978819</v>
      </c>
      <c r="S596">
        <v>58.556944448717509</v>
      </c>
      <c r="T596">
        <v>288.1440129921769</v>
      </c>
      <c r="U596">
        <v>116.93633297842372</v>
      </c>
      <c r="X596">
        <v>0.66978683374975156</v>
      </c>
      <c r="Y596">
        <v>0.77840885390672754</v>
      </c>
      <c r="Z596">
        <v>0.90027561061955952</v>
      </c>
      <c r="AA596">
        <v>0.56314592616270898</v>
      </c>
      <c r="AB596">
        <v>0.79820784461413119</v>
      </c>
      <c r="AC596">
        <v>0.78210854002093166</v>
      </c>
      <c r="AD596">
        <v>0.84074705027756791</v>
      </c>
      <c r="AE596">
        <v>0.78010861290349687</v>
      </c>
      <c r="AH596">
        <v>6.2490982804173756E-2</v>
      </c>
      <c r="AI596">
        <v>4.3745280214257498E-2</v>
      </c>
      <c r="AJ596">
        <v>0.10262166743353995</v>
      </c>
      <c r="AK596">
        <v>6.2370919441767203E-2</v>
      </c>
      <c r="AL596">
        <v>0.13660832789685862</v>
      </c>
      <c r="AM596">
        <v>6.0607246705185469E-2</v>
      </c>
      <c r="AN596">
        <v>0.14908951998440667</v>
      </c>
      <c r="AO596">
        <v>0.18514561716309186</v>
      </c>
      <c r="AR596">
        <v>9.6892973693085693E-4</v>
      </c>
      <c r="AS596">
        <v>4.4507944477349924E-3</v>
      </c>
      <c r="AT596">
        <v>4.9962264113905253E-3</v>
      </c>
      <c r="AU596">
        <v>1.9572153924892551E-3</v>
      </c>
      <c r="AV596">
        <v>1.8368183561123107E-3</v>
      </c>
      <c r="AW596">
        <v>3.7080668444382514E-3</v>
      </c>
      <c r="AX596">
        <v>4.311905669013294E-4</v>
      </c>
      <c r="AY596">
        <v>3.8786490915620136E-4</v>
      </c>
      <c r="BB596">
        <v>5.0125960233441735E-2</v>
      </c>
      <c r="BC596">
        <v>5.1878427496170776E-2</v>
      </c>
      <c r="BE596">
        <v>73628.189126546713</v>
      </c>
      <c r="BF596">
        <v>16.092836212904071</v>
      </c>
      <c r="BG596">
        <v>74812.729784463343</v>
      </c>
      <c r="BH596">
        <v>15.993159857322624</v>
      </c>
      <c r="BI596">
        <v>-1184.5406579166302</v>
      </c>
      <c r="BJ596">
        <v>9.9676355581447496E-2</v>
      </c>
    </row>
    <row r="597" spans="3:62" x14ac:dyDescent="0.2">
      <c r="C597" s="121">
        <v>65504.213252756956</v>
      </c>
      <c r="D597">
        <v>17.997463117801736</v>
      </c>
      <c r="E597" s="121">
        <v>66723.595867404088</v>
      </c>
      <c r="F597" s="121">
        <v>17.908633178700107</v>
      </c>
      <c r="G597" s="121">
        <v>-1219.3826146471329</v>
      </c>
      <c r="H597" s="121">
        <v>8.8829939101628952E-2</v>
      </c>
      <c r="N597" s="121"/>
      <c r="O597" s="121"/>
      <c r="P597" s="121"/>
      <c r="R597">
        <v>403.24474693977112</v>
      </c>
      <c r="S597">
        <v>75.168802668740923</v>
      </c>
      <c r="T597">
        <v>263.77863856936074</v>
      </c>
      <c r="U597">
        <v>93.907376340899731</v>
      </c>
      <c r="X597">
        <v>0.67538995623743603</v>
      </c>
      <c r="Y597">
        <v>0.7527605931181478</v>
      </c>
      <c r="Z597">
        <v>0.79800499851095275</v>
      </c>
      <c r="AA597">
        <v>0.82236138191558783</v>
      </c>
      <c r="AB597">
        <v>0.87313660812841376</v>
      </c>
      <c r="AC597">
        <v>0.78528534585837495</v>
      </c>
      <c r="AD597">
        <v>0.6233521114217363</v>
      </c>
      <c r="AE597">
        <v>0.77535178220769563</v>
      </c>
      <c r="AH597">
        <v>0.30452700959458223</v>
      </c>
      <c r="AI597">
        <v>0.10280103995156475</v>
      </c>
      <c r="AJ597">
        <v>5.4961218257615574E-2</v>
      </c>
      <c r="AK597">
        <v>8.6883767259021916E-2</v>
      </c>
      <c r="AL597">
        <v>0.20216824879490447</v>
      </c>
      <c r="AM597">
        <v>0.13029143134107124</v>
      </c>
      <c r="AN597">
        <v>0.26311057352987988</v>
      </c>
      <c r="AO597">
        <v>4.3185910549853768E-2</v>
      </c>
      <c r="AR597">
        <v>9.539215480012242E-4</v>
      </c>
      <c r="AS597">
        <v>4.4257966884188741E-3</v>
      </c>
      <c r="AT597">
        <v>4.797366218045958E-3</v>
      </c>
      <c r="AU597">
        <v>2.0124797767449021E-3</v>
      </c>
      <c r="AV597">
        <v>2.2497996600638892E-3</v>
      </c>
      <c r="AW597">
        <v>3.5567019489050056E-3</v>
      </c>
      <c r="AX597">
        <v>4.1164624326006649E-4</v>
      </c>
      <c r="AY597">
        <v>4.4180792180611463E-4</v>
      </c>
      <c r="BB597">
        <v>5.1568191202466362E-2</v>
      </c>
      <c r="BC597">
        <v>5.5666171920037311E-2</v>
      </c>
      <c r="BE597">
        <v>65504.213252756956</v>
      </c>
      <c r="BF597">
        <v>17.997463117801736</v>
      </c>
      <c r="BG597">
        <v>66723.595867404088</v>
      </c>
      <c r="BH597">
        <v>17.908633178700107</v>
      </c>
      <c r="BI597">
        <v>-1219.3826146471329</v>
      </c>
      <c r="BJ597">
        <v>8.8829939101628952E-2</v>
      </c>
    </row>
    <row r="598" spans="3:62" x14ac:dyDescent="0.2">
      <c r="C598" s="121">
        <v>70345.280582377964</v>
      </c>
      <c r="D598">
        <v>15.894651009706466</v>
      </c>
      <c r="E598" s="121">
        <v>72141.343494996137</v>
      </c>
      <c r="F598" s="121">
        <v>15.740222896022781</v>
      </c>
      <c r="G598" s="121">
        <v>-1796.0629126181739</v>
      </c>
      <c r="H598" s="121">
        <v>0.15442811368368581</v>
      </c>
      <c r="N598" s="121"/>
      <c r="O598" s="121"/>
      <c r="P598" s="121"/>
      <c r="R598">
        <v>357.41153832579369</v>
      </c>
      <c r="S598">
        <v>53.302753815566561</v>
      </c>
      <c r="T598">
        <v>245.11925669896601</v>
      </c>
      <c r="U598">
        <v>107.30458148149073</v>
      </c>
      <c r="X598">
        <v>0.55522789466645173</v>
      </c>
      <c r="Y598">
        <v>0.74250528569508123</v>
      </c>
      <c r="Z598">
        <v>0.57066825296315071</v>
      </c>
      <c r="AA598">
        <v>0.9223194814004636</v>
      </c>
      <c r="AB598">
        <v>0.68019954170808539</v>
      </c>
      <c r="AC598">
        <v>0.70738056992646992</v>
      </c>
      <c r="AD598">
        <v>0.79996908415582069</v>
      </c>
      <c r="AE598">
        <v>0.63694166384285533</v>
      </c>
      <c r="AH598">
        <v>6.1343491234614023E-2</v>
      </c>
      <c r="AI598">
        <v>0.16403815164120761</v>
      </c>
      <c r="AJ598">
        <v>0.12956308436924224</v>
      </c>
      <c r="AK598">
        <v>6.8653754977986203E-2</v>
      </c>
      <c r="AL598">
        <v>4.8287724030433576E-2</v>
      </c>
      <c r="AM598">
        <v>8.8882631518342303E-2</v>
      </c>
      <c r="AN598">
        <v>0.11185414539561145</v>
      </c>
      <c r="AO598">
        <v>5.2201491162819247E-2</v>
      </c>
      <c r="AR598">
        <v>9.7975824167040315E-4</v>
      </c>
      <c r="AS598">
        <v>4.6722176788417391E-3</v>
      </c>
      <c r="AT598">
        <v>5.2490664551203547E-3</v>
      </c>
      <c r="AU598">
        <v>2.063788721777926E-3</v>
      </c>
      <c r="AV598">
        <v>1.9674603742196885E-3</v>
      </c>
      <c r="AW598">
        <v>3.2556229058251355E-3</v>
      </c>
      <c r="AX598">
        <v>3.4255397162219925E-4</v>
      </c>
      <c r="AY598">
        <v>5.1284936217821375E-4</v>
      </c>
      <c r="BB598">
        <v>5.0925343568100745E-2</v>
      </c>
      <c r="BC598">
        <v>0.11693568915167785</v>
      </c>
      <c r="BE598">
        <v>70345.280582377964</v>
      </c>
      <c r="BF598">
        <v>15.894651009706466</v>
      </c>
      <c r="BG598">
        <v>72141.343494996137</v>
      </c>
      <c r="BH598">
        <v>15.740222896022781</v>
      </c>
      <c r="BI598">
        <v>-1796.0629126181739</v>
      </c>
      <c r="BJ598">
        <v>0.15442811368368581</v>
      </c>
    </row>
    <row r="599" spans="3:62" x14ac:dyDescent="0.2">
      <c r="C599" s="121">
        <v>70738.616673171302</v>
      </c>
      <c r="D599">
        <v>16.139225448603771</v>
      </c>
      <c r="E599" s="121">
        <v>73221.512240831304</v>
      </c>
      <c r="F599" s="121">
        <v>15.966021870757718</v>
      </c>
      <c r="G599" s="121">
        <v>-2482.8955676600017</v>
      </c>
      <c r="H599" s="121">
        <v>0.17320357784605278</v>
      </c>
      <c r="N599" s="121"/>
      <c r="O599" s="121"/>
      <c r="P599" s="121"/>
      <c r="R599">
        <v>213.92270459379762</v>
      </c>
      <c r="S599">
        <v>56.027783589135275</v>
      </c>
      <c r="T599">
        <v>264.03354930655695</v>
      </c>
      <c r="U599">
        <v>92.511108731546116</v>
      </c>
      <c r="X599">
        <v>0.91284409900385799</v>
      </c>
      <c r="Y599">
        <v>0.71392479554575983</v>
      </c>
      <c r="Z599">
        <v>0.81496815514215437</v>
      </c>
      <c r="AA599">
        <v>0.69548048787101557</v>
      </c>
      <c r="AB599">
        <v>0.54714008164003458</v>
      </c>
      <c r="AC599">
        <v>0.61485797049742363</v>
      </c>
      <c r="AD599">
        <v>0.72987271292741707</v>
      </c>
      <c r="AE599">
        <v>0.57960587650064466</v>
      </c>
      <c r="AH599">
        <v>2.4069384097604507E-2</v>
      </c>
      <c r="AI599">
        <v>0.27873421146937771</v>
      </c>
      <c r="AJ599">
        <v>0.13249962518975078</v>
      </c>
      <c r="AK599">
        <v>7.2948580907802318E-2</v>
      </c>
      <c r="AL599">
        <v>0.11068766136717345</v>
      </c>
      <c r="AM599">
        <v>0.10876521702624375</v>
      </c>
      <c r="AN599">
        <v>0.13880829538345585</v>
      </c>
      <c r="AO599">
        <v>3.4940908397989245E-2</v>
      </c>
      <c r="AR599">
        <v>8.0670625838776889E-4</v>
      </c>
      <c r="AS599">
        <v>4.9247687183644473E-3</v>
      </c>
      <c r="AT599">
        <v>4.8587498246528025E-3</v>
      </c>
      <c r="AU599">
        <v>2.0541472869703981E-3</v>
      </c>
      <c r="AV599">
        <v>1.7329003761374527E-3</v>
      </c>
      <c r="AW599">
        <v>3.2555423440547497E-3</v>
      </c>
      <c r="AX599">
        <v>3.3811472723960787E-4</v>
      </c>
      <c r="AY599">
        <v>3.7166459856632618E-4</v>
      </c>
      <c r="BB599">
        <v>5.002589464816054E-2</v>
      </c>
      <c r="BC599">
        <v>7.1157453468620235E-2</v>
      </c>
      <c r="BE599">
        <v>70738.616673171302</v>
      </c>
      <c r="BF599">
        <v>16.139225448603771</v>
      </c>
      <c r="BG599">
        <v>73221.512240831304</v>
      </c>
      <c r="BH599">
        <v>15.966021870757718</v>
      </c>
      <c r="BI599">
        <v>-2482.8955676600017</v>
      </c>
      <c r="BJ599">
        <v>0.17320357784605278</v>
      </c>
    </row>
    <row r="600" spans="3:62" x14ac:dyDescent="0.2">
      <c r="C600" s="121">
        <v>70605.33271827898</v>
      </c>
      <c r="D600">
        <v>17.498045060841413</v>
      </c>
      <c r="E600" s="121">
        <v>72609.69084882873</v>
      </c>
      <c r="F600" s="121">
        <v>17.338747935249838</v>
      </c>
      <c r="G600" s="121">
        <v>-2004.3581305497501</v>
      </c>
      <c r="H600" s="121">
        <v>0.15929712559157494</v>
      </c>
      <c r="N600" s="121"/>
      <c r="O600" s="121"/>
      <c r="P600" s="121"/>
      <c r="R600">
        <v>348.30763829957044</v>
      </c>
      <c r="S600">
        <v>52.629793464849833</v>
      </c>
      <c r="T600">
        <v>240.25790699825706</v>
      </c>
      <c r="U600">
        <v>98.045525559524975</v>
      </c>
      <c r="X600">
        <v>0.67127057884219676</v>
      </c>
      <c r="Y600">
        <v>0.53392661347763726</v>
      </c>
      <c r="Z600">
        <v>0.75669064509171124</v>
      </c>
      <c r="AA600">
        <v>0.57522055386165372</v>
      </c>
      <c r="AB600">
        <v>0.93942148373490575</v>
      </c>
      <c r="AC600">
        <v>0.80986081364325246</v>
      </c>
      <c r="AD600">
        <v>0.60810983801488805</v>
      </c>
      <c r="AE600">
        <v>0.92510056337028512</v>
      </c>
      <c r="AH600">
        <v>5.6760929782536329E-2</v>
      </c>
      <c r="AI600">
        <v>0.30390020776171167</v>
      </c>
      <c r="AJ600">
        <v>7.9176998363925666E-2</v>
      </c>
      <c r="AK600">
        <v>6.8884588535914282E-2</v>
      </c>
      <c r="AL600">
        <v>0.14418692144625755</v>
      </c>
      <c r="AM600">
        <v>0.17534305354700164</v>
      </c>
      <c r="AN600">
        <v>1.0011538675153475E-2</v>
      </c>
      <c r="AO600">
        <v>0.10968115787355359</v>
      </c>
      <c r="AR600">
        <v>9.7745269211912955E-4</v>
      </c>
      <c r="AS600">
        <v>4.2214466319203904E-3</v>
      </c>
      <c r="AT600">
        <v>4.8817478489977095E-3</v>
      </c>
      <c r="AU600">
        <v>1.9243507981597803E-3</v>
      </c>
      <c r="AV600">
        <v>1.9255584763286024E-3</v>
      </c>
      <c r="AW600">
        <v>3.6574289241574354E-3</v>
      </c>
      <c r="AX600">
        <v>4.2940488393428122E-4</v>
      </c>
      <c r="AY600">
        <v>5.3824293492210629E-4</v>
      </c>
      <c r="BB600">
        <v>4.1916530666550031E-2</v>
      </c>
      <c r="BC600">
        <v>6.905088142892124E-2</v>
      </c>
      <c r="BE600">
        <v>70605.33271827898</v>
      </c>
      <c r="BF600">
        <v>17.498045060841413</v>
      </c>
      <c r="BG600">
        <v>72609.69084882873</v>
      </c>
      <c r="BH600">
        <v>17.338747935249838</v>
      </c>
      <c r="BI600">
        <v>-2004.3581305497501</v>
      </c>
      <c r="BJ600">
        <v>0.15929712559157494</v>
      </c>
    </row>
    <row r="601" spans="3:62" x14ac:dyDescent="0.2">
      <c r="C601" s="121">
        <v>66003.175139934669</v>
      </c>
      <c r="D601">
        <v>18.790039176570748</v>
      </c>
      <c r="E601" s="121">
        <v>67894.178323611719</v>
      </c>
      <c r="F601" s="121">
        <v>18.694121467463003</v>
      </c>
      <c r="G601" s="121">
        <v>-1891.0031836770504</v>
      </c>
      <c r="H601" s="121">
        <v>9.5917709107744997E-2</v>
      </c>
      <c r="N601" s="121"/>
      <c r="O601" s="121"/>
      <c r="P601" s="121"/>
      <c r="R601">
        <v>177.16489262959558</v>
      </c>
      <c r="S601">
        <v>68.223759446416153</v>
      </c>
      <c r="T601">
        <v>277.5261005711202</v>
      </c>
      <c r="U601">
        <v>88.556388560636108</v>
      </c>
      <c r="X601">
        <v>0.83783528126779239</v>
      </c>
      <c r="Y601">
        <v>0.93543721913006328</v>
      </c>
      <c r="Z601">
        <v>0.68084640721980272</v>
      </c>
      <c r="AA601">
        <v>0.56046081805800041</v>
      </c>
      <c r="AB601">
        <v>0.77907963082548637</v>
      </c>
      <c r="AC601">
        <v>0.74702197530895531</v>
      </c>
      <c r="AD601">
        <v>0.89784787560935619</v>
      </c>
      <c r="AE601">
        <v>0.50369027342763761</v>
      </c>
      <c r="AH601">
        <v>0.15282584265028931</v>
      </c>
      <c r="AI601">
        <v>8.2886355770332765E-2</v>
      </c>
      <c r="AJ601">
        <v>5.4058678250017866E-2</v>
      </c>
      <c r="AK601">
        <v>7.9358191025601155E-2</v>
      </c>
      <c r="AL601">
        <v>3.3847692249962313E-2</v>
      </c>
      <c r="AM601">
        <v>0.13235372854846073</v>
      </c>
      <c r="AN601">
        <v>9.4092227180060384E-2</v>
      </c>
      <c r="AO601">
        <v>6.6968407141102526E-2</v>
      </c>
      <c r="AR601">
        <v>7.8326859835832062E-4</v>
      </c>
      <c r="AS601">
        <v>4.7358135659578693E-3</v>
      </c>
      <c r="AT601">
        <v>4.8409955114886091E-3</v>
      </c>
      <c r="AU601">
        <v>2.000375813518751E-3</v>
      </c>
      <c r="AV601">
        <v>1.8535561231678044E-3</v>
      </c>
      <c r="AW601">
        <v>3.8965873098062431E-3</v>
      </c>
      <c r="AX601">
        <v>4.4567576993459479E-4</v>
      </c>
      <c r="AY601">
        <v>4.363606833200826E-4</v>
      </c>
      <c r="BB601">
        <v>4.4159736378960653E-2</v>
      </c>
      <c r="BC601">
        <v>6.2057794103491992E-2</v>
      </c>
      <c r="BE601">
        <v>66003.175139934669</v>
      </c>
      <c r="BF601">
        <v>18.790039176570748</v>
      </c>
      <c r="BG601">
        <v>67894.178323611719</v>
      </c>
      <c r="BH601">
        <v>18.694121467463003</v>
      </c>
      <c r="BI601">
        <v>-1891.0031836770504</v>
      </c>
      <c r="BJ601">
        <v>9.5917709107744997E-2</v>
      </c>
    </row>
    <row r="602" spans="3:62" x14ac:dyDescent="0.2">
      <c r="C602" s="121">
        <v>70494.274797106293</v>
      </c>
      <c r="D602">
        <v>16.840499273770146</v>
      </c>
      <c r="E602" s="121">
        <v>72253.54523711509</v>
      </c>
      <c r="F602" s="121">
        <v>16.763909284041301</v>
      </c>
      <c r="G602" s="121">
        <v>-1759.2704400087969</v>
      </c>
      <c r="H602" s="121">
        <v>7.6589989728844898E-2</v>
      </c>
      <c r="N602" s="121"/>
      <c r="O602" s="121"/>
      <c r="P602" s="121"/>
      <c r="R602">
        <v>215.73660119316639</v>
      </c>
      <c r="S602">
        <v>62.336070542701286</v>
      </c>
      <c r="T602">
        <v>245.83439498290647</v>
      </c>
      <c r="U602">
        <v>79.798396366935961</v>
      </c>
      <c r="X602">
        <v>0.89087842099061088</v>
      </c>
      <c r="Y602">
        <v>0.87354489018350534</v>
      </c>
      <c r="Z602">
        <v>0.67405827647175853</v>
      </c>
      <c r="AA602">
        <v>0.76225766360408864</v>
      </c>
      <c r="AB602">
        <v>0.62266010120579562</v>
      </c>
      <c r="AC602">
        <v>0.79037253308821653</v>
      </c>
      <c r="AD602">
        <v>0.92226289881102663</v>
      </c>
      <c r="AE602">
        <v>0.89149989001849228</v>
      </c>
      <c r="AH602">
        <v>0.1212161511165547</v>
      </c>
      <c r="AI602">
        <v>0.18793360865665298</v>
      </c>
      <c r="AJ602">
        <v>0.13174319977302151</v>
      </c>
      <c r="AK602">
        <v>6.0236681487418897E-2</v>
      </c>
      <c r="AL602">
        <v>0.18030201853833661</v>
      </c>
      <c r="AM602">
        <v>2.5975859179823813E-2</v>
      </c>
      <c r="AN602">
        <v>6.9054279552069775E-2</v>
      </c>
      <c r="AO602">
        <v>0.35902268541895499</v>
      </c>
      <c r="AR602">
        <v>9.559110595677156E-4</v>
      </c>
      <c r="AS602">
        <v>4.8738264023627798E-3</v>
      </c>
      <c r="AT602">
        <v>5.0383580523181148E-3</v>
      </c>
      <c r="AU602">
        <v>1.9458616395478766E-3</v>
      </c>
      <c r="AV602">
        <v>2.01585041835739E-3</v>
      </c>
      <c r="AW602">
        <v>3.5151499907006833E-3</v>
      </c>
      <c r="AX602">
        <v>4.5190344937273697E-4</v>
      </c>
      <c r="AY602">
        <v>4.486538498368331E-4</v>
      </c>
      <c r="BB602">
        <v>5.1157668076070362E-2</v>
      </c>
      <c r="BC602">
        <v>4.1797730470244661E-2</v>
      </c>
      <c r="BE602">
        <v>70494.274797106293</v>
      </c>
      <c r="BF602">
        <v>16.840499273770146</v>
      </c>
      <c r="BG602">
        <v>72253.54523711509</v>
      </c>
      <c r="BH602">
        <v>16.763909284041301</v>
      </c>
      <c r="BI602">
        <v>-1759.2704400087969</v>
      </c>
      <c r="BJ602">
        <v>7.6589989728844898E-2</v>
      </c>
    </row>
    <row r="603" spans="3:62" x14ac:dyDescent="0.2">
      <c r="C603" s="121">
        <v>73159.269995256662</v>
      </c>
      <c r="D603">
        <v>14.126730056827606</v>
      </c>
      <c r="E603" s="121">
        <v>74454.246609439491</v>
      </c>
      <c r="F603" s="121">
        <v>14.013411772684732</v>
      </c>
      <c r="G603" s="121">
        <v>-1294.9766141828295</v>
      </c>
      <c r="H603" s="121">
        <v>0.11331828414287415</v>
      </c>
      <c r="N603" s="121"/>
      <c r="O603" s="121"/>
      <c r="P603" s="121"/>
      <c r="R603">
        <v>158.08210106140299</v>
      </c>
      <c r="S603">
        <v>63.232538883586663</v>
      </c>
      <c r="T603">
        <v>243.46726305911952</v>
      </c>
      <c r="U603">
        <v>102.83983700443437</v>
      </c>
      <c r="X603">
        <v>0.55110693659753551</v>
      </c>
      <c r="Y603">
        <v>0.7714137622812558</v>
      </c>
      <c r="Z603">
        <v>0.61586443075707087</v>
      </c>
      <c r="AA603">
        <v>0.8454737535381498</v>
      </c>
      <c r="AB603">
        <v>0.66090874125182286</v>
      </c>
      <c r="AC603">
        <v>0.61330631059651919</v>
      </c>
      <c r="AD603">
        <v>0.81966807805486719</v>
      </c>
      <c r="AE603">
        <v>0.75141955127025928</v>
      </c>
      <c r="AH603">
        <v>0.31692736677855926</v>
      </c>
      <c r="AI603">
        <v>0.29979817197349901</v>
      </c>
      <c r="AJ603">
        <v>0.28350968163935153</v>
      </c>
      <c r="AK603">
        <v>0.20825837363359478</v>
      </c>
      <c r="AL603">
        <v>6.5561508801152968E-3</v>
      </c>
      <c r="AM603">
        <v>0.10703825204585471</v>
      </c>
      <c r="AN603">
        <v>0.1115190438683602</v>
      </c>
      <c r="AO603">
        <v>0.13094351126387471</v>
      </c>
      <c r="AR603">
        <v>8.2074247124977733E-4</v>
      </c>
      <c r="AS603">
        <v>4.6211994861389272E-3</v>
      </c>
      <c r="AT603">
        <v>4.9125004179216411E-3</v>
      </c>
      <c r="AU603">
        <v>1.8693922883206832E-3</v>
      </c>
      <c r="AV603">
        <v>1.9709352370705221E-3</v>
      </c>
      <c r="AW603">
        <v>3.7309927499175055E-3</v>
      </c>
      <c r="AX603">
        <v>3.8410881000994099E-4</v>
      </c>
      <c r="AY603">
        <v>6.0466306038042816E-4</v>
      </c>
      <c r="BB603">
        <v>4.6027788839125318E-2</v>
      </c>
      <c r="BC603">
        <v>6.1341505330611446E-2</v>
      </c>
      <c r="BE603">
        <v>73159.269995256662</v>
      </c>
      <c r="BF603">
        <v>14.126730056827606</v>
      </c>
      <c r="BG603">
        <v>74454.246609439491</v>
      </c>
      <c r="BH603">
        <v>14.013411772684732</v>
      </c>
      <c r="BI603">
        <v>-1294.9766141828295</v>
      </c>
      <c r="BJ603">
        <v>0.11331828414287415</v>
      </c>
    </row>
    <row r="604" spans="3:62" x14ac:dyDescent="0.2">
      <c r="C604" s="121">
        <v>71851.363138703658</v>
      </c>
      <c r="D604">
        <v>16.603117637184276</v>
      </c>
      <c r="E604" s="121">
        <v>72400.525854848718</v>
      </c>
      <c r="F604" s="121">
        <v>16.533245887032269</v>
      </c>
      <c r="G604" s="121">
        <v>-549.16271614505968</v>
      </c>
      <c r="H604" s="121">
        <v>6.9871750152007195E-2</v>
      </c>
      <c r="N604" s="121"/>
      <c r="O604" s="121"/>
      <c r="P604" s="121"/>
      <c r="R604">
        <v>151.54745019883529</v>
      </c>
      <c r="S604">
        <v>51.639402011248805</v>
      </c>
      <c r="T604">
        <v>232.0670338853364</v>
      </c>
      <c r="U604">
        <v>93.660413811239493</v>
      </c>
      <c r="X604">
        <v>0.86050707970042795</v>
      </c>
      <c r="Y604">
        <v>0.49258147186191137</v>
      </c>
      <c r="Z604">
        <v>0.69442286544782517</v>
      </c>
      <c r="AA604">
        <v>0.75286363173152804</v>
      </c>
      <c r="AB604">
        <v>0.63521752984161572</v>
      </c>
      <c r="AC604">
        <v>0.65316977804001541</v>
      </c>
      <c r="AD604">
        <v>0.78387566832138134</v>
      </c>
      <c r="AE604">
        <v>0.70813936113377851</v>
      </c>
      <c r="AH604">
        <v>0.12963521971706649</v>
      </c>
      <c r="AI604">
        <v>1.8869111089099277E-2</v>
      </c>
      <c r="AJ604">
        <v>9.4154091278381036E-2</v>
      </c>
      <c r="AK604">
        <v>1.8299932474018288E-2</v>
      </c>
      <c r="AL604">
        <v>3.559094596903789E-2</v>
      </c>
      <c r="AM604">
        <v>0.14523488645088189</v>
      </c>
      <c r="AN604">
        <v>6.1212665118514198E-2</v>
      </c>
      <c r="AO604">
        <v>4.6896755863256145E-2</v>
      </c>
      <c r="AR604">
        <v>7.7858744652378666E-4</v>
      </c>
      <c r="AS604">
        <v>4.5388698735788768E-3</v>
      </c>
      <c r="AT604">
        <v>5.2174942647278399E-3</v>
      </c>
      <c r="AU604">
        <v>1.7656618699984578E-3</v>
      </c>
      <c r="AV604">
        <v>2.1240515119606007E-3</v>
      </c>
      <c r="AW604">
        <v>3.2485271085000455E-3</v>
      </c>
      <c r="AX604">
        <v>5.3882172089891878E-4</v>
      </c>
      <c r="AY604">
        <v>4.6550757422603173E-4</v>
      </c>
      <c r="BB604">
        <v>5.8665837836545665E-2</v>
      </c>
      <c r="BC604">
        <v>3.9450739362203509E-2</v>
      </c>
      <c r="BE604">
        <v>71851.363138703658</v>
      </c>
      <c r="BF604">
        <v>16.603117637184276</v>
      </c>
      <c r="BG604">
        <v>72400.525854848718</v>
      </c>
      <c r="BH604">
        <v>16.533245887032269</v>
      </c>
      <c r="BI604">
        <v>-549.16271614505968</v>
      </c>
      <c r="BJ604">
        <v>6.9871750152007195E-2</v>
      </c>
    </row>
    <row r="605" spans="3:62" x14ac:dyDescent="0.2">
      <c r="C605" s="121">
        <v>66752.321730087569</v>
      </c>
      <c r="D605">
        <v>17.699680505278863</v>
      </c>
      <c r="E605" s="121">
        <v>68652.659217434295</v>
      </c>
      <c r="F605" s="121">
        <v>17.568248513662521</v>
      </c>
      <c r="G605" s="121">
        <v>-1900.3374873467255</v>
      </c>
      <c r="H605" s="121">
        <v>0.131431991616342</v>
      </c>
      <c r="N605" s="121"/>
      <c r="O605" s="121"/>
      <c r="P605" s="121"/>
      <c r="R605">
        <v>267.67235931014744</v>
      </c>
      <c r="S605">
        <v>54.773892067129225</v>
      </c>
      <c r="T605">
        <v>203.93806272844941</v>
      </c>
      <c r="U605">
        <v>82.455992564957185</v>
      </c>
      <c r="X605">
        <v>0.80170958968589112</v>
      </c>
      <c r="Y605">
        <v>0.66148801598293228</v>
      </c>
      <c r="Z605">
        <v>0.82127761636045848</v>
      </c>
      <c r="AA605">
        <v>0.85104096258745598</v>
      </c>
      <c r="AB605">
        <v>0.82929587836168972</v>
      </c>
      <c r="AC605">
        <v>0.83560313887111248</v>
      </c>
      <c r="AD605">
        <v>0.68913701181937226</v>
      </c>
      <c r="AE605">
        <v>0.70627033776676951</v>
      </c>
      <c r="AH605">
        <v>0.12780843979038214</v>
      </c>
      <c r="AI605">
        <v>0.10065842540948466</v>
      </c>
      <c r="AJ605">
        <v>0.13999991212092833</v>
      </c>
      <c r="AK605">
        <v>0.25193079630457738</v>
      </c>
      <c r="AL605">
        <v>0.17876736517254821</v>
      </c>
      <c r="AM605">
        <v>3.4551043304029805E-2</v>
      </c>
      <c r="AN605">
        <v>0.16788660022035418</v>
      </c>
      <c r="AO605">
        <v>6.5982403981799442E-2</v>
      </c>
      <c r="AR605">
        <v>7.0106836597902563E-4</v>
      </c>
      <c r="AS605">
        <v>4.4601492008956864E-3</v>
      </c>
      <c r="AT605">
        <v>5.0216883689792047E-3</v>
      </c>
      <c r="AU605">
        <v>2.0077935658788792E-3</v>
      </c>
      <c r="AV605">
        <v>1.8263590688450068E-3</v>
      </c>
      <c r="AW605">
        <v>3.2553870347524607E-3</v>
      </c>
      <c r="AX605">
        <v>4.1270544626692551E-4</v>
      </c>
      <c r="AY605">
        <v>4.576809364585932E-4</v>
      </c>
      <c r="BB605">
        <v>5.0490291581747115E-2</v>
      </c>
      <c r="BC605">
        <v>3.9502051478367474E-2</v>
      </c>
      <c r="BE605">
        <v>66752.321730087569</v>
      </c>
      <c r="BF605">
        <v>17.699680505278863</v>
      </c>
      <c r="BG605">
        <v>68652.659217434295</v>
      </c>
      <c r="BH605">
        <v>17.568248513662521</v>
      </c>
      <c r="BI605">
        <v>-1900.3374873467255</v>
      </c>
      <c r="BJ605">
        <v>0.131431991616342</v>
      </c>
    </row>
    <row r="606" spans="3:62" x14ac:dyDescent="0.2">
      <c r="C606" s="121">
        <v>75267.255530255206</v>
      </c>
      <c r="D606">
        <v>15.075188065742781</v>
      </c>
      <c r="E606" s="121">
        <v>77387.541193445271</v>
      </c>
      <c r="F606" s="121">
        <v>14.931204736592571</v>
      </c>
      <c r="G606" s="121">
        <v>-2120.285663190065</v>
      </c>
      <c r="H606" s="121">
        <v>0.14398332915020973</v>
      </c>
      <c r="N606" s="121"/>
      <c r="O606" s="121"/>
      <c r="P606" s="121"/>
      <c r="R606">
        <v>316.89053831007044</v>
      </c>
      <c r="S606">
        <v>56.554671202697769</v>
      </c>
      <c r="T606">
        <v>269.61721295273964</v>
      </c>
      <c r="U606">
        <v>108.04638481427274</v>
      </c>
      <c r="X606">
        <v>0.57267100674093707</v>
      </c>
      <c r="Y606">
        <v>0.71518284388310793</v>
      </c>
      <c r="Z606">
        <v>0.45838264184857613</v>
      </c>
      <c r="AA606">
        <v>0.83327193127223453</v>
      </c>
      <c r="AB606">
        <v>0.84775284002447271</v>
      </c>
      <c r="AC606">
        <v>0.92350518806231907</v>
      </c>
      <c r="AD606">
        <v>0.80090312191170776</v>
      </c>
      <c r="AE606">
        <v>0.84545785158172204</v>
      </c>
      <c r="AH606">
        <v>5.1897049398627937E-2</v>
      </c>
      <c r="AI606">
        <v>0.19910857525139369</v>
      </c>
      <c r="AJ606">
        <v>7.9923556440261834E-2</v>
      </c>
      <c r="AK606">
        <v>1.0951529618179023E-2</v>
      </c>
      <c r="AL606">
        <v>4.1353186969332212E-2</v>
      </c>
      <c r="AM606">
        <v>6.7741218993806029E-2</v>
      </c>
      <c r="AN606">
        <v>9.8779023893563966E-2</v>
      </c>
      <c r="AO606">
        <v>0.12282317974966128</v>
      </c>
      <c r="AR606">
        <v>1.0971990119452713E-3</v>
      </c>
      <c r="AS606">
        <v>4.6466775455989984E-3</v>
      </c>
      <c r="AT606">
        <v>4.879818664435767E-3</v>
      </c>
      <c r="AU606">
        <v>1.6531161673805775E-3</v>
      </c>
      <c r="AV606">
        <v>2.0978919082477177E-3</v>
      </c>
      <c r="AW606">
        <v>3.3821429901560937E-3</v>
      </c>
      <c r="AX606">
        <v>3.0936141881963416E-4</v>
      </c>
      <c r="AY606">
        <v>4.5177350809788575E-4</v>
      </c>
      <c r="BB606">
        <v>4.816707706554519E-2</v>
      </c>
      <c r="BC606">
        <v>2.2806749290699802E-2</v>
      </c>
      <c r="BE606">
        <v>75267.255530255206</v>
      </c>
      <c r="BF606">
        <v>15.075188065742781</v>
      </c>
      <c r="BG606">
        <v>77387.541193445271</v>
      </c>
      <c r="BH606">
        <v>14.931204736592571</v>
      </c>
      <c r="BI606">
        <v>-2120.285663190065</v>
      </c>
      <c r="BJ606">
        <v>0.14398332915020973</v>
      </c>
    </row>
    <row r="607" spans="3:62" x14ac:dyDescent="0.2">
      <c r="C607" s="121">
        <v>66984.605444309418</v>
      </c>
      <c r="D607">
        <v>17.548337215351204</v>
      </c>
      <c r="E607" s="121">
        <v>69193.176904639142</v>
      </c>
      <c r="F607" s="121">
        <v>17.399583318404247</v>
      </c>
      <c r="G607" s="121">
        <v>-2208.5714603297238</v>
      </c>
      <c r="H607" s="121">
        <v>0.14875389694695684</v>
      </c>
      <c r="N607" s="121"/>
      <c r="O607" s="121"/>
      <c r="P607" s="121"/>
      <c r="R607">
        <v>294.86875993726829</v>
      </c>
      <c r="S607">
        <v>67.873606584090297</v>
      </c>
      <c r="T607">
        <v>260.68757013754839</v>
      </c>
      <c r="U607">
        <v>92.044019274187363</v>
      </c>
      <c r="X607">
        <v>0.98061805289133064</v>
      </c>
      <c r="Y607">
        <v>0.77560865385971778</v>
      </c>
      <c r="Z607">
        <v>0.85557227148483794</v>
      </c>
      <c r="AA607">
        <v>0.81903500457891998</v>
      </c>
      <c r="AB607">
        <v>0.45419010727722581</v>
      </c>
      <c r="AC607">
        <v>0.84080818054296413</v>
      </c>
      <c r="AD607">
        <v>0.59970740997840855</v>
      </c>
      <c r="AE607">
        <v>0.58581919321526033</v>
      </c>
      <c r="AH607">
        <v>0.13672001097144459</v>
      </c>
      <c r="AI607">
        <v>8.4606574879222851E-2</v>
      </c>
      <c r="AJ607">
        <v>8.6147675197065343E-2</v>
      </c>
      <c r="AK607">
        <v>0.13796160985127104</v>
      </c>
      <c r="AL607">
        <v>0.14699999974140998</v>
      </c>
      <c r="AM607">
        <v>0.32773450481739441</v>
      </c>
      <c r="AN607">
        <v>8.8843593403134857E-2</v>
      </c>
      <c r="AO607">
        <v>0.42108994811370704</v>
      </c>
      <c r="AR607">
        <v>1.0009781461326472E-3</v>
      </c>
      <c r="AS607">
        <v>4.8920232668613339E-3</v>
      </c>
      <c r="AT607">
        <v>4.6770413338178144E-3</v>
      </c>
      <c r="AU607">
        <v>2.0323903596488613E-3</v>
      </c>
      <c r="AV607">
        <v>1.8246450523646844E-3</v>
      </c>
      <c r="AW607">
        <v>3.3288927638648485E-3</v>
      </c>
      <c r="AX607">
        <v>4.6472327384283751E-4</v>
      </c>
      <c r="AY607">
        <v>5.1023145143525017E-4</v>
      </c>
      <c r="BB607">
        <v>4.4415857327197161E-2</v>
      </c>
      <c r="BC607">
        <v>3.4685187313994607E-2</v>
      </c>
      <c r="BE607">
        <v>66984.605444309418</v>
      </c>
      <c r="BF607">
        <v>17.548337215351204</v>
      </c>
      <c r="BG607">
        <v>69193.176904639142</v>
      </c>
      <c r="BH607">
        <v>17.399583318404247</v>
      </c>
      <c r="BI607">
        <v>-2208.5714603297238</v>
      </c>
      <c r="BJ607">
        <v>0.14875389694695684</v>
      </c>
    </row>
    <row r="608" spans="3:62" x14ac:dyDescent="0.2">
      <c r="C608" s="121">
        <v>66734.981441999786</v>
      </c>
      <c r="D608">
        <v>15.381872532289355</v>
      </c>
      <c r="E608" s="121">
        <v>68336.132548042791</v>
      </c>
      <c r="F608" s="121">
        <v>15.236733769726676</v>
      </c>
      <c r="G608" s="121">
        <v>-1601.1511060430057</v>
      </c>
      <c r="H608" s="121">
        <v>0.14513876256267899</v>
      </c>
      <c r="N608" s="121"/>
      <c r="O608" s="121"/>
      <c r="P608" s="121"/>
      <c r="R608">
        <v>164.22062822623406</v>
      </c>
      <c r="S608">
        <v>60.54675423274783</v>
      </c>
      <c r="T608">
        <v>261.03096689256114</v>
      </c>
      <c r="U608">
        <v>96.944958639626051</v>
      </c>
      <c r="X608">
        <v>0.87833260586581818</v>
      </c>
      <c r="Y608">
        <v>0.73950185870495944</v>
      </c>
      <c r="Z608">
        <v>0.67737319874424029</v>
      </c>
      <c r="AA608">
        <v>0.77470563294449013</v>
      </c>
      <c r="AB608">
        <v>0.84743765670904703</v>
      </c>
      <c r="AC608">
        <v>0.77552147890315182</v>
      </c>
      <c r="AD608">
        <v>0.80580703631020179</v>
      </c>
      <c r="AE608">
        <v>0.60883106591857594</v>
      </c>
      <c r="AH608">
        <v>5.9315837803329163E-2</v>
      </c>
      <c r="AI608">
        <v>0.11366932833433585</v>
      </c>
      <c r="AJ608">
        <v>4.2525474539944819E-2</v>
      </c>
      <c r="AK608">
        <v>5.3147692129858148E-2</v>
      </c>
      <c r="AL608">
        <v>0.13352545268836191</v>
      </c>
      <c r="AM608">
        <v>2.8942433966232528E-2</v>
      </c>
      <c r="AN608">
        <v>0.21847442197797096</v>
      </c>
      <c r="AO608">
        <v>0.28138928381565487</v>
      </c>
      <c r="AR608">
        <v>9.1356571707912337E-4</v>
      </c>
      <c r="AS608">
        <v>4.6356832164817785E-3</v>
      </c>
      <c r="AT608">
        <v>4.7404371412586637E-3</v>
      </c>
      <c r="AU608">
        <v>2.1025010278882261E-3</v>
      </c>
      <c r="AV608">
        <v>2.2281142646595198E-3</v>
      </c>
      <c r="AW608">
        <v>3.3513247020837862E-3</v>
      </c>
      <c r="AX608">
        <v>4.3774746725167013E-4</v>
      </c>
      <c r="AY608">
        <v>4.6846571732328535E-4</v>
      </c>
      <c r="BB608">
        <v>5.5175252635808247E-2</v>
      </c>
      <c r="BC608">
        <v>2.9312979126217682E-2</v>
      </c>
      <c r="BE608">
        <v>66734.981441999786</v>
      </c>
      <c r="BF608">
        <v>15.381872532289355</v>
      </c>
      <c r="BG608">
        <v>68336.132548042791</v>
      </c>
      <c r="BH608">
        <v>15.236733769726676</v>
      </c>
      <c r="BI608">
        <v>-1601.1511060430057</v>
      </c>
      <c r="BJ608">
        <v>0.14513876256267899</v>
      </c>
    </row>
    <row r="609" spans="3:62" x14ac:dyDescent="0.2">
      <c r="C609" s="121">
        <v>64171.826353995828</v>
      </c>
      <c r="D609">
        <v>17.877156384498637</v>
      </c>
      <c r="E609" s="121">
        <v>65407.864465586499</v>
      </c>
      <c r="F609" s="121">
        <v>17.766572490026817</v>
      </c>
      <c r="G609" s="121">
        <v>-1236.0381115906712</v>
      </c>
      <c r="H609" s="121">
        <v>0.11058389447181938</v>
      </c>
      <c r="N609" s="121"/>
      <c r="O609" s="121"/>
      <c r="P609" s="121"/>
      <c r="R609">
        <v>256.44748678473707</v>
      </c>
      <c r="S609">
        <v>63.851092735834882</v>
      </c>
      <c r="T609">
        <v>229.11646748004338</v>
      </c>
      <c r="U609">
        <v>97.355125757922139</v>
      </c>
      <c r="X609">
        <v>0.86586152856810827</v>
      </c>
      <c r="Y609">
        <v>0.8713089619824087</v>
      </c>
      <c r="Z609">
        <v>0.73302892813294562</v>
      </c>
      <c r="AA609">
        <v>0.85626964142284356</v>
      </c>
      <c r="AB609">
        <v>0.76238585138449066</v>
      </c>
      <c r="AC609">
        <v>0.67056839898541265</v>
      </c>
      <c r="AD609">
        <v>0.82270627013116071</v>
      </c>
      <c r="AE609">
        <v>0.71330947233600517</v>
      </c>
      <c r="AH609">
        <v>6.3596076739334984E-2</v>
      </c>
      <c r="AI609">
        <v>0.15344123930973497</v>
      </c>
      <c r="AJ609">
        <v>0.12155421697481594</v>
      </c>
      <c r="AK609">
        <v>0.11246225298993029</v>
      </c>
      <c r="AL609">
        <v>2.1741184053631346E-2</v>
      </c>
      <c r="AM609">
        <v>4.3035870158435019E-2</v>
      </c>
      <c r="AN609">
        <v>3.7181545710758268E-2</v>
      </c>
      <c r="AO609">
        <v>9.6094574170233038E-2</v>
      </c>
      <c r="AR609">
        <v>8.953534312270417E-4</v>
      </c>
      <c r="AS609">
        <v>4.1269918884592445E-3</v>
      </c>
      <c r="AT609">
        <v>4.671617255303186E-3</v>
      </c>
      <c r="AU609">
        <v>2.0945599211721344E-3</v>
      </c>
      <c r="AV609">
        <v>2.0957267086885167E-3</v>
      </c>
      <c r="AW609">
        <v>3.5875473475011077E-3</v>
      </c>
      <c r="AX609">
        <v>3.8274741607020342E-4</v>
      </c>
      <c r="AY609">
        <v>4.460726311098703E-4</v>
      </c>
      <c r="BB609">
        <v>5.0287695000546195E-2</v>
      </c>
      <c r="BC609">
        <v>1.4976446004086798E-2</v>
      </c>
      <c r="BE609">
        <v>64171.826353995828</v>
      </c>
      <c r="BF609">
        <v>17.877156384498637</v>
      </c>
      <c r="BG609">
        <v>65407.864465586499</v>
      </c>
      <c r="BH609">
        <v>17.766572490026817</v>
      </c>
      <c r="BI609">
        <v>-1236.0381115906712</v>
      </c>
      <c r="BJ609">
        <v>0.11058389447181938</v>
      </c>
    </row>
    <row r="610" spans="3:62" x14ac:dyDescent="0.2">
      <c r="C610" s="121">
        <v>63857.077751634068</v>
      </c>
      <c r="D610">
        <v>16.338587395127082</v>
      </c>
      <c r="E610" s="121">
        <v>66017.948587150837</v>
      </c>
      <c r="F610" s="121">
        <v>16.152461102999517</v>
      </c>
      <c r="G610" s="121">
        <v>-2160.8708355167691</v>
      </c>
      <c r="H610" s="121">
        <v>0.1861262921275646</v>
      </c>
      <c r="N610" s="121"/>
      <c r="O610" s="121"/>
      <c r="P610" s="121"/>
      <c r="R610">
        <v>275.70619836624041</v>
      </c>
      <c r="S610">
        <v>58.636460340522603</v>
      </c>
      <c r="T610">
        <v>273.11974646364393</v>
      </c>
      <c r="U610">
        <v>96.883270112142668</v>
      </c>
      <c r="X610">
        <v>0.75889759934260792</v>
      </c>
      <c r="Y610">
        <v>0.84212110915144511</v>
      </c>
      <c r="Z610">
        <v>0.78067687317693624</v>
      </c>
      <c r="AA610">
        <v>0.88513261914714492</v>
      </c>
      <c r="AB610">
        <v>0.70010603795875892</v>
      </c>
      <c r="AC610">
        <v>0.81889594534726762</v>
      </c>
      <c r="AD610">
        <v>0.86228858494106575</v>
      </c>
      <c r="AE610">
        <v>0.87040943997118969</v>
      </c>
      <c r="AH610">
        <v>0.14787787851290279</v>
      </c>
      <c r="AI610">
        <v>0.38284641785865214</v>
      </c>
      <c r="AJ610">
        <v>0.16973436336851599</v>
      </c>
      <c r="AK610">
        <v>0.15287437770588252</v>
      </c>
      <c r="AL610">
        <v>0.29405416315520383</v>
      </c>
      <c r="AM610">
        <v>0.26154944015714621</v>
      </c>
      <c r="AN610">
        <v>0.1694033626271112</v>
      </c>
      <c r="AO610">
        <v>7.8753977369703687E-2</v>
      </c>
      <c r="AR610">
        <v>7.4098648745977329E-4</v>
      </c>
      <c r="AS610">
        <v>4.6184400125605096E-3</v>
      </c>
      <c r="AT610">
        <v>4.7845010486413436E-3</v>
      </c>
      <c r="AU610">
        <v>2.2192566192144048E-3</v>
      </c>
      <c r="AV610">
        <v>2.0725732911709427E-3</v>
      </c>
      <c r="AW610">
        <v>3.6758770232053761E-3</v>
      </c>
      <c r="AX610">
        <v>4.189006508821258E-4</v>
      </c>
      <c r="AY610">
        <v>3.4265361933558049E-4</v>
      </c>
      <c r="BB610">
        <v>4.8415104602178891E-2</v>
      </c>
      <c r="BC610">
        <v>9.5844340408957396E-2</v>
      </c>
      <c r="BE610">
        <v>63857.077751634068</v>
      </c>
      <c r="BF610">
        <v>16.338587395127082</v>
      </c>
      <c r="BG610">
        <v>66017.948587150837</v>
      </c>
      <c r="BH610">
        <v>16.152461102999517</v>
      </c>
      <c r="BI610">
        <v>-2160.8708355167691</v>
      </c>
      <c r="BJ610">
        <v>0.1861262921275646</v>
      </c>
    </row>
    <row r="611" spans="3:62" x14ac:dyDescent="0.2">
      <c r="C611" s="121">
        <v>71471.967033102395</v>
      </c>
      <c r="D611">
        <v>15.747304150375946</v>
      </c>
      <c r="E611" s="121">
        <v>74034.571326832753</v>
      </c>
      <c r="F611" s="121">
        <v>15.586244974815447</v>
      </c>
      <c r="G611" s="121">
        <v>-2562.6042937303573</v>
      </c>
      <c r="H611" s="121">
        <v>0.16105917556049931</v>
      </c>
      <c r="N611" s="121"/>
      <c r="O611" s="121"/>
      <c r="P611" s="121"/>
      <c r="R611">
        <v>126.73718415554728</v>
      </c>
      <c r="S611">
        <v>66.290002218370887</v>
      </c>
      <c r="T611">
        <v>243.12215156186278</v>
      </c>
      <c r="U611">
        <v>97.790645867255961</v>
      </c>
      <c r="X611">
        <v>0.9392948283471515</v>
      </c>
      <c r="Y611">
        <v>0.85862545291945669</v>
      </c>
      <c r="Z611">
        <v>0.70324088316534883</v>
      </c>
      <c r="AA611">
        <v>0.6253159493322672</v>
      </c>
      <c r="AB611">
        <v>0.63617348473895352</v>
      </c>
      <c r="AC611">
        <v>0.83756391630487514</v>
      </c>
      <c r="AD611">
        <v>0.76643018746849001</v>
      </c>
      <c r="AE611">
        <v>0.90579462474055839</v>
      </c>
      <c r="AH611">
        <v>5.677289574652733E-2</v>
      </c>
      <c r="AI611">
        <v>8.5793102748581096E-2</v>
      </c>
      <c r="AJ611">
        <v>0.18568926174787215</v>
      </c>
      <c r="AK611">
        <v>7.7692306724984839E-2</v>
      </c>
      <c r="AL611">
        <v>1.5905251443142365E-2</v>
      </c>
      <c r="AM611">
        <v>0.12865237130915608</v>
      </c>
      <c r="AN611">
        <v>0.10834110440932199</v>
      </c>
      <c r="AO611">
        <v>0.10782033675605041</v>
      </c>
      <c r="AR611">
        <v>9.5889779007518605E-4</v>
      </c>
      <c r="AS611">
        <v>4.6473218616259748E-3</v>
      </c>
      <c r="AT611">
        <v>4.8162931134218233E-3</v>
      </c>
      <c r="AU611">
        <v>1.8373785784016074E-3</v>
      </c>
      <c r="AV611">
        <v>1.8869329531243447E-3</v>
      </c>
      <c r="AW611">
        <v>3.7410824837230683E-3</v>
      </c>
      <c r="AX611">
        <v>4.1061796541541629E-4</v>
      </c>
      <c r="AY611">
        <v>5.2842171142597483E-4</v>
      </c>
      <c r="BB611">
        <v>5.8538152793457199E-2</v>
      </c>
      <c r="BC611">
        <v>4.0849380725017932E-2</v>
      </c>
      <c r="BE611">
        <v>71471.967033102395</v>
      </c>
      <c r="BF611">
        <v>15.747304150375946</v>
      </c>
      <c r="BG611">
        <v>74034.571326832753</v>
      </c>
      <c r="BH611">
        <v>15.586244974815447</v>
      </c>
      <c r="BI611">
        <v>-2562.6042937303573</v>
      </c>
      <c r="BJ611">
        <v>0.16105917556049931</v>
      </c>
    </row>
    <row r="612" spans="3:62" x14ac:dyDescent="0.2">
      <c r="C612" s="121">
        <v>76964.051765605516</v>
      </c>
      <c r="D612">
        <v>14.478043375466711</v>
      </c>
      <c r="E612" s="121">
        <v>78866.116799990952</v>
      </c>
      <c r="F612" s="121">
        <v>14.327647700560275</v>
      </c>
      <c r="G612" s="121">
        <v>-1902.0650343854359</v>
      </c>
      <c r="H612" s="121">
        <v>0.15039567490643613</v>
      </c>
      <c r="N612" s="121"/>
      <c r="O612" s="121"/>
      <c r="P612" s="121"/>
      <c r="R612">
        <v>160.05204139673154</v>
      </c>
      <c r="S612">
        <v>54.903769472155616</v>
      </c>
      <c r="T612">
        <v>243.19541340536793</v>
      </c>
      <c r="U612">
        <v>87.731571000623148</v>
      </c>
      <c r="X612">
        <v>0.67007845583565784</v>
      </c>
      <c r="Y612">
        <v>0.77750672669051979</v>
      </c>
      <c r="Z612">
        <v>0.74935506154673803</v>
      </c>
      <c r="AA612">
        <v>0.85359471257740582</v>
      </c>
      <c r="AB612">
        <v>0.87635342151596152</v>
      </c>
      <c r="AC612">
        <v>0.8718071522459494</v>
      </c>
      <c r="AD612">
        <v>0.59363568884370221</v>
      </c>
      <c r="AE612">
        <v>0.60601262732363981</v>
      </c>
      <c r="AH612">
        <v>0.21350389614030529</v>
      </c>
      <c r="AI612">
        <v>4.4191335858628E-2</v>
      </c>
      <c r="AJ612">
        <v>3.2576243863225107E-2</v>
      </c>
      <c r="AK612">
        <v>7.3910524709751568E-2</v>
      </c>
      <c r="AL612">
        <v>0.11097542755563361</v>
      </c>
      <c r="AM612">
        <v>0.12951991630241444</v>
      </c>
      <c r="AN612">
        <v>6.6693848757062302E-2</v>
      </c>
      <c r="AO612">
        <v>0.10989818510311467</v>
      </c>
      <c r="AR612">
        <v>1.1622932431329946E-3</v>
      </c>
      <c r="AS612">
        <v>4.5767990836494965E-3</v>
      </c>
      <c r="AT612">
        <v>5.1834493170462848E-3</v>
      </c>
      <c r="AU612">
        <v>1.8783919797952771E-3</v>
      </c>
      <c r="AV612">
        <v>2.0831565434440424E-3</v>
      </c>
      <c r="AW612">
        <v>3.5106952394892144E-3</v>
      </c>
      <c r="AX612">
        <v>3.2334865185178072E-4</v>
      </c>
      <c r="AY612">
        <v>5.3261435376683597E-4</v>
      </c>
      <c r="BB612">
        <v>5.3766261406704818E-2</v>
      </c>
      <c r="BC612">
        <v>7.1840997751555835E-2</v>
      </c>
      <c r="BE612">
        <v>76964.051765605516</v>
      </c>
      <c r="BF612">
        <v>14.478043375466711</v>
      </c>
      <c r="BG612">
        <v>78866.116799990952</v>
      </c>
      <c r="BH612">
        <v>14.327647700560275</v>
      </c>
      <c r="BI612">
        <v>-1902.0650343854359</v>
      </c>
      <c r="BJ612">
        <v>0.15039567490643613</v>
      </c>
    </row>
    <row r="613" spans="3:62" x14ac:dyDescent="0.2">
      <c r="C613" s="121">
        <v>69158.897228573187</v>
      </c>
      <c r="D613">
        <v>18.256403891547901</v>
      </c>
      <c r="E613" s="121">
        <v>69261.906297008449</v>
      </c>
      <c r="F613" s="121">
        <v>18.210796704343117</v>
      </c>
      <c r="G613" s="121">
        <v>-103.00906843526172</v>
      </c>
      <c r="H613" s="121">
        <v>4.5607187204783628E-2</v>
      </c>
      <c r="N613" s="121"/>
      <c r="O613" s="121"/>
      <c r="P613" s="121"/>
      <c r="R613">
        <v>160.07329368160771</v>
      </c>
      <c r="S613">
        <v>61.425020695109616</v>
      </c>
      <c r="T613">
        <v>300.43674950673449</v>
      </c>
      <c r="U613">
        <v>110.63530765185831</v>
      </c>
      <c r="X613">
        <v>0.85466556500584445</v>
      </c>
      <c r="Y613">
        <v>0.75994191726136173</v>
      </c>
      <c r="Z613">
        <v>0.64155045651503384</v>
      </c>
      <c r="AA613">
        <v>0.73606942993178504</v>
      </c>
      <c r="AB613">
        <v>0.78242011151424395</v>
      </c>
      <c r="AC613">
        <v>0.40467080870593014</v>
      </c>
      <c r="AD613">
        <v>0.86197084398803769</v>
      </c>
      <c r="AE613">
        <v>0.73986642311753459</v>
      </c>
      <c r="AH613">
        <v>0.11192628915337188</v>
      </c>
      <c r="AI613">
        <v>0.24206241383794413</v>
      </c>
      <c r="AJ613">
        <v>0.19017327373764004</v>
      </c>
      <c r="AK613">
        <v>8.8057560685844694E-2</v>
      </c>
      <c r="AL613">
        <v>4.6034167445676566E-2</v>
      </c>
      <c r="AM613">
        <v>0.12109132043850679</v>
      </c>
      <c r="AN613">
        <v>0.11158780145411118</v>
      </c>
      <c r="AO613">
        <v>8.736530000199072E-2</v>
      </c>
      <c r="AR613">
        <v>8.6874867893378747E-4</v>
      </c>
      <c r="AS613">
        <v>4.4348593153301632E-3</v>
      </c>
      <c r="AT613">
        <v>5.0733488182025388E-3</v>
      </c>
      <c r="AU613">
        <v>1.7749308666852738E-3</v>
      </c>
      <c r="AV613">
        <v>1.8147546180049101E-3</v>
      </c>
      <c r="AW613">
        <v>3.5235113669825902E-3</v>
      </c>
      <c r="AX613">
        <v>4.0007463338231908E-4</v>
      </c>
      <c r="AY613">
        <v>4.284174511048496E-4</v>
      </c>
      <c r="BB613">
        <v>4.496356436472343E-2</v>
      </c>
      <c r="BC613">
        <v>5.4926594653863292E-2</v>
      </c>
      <c r="BE613">
        <v>69158.897228573187</v>
      </c>
      <c r="BF613">
        <v>18.256403891547901</v>
      </c>
      <c r="BG613">
        <v>69261.906297008449</v>
      </c>
      <c r="BH613">
        <v>18.210796704343117</v>
      </c>
      <c r="BI613">
        <v>-103.00906843526172</v>
      </c>
      <c r="BJ613">
        <v>4.5607187204783628E-2</v>
      </c>
    </row>
    <row r="614" spans="3:62" x14ac:dyDescent="0.2">
      <c r="C614" s="121">
        <v>77798.011060470788</v>
      </c>
      <c r="D614">
        <v>15.273112065967229</v>
      </c>
      <c r="E614" s="121">
        <v>80023.2803223714</v>
      </c>
      <c r="F614" s="121">
        <v>15.111670356308608</v>
      </c>
      <c r="G614" s="121">
        <v>-2225.269261900612</v>
      </c>
      <c r="H614" s="121">
        <v>0.16144170965862159</v>
      </c>
      <c r="N614" s="121"/>
      <c r="O614" s="121"/>
      <c r="P614" s="121"/>
      <c r="R614">
        <v>269.4240770461696</v>
      </c>
      <c r="S614">
        <v>65.133587507181019</v>
      </c>
      <c r="T614">
        <v>254.34040046938782</v>
      </c>
      <c r="U614">
        <v>87.304071015797703</v>
      </c>
      <c r="X614">
        <v>0.54610981139475678</v>
      </c>
      <c r="Y614">
        <v>0.56599433518762587</v>
      </c>
      <c r="Z614">
        <v>0.62775277523258843</v>
      </c>
      <c r="AA614">
        <v>0.63428734271933906</v>
      </c>
      <c r="AB614">
        <v>0.85550192003568504</v>
      </c>
      <c r="AC614">
        <v>0.75863065030229382</v>
      </c>
      <c r="AD614">
        <v>0.81936693635431324</v>
      </c>
      <c r="AE614">
        <v>0.79843634294320021</v>
      </c>
      <c r="AH614">
        <v>0.18259669564378911</v>
      </c>
      <c r="AI614">
        <v>5.1433125709018368E-2</v>
      </c>
      <c r="AJ614">
        <v>0.20404424316957326</v>
      </c>
      <c r="AK614">
        <v>3.2326806432147359E-2</v>
      </c>
      <c r="AL614">
        <v>7.4743219250488657E-2</v>
      </c>
      <c r="AM614">
        <v>0.14670168635889957</v>
      </c>
      <c r="AN614">
        <v>0.24250182783940977</v>
      </c>
      <c r="AO614">
        <v>0.10148209626353033</v>
      </c>
      <c r="AR614">
        <v>9.460664689877607E-4</v>
      </c>
      <c r="AS614">
        <v>4.532940817189246E-3</v>
      </c>
      <c r="AT614">
        <v>4.6626287414652801E-3</v>
      </c>
      <c r="AU614">
        <v>2.0334441485257981E-3</v>
      </c>
      <c r="AV614">
        <v>1.9349122393827823E-3</v>
      </c>
      <c r="AW614">
        <v>3.5143723644432967E-3</v>
      </c>
      <c r="AX614">
        <v>4.0675389277866625E-4</v>
      </c>
      <c r="AY614">
        <v>2.8553931484889041E-4</v>
      </c>
      <c r="BB614">
        <v>5.5209547737673836E-2</v>
      </c>
      <c r="BC614">
        <v>4.8860671481082196E-2</v>
      </c>
      <c r="BE614">
        <v>77798.011060470788</v>
      </c>
      <c r="BF614">
        <v>15.273112065967229</v>
      </c>
      <c r="BG614">
        <v>80023.2803223714</v>
      </c>
      <c r="BH614">
        <v>15.111670356308608</v>
      </c>
      <c r="BI614">
        <v>-2225.269261900612</v>
      </c>
      <c r="BJ614">
        <v>0.16144170965862159</v>
      </c>
    </row>
    <row r="615" spans="3:62" x14ac:dyDescent="0.2">
      <c r="C615" s="121">
        <v>70564.102360025718</v>
      </c>
      <c r="D615">
        <v>15.880380188069751</v>
      </c>
      <c r="E615" s="121">
        <v>72360.856185575569</v>
      </c>
      <c r="F615" s="121">
        <v>15.785411212499101</v>
      </c>
      <c r="G615" s="121">
        <v>-1796.7538255498512</v>
      </c>
      <c r="H615" s="121">
        <v>9.4968975570649761E-2</v>
      </c>
      <c r="N615" s="121"/>
      <c r="O615" s="121"/>
      <c r="P615" s="121"/>
      <c r="R615">
        <v>313.55698214252902</v>
      </c>
      <c r="S615">
        <v>67.799181931524956</v>
      </c>
      <c r="T615">
        <v>248.20688736529502</v>
      </c>
      <c r="U615">
        <v>85.353276373109836</v>
      </c>
      <c r="X615">
        <v>0.75298629215541413</v>
      </c>
      <c r="Y615">
        <v>0.818191207557038</v>
      </c>
      <c r="Z615">
        <v>0.75038492127613321</v>
      </c>
      <c r="AA615">
        <v>0.7771697769292395</v>
      </c>
      <c r="AB615">
        <v>0.67476940020270881</v>
      </c>
      <c r="AC615">
        <v>0.81436769910276841</v>
      </c>
      <c r="AD615">
        <v>0.49514421742523068</v>
      </c>
      <c r="AE615">
        <v>0.66206284196974263</v>
      </c>
      <c r="AH615">
        <v>5.4094629494924495E-2</v>
      </c>
      <c r="AI615">
        <v>0.13022265195742766</v>
      </c>
      <c r="AJ615">
        <v>0.1601357487459022</v>
      </c>
      <c r="AK615">
        <v>0.1597693097618893</v>
      </c>
      <c r="AL615">
        <v>0.24688519639175477</v>
      </c>
      <c r="AM615">
        <v>2.4668475209712382E-2</v>
      </c>
      <c r="AN615">
        <v>0.15698862800587643</v>
      </c>
      <c r="AO615">
        <v>1.3286512344013568E-2</v>
      </c>
      <c r="AR615">
        <v>7.876779848742481E-4</v>
      </c>
      <c r="AS615">
        <v>4.6383425511232756E-3</v>
      </c>
      <c r="AT615">
        <v>4.8647042588794639E-3</v>
      </c>
      <c r="AU615">
        <v>2.0845971105531991E-3</v>
      </c>
      <c r="AV615">
        <v>2.1050496935351992E-3</v>
      </c>
      <c r="AW615">
        <v>3.8385621183031349E-3</v>
      </c>
      <c r="AX615">
        <v>4.0207522424384745E-4</v>
      </c>
      <c r="AY615">
        <v>4.6973735605471134E-4</v>
      </c>
      <c r="BB615">
        <v>4.5065710221623187E-2</v>
      </c>
      <c r="BC615">
        <v>2.7422044799795063E-2</v>
      </c>
      <c r="BE615">
        <v>70564.102360025718</v>
      </c>
      <c r="BF615">
        <v>15.880380188069751</v>
      </c>
      <c r="BG615">
        <v>72360.856185575569</v>
      </c>
      <c r="BH615">
        <v>15.785411212499101</v>
      </c>
      <c r="BI615">
        <v>-1796.7538255498512</v>
      </c>
      <c r="BJ615">
        <v>9.4968975570649761E-2</v>
      </c>
    </row>
    <row r="616" spans="3:62" x14ac:dyDescent="0.2">
      <c r="C616" s="121">
        <v>62226.842270283014</v>
      </c>
      <c r="D616">
        <v>15.704758310123093</v>
      </c>
      <c r="E616" s="121">
        <v>63604.087925657339</v>
      </c>
      <c r="F616" s="121">
        <v>15.647270161624746</v>
      </c>
      <c r="G616" s="121">
        <v>-1377.245655374325</v>
      </c>
      <c r="H616" s="121">
        <v>5.7488148498347158E-2</v>
      </c>
      <c r="N616" s="121"/>
      <c r="O616" s="121"/>
      <c r="P616" s="121"/>
      <c r="R616">
        <v>90.180202756508919</v>
      </c>
      <c r="S616">
        <v>66.282564452854075</v>
      </c>
      <c r="T616">
        <v>252.1176663368899</v>
      </c>
      <c r="U616">
        <v>95.637044204981223</v>
      </c>
      <c r="X616">
        <v>0.56767987163197531</v>
      </c>
      <c r="Y616">
        <v>0.63013192747730551</v>
      </c>
      <c r="Z616">
        <v>0.37807249322613018</v>
      </c>
      <c r="AA616">
        <v>0.73950819126266809</v>
      </c>
      <c r="AB616">
        <v>0.69203234153701665</v>
      </c>
      <c r="AC616">
        <v>0.65562646180462614</v>
      </c>
      <c r="AD616">
        <v>0.64717585839638447</v>
      </c>
      <c r="AE616">
        <v>0.89991564729784179</v>
      </c>
      <c r="AH616">
        <v>5.6321156018674934E-2</v>
      </c>
      <c r="AI616">
        <v>0.23217475324385395</v>
      </c>
      <c r="AJ616">
        <v>0.33742853290640795</v>
      </c>
      <c r="AK616">
        <v>8.670586975884631E-2</v>
      </c>
      <c r="AL616">
        <v>2.5193272137455813E-2</v>
      </c>
      <c r="AM616">
        <v>8.6272006040752913E-3</v>
      </c>
      <c r="AN616">
        <v>0.21235568326131893</v>
      </c>
      <c r="AO616">
        <v>8.5461588445795988E-2</v>
      </c>
      <c r="AR616">
        <v>9.5632183163729678E-4</v>
      </c>
      <c r="AS616">
        <v>4.5552219191474785E-3</v>
      </c>
      <c r="AT616">
        <v>4.7428507945464346E-3</v>
      </c>
      <c r="AU616">
        <v>2.08673857348185E-3</v>
      </c>
      <c r="AV616">
        <v>2.0580720497470617E-3</v>
      </c>
      <c r="AW616">
        <v>3.6607926240074251E-3</v>
      </c>
      <c r="AX616">
        <v>6.0044071269427235E-4</v>
      </c>
      <c r="AY616">
        <v>4.5404604739696097E-4</v>
      </c>
      <c r="BB616">
        <v>7.1835233482729799E-2</v>
      </c>
      <c r="BC616">
        <v>5.7614169037387697E-2</v>
      </c>
      <c r="BE616">
        <v>62226.842270283014</v>
      </c>
      <c r="BF616">
        <v>15.704758310123093</v>
      </c>
      <c r="BG616">
        <v>63604.087925657339</v>
      </c>
      <c r="BH616">
        <v>15.647270161624746</v>
      </c>
      <c r="BI616">
        <v>-1377.245655374325</v>
      </c>
      <c r="BJ616">
        <v>5.7488148498347158E-2</v>
      </c>
    </row>
    <row r="617" spans="3:62" x14ac:dyDescent="0.2">
      <c r="C617" s="121">
        <v>71608.011725807621</v>
      </c>
      <c r="D617">
        <v>16.455817415447694</v>
      </c>
      <c r="E617" s="121">
        <v>73380.21516832996</v>
      </c>
      <c r="F617" s="121">
        <v>16.306278339606948</v>
      </c>
      <c r="G617" s="121">
        <v>-1772.2034425223392</v>
      </c>
      <c r="H617" s="121">
        <v>0.14953907584074599</v>
      </c>
      <c r="N617" s="121"/>
      <c r="O617" s="121"/>
      <c r="P617" s="121"/>
      <c r="R617">
        <v>200.96636266309042</v>
      </c>
      <c r="S617">
        <v>66.436613296804111</v>
      </c>
      <c r="T617">
        <v>231.9484865630439</v>
      </c>
      <c r="U617">
        <v>94.590526312723398</v>
      </c>
      <c r="X617">
        <v>0.88333940300236269</v>
      </c>
      <c r="Y617">
        <v>0.53658314060752021</v>
      </c>
      <c r="Z617">
        <v>0.86145133036820121</v>
      </c>
      <c r="AA617">
        <v>0.92484893215934916</v>
      </c>
      <c r="AB617">
        <v>0.82105319249903053</v>
      </c>
      <c r="AC617">
        <v>0.74574053682653163</v>
      </c>
      <c r="AD617">
        <v>0.73688514508598191</v>
      </c>
      <c r="AE617">
        <v>0.86642342879558365</v>
      </c>
      <c r="AH617">
        <v>8.3575357386065363E-2</v>
      </c>
      <c r="AI617">
        <v>0.11571467173977257</v>
      </c>
      <c r="AJ617">
        <v>7.0881778583937738E-2</v>
      </c>
      <c r="AK617">
        <v>3.4532598010354576E-2</v>
      </c>
      <c r="AL617">
        <v>0.18692729414872566</v>
      </c>
      <c r="AM617">
        <v>0.1536672845304482</v>
      </c>
      <c r="AN617">
        <v>0.31912731930139715</v>
      </c>
      <c r="AO617">
        <v>0.20150325776537314</v>
      </c>
      <c r="AR617">
        <v>9.7787516208214242E-4</v>
      </c>
      <c r="AS617">
        <v>4.4878970092689981E-3</v>
      </c>
      <c r="AT617">
        <v>4.739882361774062E-3</v>
      </c>
      <c r="AU617">
        <v>2.162591633469213E-3</v>
      </c>
      <c r="AV617">
        <v>2.0244521158863105E-3</v>
      </c>
      <c r="AW617">
        <v>3.365058990770625E-3</v>
      </c>
      <c r="AX617">
        <v>3.8611833737344365E-4</v>
      </c>
      <c r="AY617">
        <v>3.767029683901951E-4</v>
      </c>
      <c r="BB617">
        <v>4.9089347052531256E-2</v>
      </c>
      <c r="BC617">
        <v>3.5888456980746164E-2</v>
      </c>
      <c r="BE617">
        <v>71608.011725807621</v>
      </c>
      <c r="BF617">
        <v>16.455817415447694</v>
      </c>
      <c r="BG617">
        <v>73380.21516832996</v>
      </c>
      <c r="BH617">
        <v>16.306278339606948</v>
      </c>
      <c r="BI617">
        <v>-1772.2034425223392</v>
      </c>
      <c r="BJ617">
        <v>0.14953907584074599</v>
      </c>
    </row>
    <row r="618" spans="3:62" x14ac:dyDescent="0.2">
      <c r="C618" s="121">
        <v>60413.937628873093</v>
      </c>
      <c r="D618">
        <v>16.262499585255018</v>
      </c>
      <c r="E618" s="121">
        <v>61057.17677370763</v>
      </c>
      <c r="F618" s="121">
        <v>16.171915931213974</v>
      </c>
      <c r="G618" s="121">
        <v>-643.239144834537</v>
      </c>
      <c r="H618" s="121">
        <v>9.058365404104407E-2</v>
      </c>
      <c r="N618" s="121"/>
      <c r="O618" s="121"/>
      <c r="P618" s="121"/>
      <c r="R618">
        <v>170.63657545473529</v>
      </c>
      <c r="S618">
        <v>70.266043718721448</v>
      </c>
      <c r="T618">
        <v>239.41073774015157</v>
      </c>
      <c r="U618">
        <v>88.80026106658886</v>
      </c>
      <c r="X618">
        <v>0.54947487864525379</v>
      </c>
      <c r="Y618">
        <v>0.4964716575867833</v>
      </c>
      <c r="Z618">
        <v>0.57924004773791948</v>
      </c>
      <c r="AA618">
        <v>0.60278911668538915</v>
      </c>
      <c r="AB618">
        <v>0.52001910943808827</v>
      </c>
      <c r="AC618">
        <v>0.8111016978979233</v>
      </c>
      <c r="AD618">
        <v>0.69380124581138891</v>
      </c>
      <c r="AE618">
        <v>0.70418728746313486</v>
      </c>
      <c r="AH618">
        <v>4.5095443933160451E-2</v>
      </c>
      <c r="AI618">
        <v>5.8648090076881987E-2</v>
      </c>
      <c r="AJ618">
        <v>0.15122485849814293</v>
      </c>
      <c r="AK618">
        <v>0.19254923278810032</v>
      </c>
      <c r="AL618">
        <v>2.821735341735665E-2</v>
      </c>
      <c r="AM618">
        <v>0.43203066036798021</v>
      </c>
      <c r="AN618">
        <v>7.7444417033365465E-2</v>
      </c>
      <c r="AO618">
        <v>0.12213262118889823</v>
      </c>
      <c r="AR618">
        <v>8.030291271096567E-4</v>
      </c>
      <c r="AS618">
        <v>4.3637138121046994E-3</v>
      </c>
      <c r="AT618">
        <v>5.3509529679637291E-3</v>
      </c>
      <c r="AU618">
        <v>2.106990421844146E-3</v>
      </c>
      <c r="AV618">
        <v>1.9847787626920514E-3</v>
      </c>
      <c r="AW618">
        <v>3.1756354908179635E-3</v>
      </c>
      <c r="AX618">
        <v>3.1153642247663631E-4</v>
      </c>
      <c r="AY618">
        <v>4.9176104712800317E-4</v>
      </c>
      <c r="BB618">
        <v>4.461139240072047E-2</v>
      </c>
      <c r="BC618">
        <v>8.1867424592005245E-2</v>
      </c>
      <c r="BE618">
        <v>60413.937628873093</v>
      </c>
      <c r="BF618">
        <v>16.262499585255018</v>
      </c>
      <c r="BG618">
        <v>61057.17677370763</v>
      </c>
      <c r="BH618">
        <v>16.171915931213974</v>
      </c>
      <c r="BI618">
        <v>-643.239144834537</v>
      </c>
      <c r="BJ618">
        <v>9.058365404104407E-2</v>
      </c>
    </row>
    <row r="619" spans="3:62" x14ac:dyDescent="0.2">
      <c r="C619" s="121">
        <v>70294.257501276676</v>
      </c>
      <c r="D619">
        <v>14.009159726909266</v>
      </c>
      <c r="E619" s="121">
        <v>71878.346248470552</v>
      </c>
      <c r="F619" s="121">
        <v>13.989988115868403</v>
      </c>
      <c r="G619" s="121">
        <v>-1584.0887471938768</v>
      </c>
      <c r="H619" s="121">
        <v>1.9171611040862402E-2</v>
      </c>
      <c r="N619" s="121"/>
      <c r="O619" s="121"/>
      <c r="P619" s="121"/>
      <c r="R619">
        <v>227.62070105363813</v>
      </c>
      <c r="S619">
        <v>63.292221407933056</v>
      </c>
      <c r="T619">
        <v>266.75145473558729</v>
      </c>
      <c r="U619">
        <v>88.849806948081905</v>
      </c>
      <c r="X619">
        <v>0.70231570190896353</v>
      </c>
      <c r="Y619">
        <v>0.71913787967622622</v>
      </c>
      <c r="Z619">
        <v>0.41873550444099272</v>
      </c>
      <c r="AA619">
        <v>0.81702527150973281</v>
      </c>
      <c r="AB619">
        <v>0.92084178876852585</v>
      </c>
      <c r="AC619">
        <v>0.72771738218286586</v>
      </c>
      <c r="AD619">
        <v>0.81209346669333871</v>
      </c>
      <c r="AE619">
        <v>0.86534575951089399</v>
      </c>
      <c r="AH619">
        <v>0.10544103874530464</v>
      </c>
      <c r="AI619">
        <v>3.8971088964333878E-2</v>
      </c>
      <c r="AJ619">
        <v>0.11511597621001513</v>
      </c>
      <c r="AK619">
        <v>0.14133583371944203</v>
      </c>
      <c r="AL619">
        <v>3.8234975758984824E-2</v>
      </c>
      <c r="AM619">
        <v>1.1622243430075674E-2</v>
      </c>
      <c r="AN619">
        <v>0.15559295590073474</v>
      </c>
      <c r="AO619">
        <v>2.034394919416449E-2</v>
      </c>
      <c r="AR619">
        <v>8.0667985254335777E-4</v>
      </c>
      <c r="AS619">
        <v>4.2743222205915811E-3</v>
      </c>
      <c r="AT619">
        <v>5.1992547368024944E-3</v>
      </c>
      <c r="AU619">
        <v>1.9637560242098456E-3</v>
      </c>
      <c r="AV619">
        <v>1.9279243252772282E-3</v>
      </c>
      <c r="AW619">
        <v>3.569945662235674E-3</v>
      </c>
      <c r="AX619">
        <v>5.1995106247193501E-4</v>
      </c>
      <c r="AY619">
        <v>4.8301819377605248E-4</v>
      </c>
      <c r="BB619">
        <v>4.2284766485869714E-2</v>
      </c>
      <c r="BC619">
        <v>3.1389634112342406E-2</v>
      </c>
      <c r="BE619">
        <v>70294.257501276676</v>
      </c>
      <c r="BF619">
        <v>14.009159726909266</v>
      </c>
      <c r="BG619">
        <v>71878.346248470552</v>
      </c>
      <c r="BH619">
        <v>13.989988115868403</v>
      </c>
      <c r="BI619">
        <v>-1584.0887471938768</v>
      </c>
      <c r="BJ619">
        <v>1.9171611040862402E-2</v>
      </c>
    </row>
    <row r="620" spans="3:62" x14ac:dyDescent="0.2">
      <c r="C620" s="121">
        <v>65474.503974360916</v>
      </c>
      <c r="D620" s="121">
        <v>15.926275514480253</v>
      </c>
      <c r="E620" s="121">
        <v>67462.9865074954</v>
      </c>
      <c r="F620" s="121">
        <v>15.839925976294252</v>
      </c>
      <c r="G620" s="121">
        <v>-1988.4825331344837</v>
      </c>
      <c r="H620" s="121">
        <v>8.6349538186000885E-2</v>
      </c>
      <c r="N620" s="121"/>
      <c r="O620" s="121"/>
      <c r="P620" s="121"/>
      <c r="R620">
        <v>-5.1909065155420251</v>
      </c>
      <c r="S620">
        <v>49.030975538794607</v>
      </c>
      <c r="T620">
        <v>229.60805561663034</v>
      </c>
      <c r="U620">
        <v>92.175220628879316</v>
      </c>
      <c r="X620">
        <v>0.68502275611665153</v>
      </c>
      <c r="Y620">
        <v>0.91955057776132287</v>
      </c>
      <c r="Z620">
        <v>0.61817576109969719</v>
      </c>
      <c r="AA620">
        <v>0.5562520726318666</v>
      </c>
      <c r="AB620">
        <v>0.7269686512646103</v>
      </c>
      <c r="AC620">
        <v>0.70276184461407665</v>
      </c>
      <c r="AD620">
        <v>0.80939084470769707</v>
      </c>
      <c r="AE620">
        <v>0.682041892815891</v>
      </c>
      <c r="AH620">
        <v>7.3294567350388862E-2</v>
      </c>
      <c r="AI620">
        <v>4.1139034761466298E-2</v>
      </c>
      <c r="AJ620">
        <v>0.11002924585760498</v>
      </c>
      <c r="AK620">
        <v>0.24268937151476877</v>
      </c>
      <c r="AL620">
        <v>8.7685038533147797E-2</v>
      </c>
      <c r="AM620">
        <v>8.2525702864229666E-2</v>
      </c>
      <c r="AN620">
        <v>6.5849327344723152E-2</v>
      </c>
      <c r="AO620">
        <v>0.15628725550125999</v>
      </c>
      <c r="AR620">
        <v>7.805521396378667E-4</v>
      </c>
      <c r="AS620">
        <v>4.6171111184362124E-3</v>
      </c>
      <c r="AT620">
        <v>5.1730087391650414E-3</v>
      </c>
      <c r="AU620">
        <v>1.8990856781491523E-3</v>
      </c>
      <c r="AV620">
        <v>1.9748330317926185E-3</v>
      </c>
      <c r="AW620">
        <v>3.3582011587293234E-3</v>
      </c>
      <c r="AX620">
        <v>3.7377031800401716E-4</v>
      </c>
      <c r="AY620">
        <v>3.7497257991804712E-4</v>
      </c>
      <c r="BB620">
        <v>5.2965946943206887E-2</v>
      </c>
      <c r="BC620">
        <v>3.398703904110599E-2</v>
      </c>
      <c r="BE620">
        <v>65474.503974360916</v>
      </c>
      <c r="BF620">
        <v>15.926275514480253</v>
      </c>
      <c r="BG620">
        <v>67462.9865074954</v>
      </c>
      <c r="BH620">
        <v>15.839925976294252</v>
      </c>
      <c r="BI620">
        <v>-1988.4825331344837</v>
      </c>
      <c r="BJ620">
        <v>8.6349538186000885E-2</v>
      </c>
    </row>
    <row r="621" spans="3:62" x14ac:dyDescent="0.2">
      <c r="C621" s="121">
        <v>66755.48322987635</v>
      </c>
      <c r="D621" s="121">
        <v>16.586178369667394</v>
      </c>
      <c r="E621" s="121">
        <v>68349.882119299611</v>
      </c>
      <c r="F621" s="121">
        <v>16.548047280443701</v>
      </c>
      <c r="G621" s="121">
        <v>-1594.3988894232607</v>
      </c>
      <c r="H621" s="121">
        <v>3.8131089223693237E-2</v>
      </c>
      <c r="N621" s="121"/>
      <c r="O621" s="121"/>
      <c r="P621" s="121"/>
      <c r="R621">
        <v>251.74040785785675</v>
      </c>
      <c r="S621">
        <v>70.045793496593092</v>
      </c>
      <c r="T621">
        <v>249.82154767417805</v>
      </c>
      <c r="U621">
        <v>91.613676457048683</v>
      </c>
      <c r="X621">
        <v>0.89784205361959679</v>
      </c>
      <c r="Y621">
        <v>0.76574420244446939</v>
      </c>
      <c r="Z621">
        <v>0.60271731609312151</v>
      </c>
      <c r="AA621">
        <v>0.53127518886026726</v>
      </c>
      <c r="AB621">
        <v>0.56233772080293554</v>
      </c>
      <c r="AC621">
        <v>0.8896246840333546</v>
      </c>
      <c r="AD621">
        <v>0.89565065054028092</v>
      </c>
      <c r="AE621">
        <v>0.80546027509701335</v>
      </c>
      <c r="AH621">
        <v>3.8759184570205774E-2</v>
      </c>
      <c r="AI621">
        <v>5.4720559948594927E-2</v>
      </c>
      <c r="AJ621">
        <v>4.5439506518918482E-2</v>
      </c>
      <c r="AK621">
        <v>0.13215227846772959</v>
      </c>
      <c r="AL621">
        <v>4.8509944331032395E-2</v>
      </c>
      <c r="AM621">
        <v>0.3116011451210744</v>
      </c>
      <c r="AN621">
        <v>0.3207540268211081</v>
      </c>
      <c r="AO621">
        <v>0.16840858948458204</v>
      </c>
      <c r="AR621">
        <v>8.1883531130107331E-4</v>
      </c>
      <c r="AS621">
        <v>4.6854520815274858E-3</v>
      </c>
      <c r="AT621">
        <v>4.9586767124722986E-3</v>
      </c>
      <c r="AU621">
        <v>1.989655437615596E-3</v>
      </c>
      <c r="AV621">
        <v>1.9737896864779471E-3</v>
      </c>
      <c r="AW621">
        <v>3.408084141697465E-3</v>
      </c>
      <c r="AX621">
        <v>3.8295327837860012E-4</v>
      </c>
      <c r="AY621">
        <v>3.3996962756592791E-4</v>
      </c>
      <c r="BB621">
        <v>4.3348890892776104E-2</v>
      </c>
      <c r="BC621">
        <v>5.3415701622142153E-2</v>
      </c>
      <c r="BE621">
        <v>66755.48322987635</v>
      </c>
      <c r="BF621">
        <v>16.586178369667394</v>
      </c>
      <c r="BG621">
        <v>68349.882119299611</v>
      </c>
      <c r="BH621">
        <v>16.548047280443701</v>
      </c>
      <c r="BI621">
        <v>-1594.3988894232607</v>
      </c>
      <c r="BJ621">
        <v>3.8131089223693237E-2</v>
      </c>
    </row>
    <row r="622" spans="3:62" x14ac:dyDescent="0.2">
      <c r="C622" s="121">
        <v>76378.172713186199</v>
      </c>
      <c r="D622" s="121">
        <v>17.182789010194114</v>
      </c>
      <c r="E622" s="121">
        <v>78374.529606446056</v>
      </c>
      <c r="F622" s="121">
        <v>17.07018672679985</v>
      </c>
      <c r="G622" s="121">
        <v>-1996.3568932598573</v>
      </c>
      <c r="H622" s="121">
        <v>0.11260228339426348</v>
      </c>
      <c r="N622" s="121"/>
      <c r="O622" s="121"/>
      <c r="P622" s="121"/>
      <c r="R622">
        <v>92.630914038225797</v>
      </c>
      <c r="S622">
        <v>70.218468086210265</v>
      </c>
      <c r="T622">
        <v>231.10393496682607</v>
      </c>
      <c r="U622">
        <v>95.639461148367943</v>
      </c>
      <c r="X622">
        <v>0.63956280148259348</v>
      </c>
      <c r="Y622">
        <v>0.68308481550770506</v>
      </c>
      <c r="Z622">
        <v>0.90324121757129372</v>
      </c>
      <c r="AA622">
        <v>0.6295770015615394</v>
      </c>
      <c r="AB622">
        <v>0.81705270623734416</v>
      </c>
      <c r="AC622">
        <v>0.86498861949793338</v>
      </c>
      <c r="AD622">
        <v>0.88582902729518187</v>
      </c>
      <c r="AE622">
        <v>0.51378731074139727</v>
      </c>
      <c r="AH622">
        <v>6.8895222803051492E-2</v>
      </c>
      <c r="AI622">
        <v>0.17241933015617528</v>
      </c>
      <c r="AJ622">
        <v>0.33466937124479168</v>
      </c>
      <c r="AK622">
        <v>5.6204717976072294E-2</v>
      </c>
      <c r="AL622">
        <v>0.22485866337401195</v>
      </c>
      <c r="AM622">
        <v>0.17811195281474435</v>
      </c>
      <c r="AN622">
        <v>5.3275724132549662E-2</v>
      </c>
      <c r="AO622">
        <v>0.30952201001540181</v>
      </c>
      <c r="AR622">
        <v>8.322938480408074E-4</v>
      </c>
      <c r="AS622">
        <v>4.4318222038758981E-3</v>
      </c>
      <c r="AT622">
        <v>5.0525042276000631E-3</v>
      </c>
      <c r="AU622">
        <v>1.744832549690444E-3</v>
      </c>
      <c r="AV622">
        <v>1.9528012445085862E-3</v>
      </c>
      <c r="AW622">
        <v>3.4222487894544074E-3</v>
      </c>
      <c r="AX622">
        <v>4.507019601462936E-4</v>
      </c>
      <c r="AY622">
        <v>2.9586723466450365E-4</v>
      </c>
      <c r="BB622">
        <v>5.519140247615073E-2</v>
      </c>
      <c r="BC622">
        <v>1.7597384535443121E-2</v>
      </c>
      <c r="BE622">
        <v>76378.172713186199</v>
      </c>
      <c r="BF622">
        <v>17.182789010194114</v>
      </c>
      <c r="BG622">
        <v>78374.529606446056</v>
      </c>
      <c r="BH622">
        <v>17.07018672679985</v>
      </c>
      <c r="BI622">
        <v>-1996.3568932598573</v>
      </c>
      <c r="BJ622">
        <v>0.11260228339426348</v>
      </c>
    </row>
    <row r="623" spans="3:62" x14ac:dyDescent="0.2">
      <c r="C623" s="121">
        <v>69742.512998193415</v>
      </c>
      <c r="D623" s="121">
        <v>16.122685326447744</v>
      </c>
      <c r="E623" s="121">
        <v>71185.836745007371</v>
      </c>
      <c r="F623" s="121">
        <v>15.987191125560431</v>
      </c>
      <c r="G623" s="121">
        <v>-1443.3237468139559</v>
      </c>
      <c r="H623" s="121">
        <v>0.13549420088731345</v>
      </c>
      <c r="N623" s="121"/>
      <c r="O623" s="121"/>
      <c r="P623" s="121"/>
      <c r="R623">
        <v>265.97532234363081</v>
      </c>
      <c r="S623">
        <v>47.43163799273411</v>
      </c>
      <c r="T623">
        <v>283.20425390531091</v>
      </c>
      <c r="U623">
        <v>83.454023012632959</v>
      </c>
      <c r="X623">
        <v>0.98562206046595047</v>
      </c>
      <c r="Y623">
        <v>0.55224597010999588</v>
      </c>
      <c r="Z623">
        <v>0.51497757822081069</v>
      </c>
      <c r="AA623">
        <v>0.63722196034183143</v>
      </c>
      <c r="AB623">
        <v>0.75586733287621621</v>
      </c>
      <c r="AC623">
        <v>0.62423684346483932</v>
      </c>
      <c r="AD623">
        <v>0.57887444533956245</v>
      </c>
      <c r="AE623">
        <v>0.62065805105406446</v>
      </c>
      <c r="AH623">
        <v>0.10120221858916689</v>
      </c>
      <c r="AI623">
        <v>4.4124824102001914E-2</v>
      </c>
      <c r="AJ623">
        <v>8.2375869747998376E-2</v>
      </c>
      <c r="AK623">
        <v>0.21136907835533059</v>
      </c>
      <c r="AL623">
        <v>8.2282268266821168E-2</v>
      </c>
      <c r="AM623">
        <v>0.2144392371570093</v>
      </c>
      <c r="AN623">
        <v>0.20267236643597064</v>
      </c>
      <c r="AO623">
        <v>0.12106066408492611</v>
      </c>
      <c r="AR623">
        <v>9.7612056657359059E-4</v>
      </c>
      <c r="AS623">
        <v>4.6442178922136979E-3</v>
      </c>
      <c r="AT623">
        <v>4.9383804356159106E-3</v>
      </c>
      <c r="AU623">
        <v>2.0844653816375347E-3</v>
      </c>
      <c r="AV623">
        <v>2.2056668574771399E-3</v>
      </c>
      <c r="AW623">
        <v>3.1664773719712884E-3</v>
      </c>
      <c r="AX623">
        <v>4.301691377686101E-4</v>
      </c>
      <c r="AY623">
        <v>4.1479130604759495E-4</v>
      </c>
      <c r="BB623">
        <v>5.4155718300836209E-2</v>
      </c>
      <c r="BC623">
        <v>6.5673553054530376E-2</v>
      </c>
      <c r="BE623">
        <v>69742.512998193415</v>
      </c>
      <c r="BF623">
        <v>16.122685326447744</v>
      </c>
      <c r="BG623">
        <v>71185.836745007371</v>
      </c>
      <c r="BH623">
        <v>15.987191125560431</v>
      </c>
      <c r="BI623">
        <v>-1443.3237468139559</v>
      </c>
      <c r="BJ623">
        <v>0.13549420088731345</v>
      </c>
    </row>
    <row r="624" spans="3:62" x14ac:dyDescent="0.2">
      <c r="C624" s="121">
        <v>66091.149595105671</v>
      </c>
      <c r="D624" s="121">
        <v>15.634349834132625</v>
      </c>
      <c r="E624" s="121">
        <v>67883.759863229148</v>
      </c>
      <c r="F624" s="121">
        <v>15.530976433370638</v>
      </c>
      <c r="G624" s="121">
        <v>-1792.610268123477</v>
      </c>
      <c r="H624" s="121">
        <v>0.10337340076198664</v>
      </c>
      <c r="N624" s="121"/>
      <c r="O624" s="121"/>
      <c r="P624" s="121"/>
      <c r="R624">
        <v>128.03445264989833</v>
      </c>
      <c r="S624">
        <v>64.694233352871763</v>
      </c>
      <c r="T624">
        <v>251.34369298004194</v>
      </c>
      <c r="U624">
        <v>101.85231456016868</v>
      </c>
      <c r="X624">
        <v>0.69065637422126014</v>
      </c>
      <c r="Y624">
        <v>0.71027345400631758</v>
      </c>
      <c r="Z624">
        <v>0.93722369848815645</v>
      </c>
      <c r="AA624">
        <v>0.95024908019921739</v>
      </c>
      <c r="AB624">
        <v>0.71657085786527419</v>
      </c>
      <c r="AC624">
        <v>0.7658498171965934</v>
      </c>
      <c r="AD624">
        <v>0.81690951086632302</v>
      </c>
      <c r="AE624">
        <v>0.8746150852544885</v>
      </c>
      <c r="AH624">
        <v>5.0496629256322034E-2</v>
      </c>
      <c r="AI624">
        <v>0.12079230119539941</v>
      </c>
      <c r="AJ624">
        <v>3.3025670914777816E-2</v>
      </c>
      <c r="AK624">
        <v>1.4547195580412176E-2</v>
      </c>
      <c r="AL624">
        <v>0.16548886773191096</v>
      </c>
      <c r="AM624">
        <v>0.14404602184048321</v>
      </c>
      <c r="AN624">
        <v>6.9206941246811704E-2</v>
      </c>
      <c r="AO624">
        <v>0.1915719861384616</v>
      </c>
      <c r="AR624">
        <v>1.0951782298481705E-3</v>
      </c>
      <c r="AS624">
        <v>4.5955423794963313E-3</v>
      </c>
      <c r="AT624">
        <v>5.1735305177577073E-3</v>
      </c>
      <c r="AU624">
        <v>1.9941434564120183E-3</v>
      </c>
      <c r="AV624">
        <v>2.0558530110749151E-3</v>
      </c>
      <c r="AW624">
        <v>3.8575090497295905E-3</v>
      </c>
      <c r="AX624">
        <v>4.3988090872182362E-4</v>
      </c>
      <c r="AY624">
        <v>3.8158052750044352E-4</v>
      </c>
      <c r="BB624">
        <v>4.1460934610253526E-2</v>
      </c>
      <c r="BC624">
        <v>5.4559809237594847E-2</v>
      </c>
      <c r="BE624">
        <v>66091.149595105671</v>
      </c>
      <c r="BF624">
        <v>15.634349834132625</v>
      </c>
      <c r="BG624">
        <v>67883.759863229148</v>
      </c>
      <c r="BH624">
        <v>15.530976433370638</v>
      </c>
      <c r="BI624">
        <v>-1792.610268123477</v>
      </c>
      <c r="BJ624">
        <v>0.10337340076198664</v>
      </c>
    </row>
    <row r="625" spans="3:62" x14ac:dyDescent="0.2">
      <c r="C625" s="121">
        <v>67215.733611484116</v>
      </c>
      <c r="D625" s="121">
        <v>16.826730956595483</v>
      </c>
      <c r="E625" s="121">
        <v>68632.010006649172</v>
      </c>
      <c r="F625" s="121">
        <v>16.761443959688453</v>
      </c>
      <c r="G625" s="121">
        <v>-1416.2763951650559</v>
      </c>
      <c r="H625" s="121">
        <v>6.5286996907030215E-2</v>
      </c>
      <c r="N625" s="121"/>
      <c r="O625" s="121"/>
      <c r="P625" s="121"/>
      <c r="R625">
        <v>253.44348029577409</v>
      </c>
      <c r="S625">
        <v>55.814652686515615</v>
      </c>
      <c r="T625">
        <v>241.1910664802266</v>
      </c>
      <c r="U625">
        <v>92.163661263038563</v>
      </c>
      <c r="X625">
        <v>0.84251642237259272</v>
      </c>
      <c r="Y625">
        <v>0.71489822499141464</v>
      </c>
      <c r="Z625">
        <v>0.61807309409447442</v>
      </c>
      <c r="AA625">
        <v>0.75465331047800732</v>
      </c>
      <c r="AB625">
        <v>0.88842028557417063</v>
      </c>
      <c r="AC625">
        <v>0.57429165790756087</v>
      </c>
      <c r="AD625">
        <v>0.87065524008233441</v>
      </c>
      <c r="AE625">
        <v>0.93746032008377322</v>
      </c>
      <c r="AH625">
        <v>0.40967553528467759</v>
      </c>
      <c r="AI625">
        <v>7.8000593426240217E-2</v>
      </c>
      <c r="AJ625">
        <v>5.1554293805049167E-2</v>
      </c>
      <c r="AK625">
        <v>6.4192964994672863E-2</v>
      </c>
      <c r="AL625">
        <v>6.7221589718591934E-2</v>
      </c>
      <c r="AM625">
        <v>7.7059952888787198E-2</v>
      </c>
      <c r="AN625">
        <v>6.7556840234401894E-2</v>
      </c>
      <c r="AO625">
        <v>0.16706591690645911</v>
      </c>
      <c r="AR625">
        <v>9.846970426624635E-4</v>
      </c>
      <c r="AS625">
        <v>4.8894725438176634E-3</v>
      </c>
      <c r="AT625">
        <v>4.9342913603289086E-3</v>
      </c>
      <c r="AU625">
        <v>1.8730317852418091E-3</v>
      </c>
      <c r="AV625">
        <v>1.991389633997284E-3</v>
      </c>
      <c r="AW625">
        <v>3.3004038597381621E-3</v>
      </c>
      <c r="AX625">
        <v>4.5977704106481276E-4</v>
      </c>
      <c r="AY625">
        <v>4.7612999017054847E-4</v>
      </c>
      <c r="BB625">
        <v>4.8827816921903563E-2</v>
      </c>
      <c r="BC625">
        <v>8.7366410676375569E-3</v>
      </c>
      <c r="BE625">
        <v>67215.733611484116</v>
      </c>
      <c r="BF625">
        <v>16.826730956595483</v>
      </c>
      <c r="BG625">
        <v>68632.010006649172</v>
      </c>
      <c r="BH625">
        <v>16.761443959688453</v>
      </c>
      <c r="BI625">
        <v>-1416.2763951650559</v>
      </c>
      <c r="BJ625">
        <v>6.5286996907030215E-2</v>
      </c>
    </row>
    <row r="626" spans="3:62" x14ac:dyDescent="0.2">
      <c r="C626" s="121">
        <v>70859.696916198533</v>
      </c>
      <c r="D626" s="121">
        <v>17.03552304869665</v>
      </c>
      <c r="E626" s="121">
        <v>72772.814320922393</v>
      </c>
      <c r="F626" s="121">
        <v>16.889619477577565</v>
      </c>
      <c r="G626" s="121">
        <v>-1913.1174047238601</v>
      </c>
      <c r="H626" s="121">
        <v>0.14590357111908503</v>
      </c>
      <c r="N626" s="121"/>
      <c r="O626" s="121"/>
      <c r="P626" s="121"/>
      <c r="R626">
        <v>260.5071358889885</v>
      </c>
      <c r="S626">
        <v>67.847626492298332</v>
      </c>
      <c r="T626">
        <v>253.66963773514502</v>
      </c>
      <c r="U626">
        <v>102.2923763207653</v>
      </c>
      <c r="X626">
        <v>0.90443213860213056</v>
      </c>
      <c r="Y626">
        <v>0.68409400120352815</v>
      </c>
      <c r="Z626">
        <v>0.89584074351817677</v>
      </c>
      <c r="AA626">
        <v>0.84865210757858467</v>
      </c>
      <c r="AB626">
        <v>0.70429355268931582</v>
      </c>
      <c r="AC626">
        <v>0.58633867929861883</v>
      </c>
      <c r="AD626">
        <v>0.71324403121244739</v>
      </c>
      <c r="AE626">
        <v>0.68547810732305925</v>
      </c>
      <c r="AH626">
        <v>0.15545296077418769</v>
      </c>
      <c r="AI626">
        <v>0.11746487744104728</v>
      </c>
      <c r="AJ626">
        <v>4.1114186595173186E-2</v>
      </c>
      <c r="AK626">
        <v>0.16091138447594244</v>
      </c>
      <c r="AL626">
        <v>7.4382121192726025E-2</v>
      </c>
      <c r="AM626">
        <v>0.16613472141606445</v>
      </c>
      <c r="AN626">
        <v>0.16021677309984439</v>
      </c>
      <c r="AO626">
        <v>0.1086186619164764</v>
      </c>
      <c r="AR626">
        <v>8.5100099815101104E-4</v>
      </c>
      <c r="AS626">
        <v>4.302151158362722E-3</v>
      </c>
      <c r="AT626">
        <v>5.0080589025351951E-3</v>
      </c>
      <c r="AU626">
        <v>1.9475461525896751E-3</v>
      </c>
      <c r="AV626">
        <v>1.8031959881568329E-3</v>
      </c>
      <c r="AW626">
        <v>3.8423973132446498E-3</v>
      </c>
      <c r="AX626">
        <v>4.3388228491747505E-4</v>
      </c>
      <c r="AY626">
        <v>6.9414266184197881E-4</v>
      </c>
      <c r="BB626">
        <v>3.8877620265145588E-2</v>
      </c>
      <c r="BC626">
        <v>2.3052967637402073E-2</v>
      </c>
      <c r="BE626">
        <v>70859.696916198533</v>
      </c>
      <c r="BF626">
        <v>17.03552304869665</v>
      </c>
      <c r="BG626">
        <v>72772.814320922393</v>
      </c>
      <c r="BH626">
        <v>16.889619477577565</v>
      </c>
      <c r="BI626">
        <v>-1913.1174047238601</v>
      </c>
      <c r="BJ626">
        <v>0.14590357111908503</v>
      </c>
    </row>
    <row r="627" spans="3:62" x14ac:dyDescent="0.2">
      <c r="C627" s="121">
        <v>67538.229390672801</v>
      </c>
      <c r="D627" s="121">
        <v>17.147411796743324</v>
      </c>
      <c r="E627" s="121">
        <v>68948.76207037206</v>
      </c>
      <c r="F627" s="121">
        <v>17.020564007705712</v>
      </c>
      <c r="G627" s="121">
        <v>-1410.5326796992595</v>
      </c>
      <c r="H627" s="121">
        <v>0.12684778903761185</v>
      </c>
      <c r="N627" s="121"/>
      <c r="O627" s="121"/>
      <c r="P627" s="121"/>
      <c r="R627">
        <v>142.30910692987425</v>
      </c>
      <c r="S627">
        <v>62.367621784156263</v>
      </c>
      <c r="T627">
        <v>200.80640812487951</v>
      </c>
      <c r="U627">
        <v>107.00282908673171</v>
      </c>
      <c r="X627">
        <v>0.65716390573435524</v>
      </c>
      <c r="Y627">
        <v>0.64461492793736908</v>
      </c>
      <c r="Z627">
        <v>0.82680108803647201</v>
      </c>
      <c r="AA627">
        <v>0.74377542702243948</v>
      </c>
      <c r="AB627">
        <v>0.8200034416843931</v>
      </c>
      <c r="AC627">
        <v>0.98394733400857137</v>
      </c>
      <c r="AD627">
        <v>0.87257029357094207</v>
      </c>
      <c r="AE627">
        <v>0.88399903079295394</v>
      </c>
      <c r="AH627">
        <v>0.19822201161970199</v>
      </c>
      <c r="AI627">
        <v>0.179748962646333</v>
      </c>
      <c r="AJ627">
        <v>0.13319219447397257</v>
      </c>
      <c r="AK627">
        <v>0.10909913752247102</v>
      </c>
      <c r="AL627">
        <v>5.107088328575593E-2</v>
      </c>
      <c r="AM627">
        <v>0.14158765797936046</v>
      </c>
      <c r="AN627">
        <v>0.10753591842585086</v>
      </c>
      <c r="AO627">
        <v>8.8313734768079799E-2</v>
      </c>
      <c r="AR627">
        <v>7.9014669830222446E-4</v>
      </c>
      <c r="AS627">
        <v>4.7441953353823951E-3</v>
      </c>
      <c r="AT627">
        <v>5.1704962247068886E-3</v>
      </c>
      <c r="AU627">
        <v>1.8733542534083347E-3</v>
      </c>
      <c r="AV627">
        <v>1.9918554870362246E-3</v>
      </c>
      <c r="AW627">
        <v>3.6530990378510486E-3</v>
      </c>
      <c r="AX627">
        <v>4.477572350347625E-4</v>
      </c>
      <c r="AY627">
        <v>5.4682612551859577E-4</v>
      </c>
      <c r="BB627">
        <v>6.1856226873381548E-2</v>
      </c>
      <c r="BC627">
        <v>5.0029315320395673E-2</v>
      </c>
      <c r="BE627">
        <v>67538.229390672801</v>
      </c>
      <c r="BF627">
        <v>17.147411796743324</v>
      </c>
      <c r="BG627">
        <v>68948.76207037206</v>
      </c>
      <c r="BH627">
        <v>17.020564007705712</v>
      </c>
      <c r="BI627">
        <v>-1410.5326796992595</v>
      </c>
      <c r="BJ627">
        <v>0.12684778903761185</v>
      </c>
    </row>
    <row r="628" spans="3:62" x14ac:dyDescent="0.2">
      <c r="C628" s="121">
        <v>61575.834683027992</v>
      </c>
      <c r="D628" s="121">
        <v>17.151496094724479</v>
      </c>
      <c r="E628" s="121">
        <v>63185.11359764621</v>
      </c>
      <c r="F628" s="121">
        <v>17.000674541138832</v>
      </c>
      <c r="G628" s="121">
        <v>-1609.2789146182186</v>
      </c>
      <c r="H628" s="121">
        <v>0.15082155358564719</v>
      </c>
      <c r="N628" s="121"/>
      <c r="O628" s="121"/>
      <c r="P628" s="121"/>
      <c r="R628">
        <v>264.89622970143114</v>
      </c>
      <c r="S628">
        <v>72.516335615094164</v>
      </c>
      <c r="T628">
        <v>231.42225140541947</v>
      </c>
      <c r="U628">
        <v>84.687353557160861</v>
      </c>
      <c r="X628">
        <v>0.91216166451888137</v>
      </c>
      <c r="Y628">
        <v>0.70072060296358196</v>
      </c>
      <c r="Z628">
        <v>0.68819211153893067</v>
      </c>
      <c r="AA628">
        <v>0.76272451670678387</v>
      </c>
      <c r="AB628">
        <v>0.89762045727404849</v>
      </c>
      <c r="AC628">
        <v>0.66206529121871804</v>
      </c>
      <c r="AD628">
        <v>0.80347315320281543</v>
      </c>
      <c r="AE628">
        <v>0.79122456974979205</v>
      </c>
      <c r="AH628">
        <v>7.2473569446886987E-2</v>
      </c>
      <c r="AI628">
        <v>0.11421878123537987</v>
      </c>
      <c r="AJ628">
        <v>0.105874434730997</v>
      </c>
      <c r="AK628">
        <v>0.29643396683146528</v>
      </c>
      <c r="AL628">
        <v>8.7939916949415275E-2</v>
      </c>
      <c r="AM628">
        <v>0.11514262228029293</v>
      </c>
      <c r="AN628">
        <v>5.889014142544835E-2</v>
      </c>
      <c r="AO628">
        <v>0.17759000190423047</v>
      </c>
      <c r="AR628">
        <v>8.7899789357863487E-4</v>
      </c>
      <c r="AS628">
        <v>4.8110577031295065E-3</v>
      </c>
      <c r="AT628">
        <v>4.7930521582169507E-3</v>
      </c>
      <c r="AU628">
        <v>1.8908375709038294E-3</v>
      </c>
      <c r="AV628">
        <v>1.9093795669812581E-3</v>
      </c>
      <c r="AW628">
        <v>3.2842056017096275E-3</v>
      </c>
      <c r="AX628">
        <v>4.305097896266652E-4</v>
      </c>
      <c r="AY628">
        <v>4.4844508646713077E-4</v>
      </c>
      <c r="BB628">
        <v>5.0054656614683002E-2</v>
      </c>
      <c r="BC628">
        <v>6.077367311903259E-2</v>
      </c>
      <c r="BE628">
        <v>61575.834683027992</v>
      </c>
      <c r="BF628">
        <v>17.151496094724479</v>
      </c>
      <c r="BG628">
        <v>63185.11359764621</v>
      </c>
      <c r="BH628">
        <v>17.000674541138832</v>
      </c>
      <c r="BI628">
        <v>-1609.2789146182186</v>
      </c>
      <c r="BJ628">
        <v>0.15082155358564719</v>
      </c>
    </row>
    <row r="629" spans="3:62" x14ac:dyDescent="0.2">
      <c r="C629" s="121">
        <v>67189.092489095317</v>
      </c>
      <c r="D629" s="121">
        <v>17.439286813271682</v>
      </c>
      <c r="E629" s="121">
        <v>69404.890692628062</v>
      </c>
      <c r="F629" s="121">
        <v>17.277932977532057</v>
      </c>
      <c r="G629" s="121">
        <v>-2215.7982035327441</v>
      </c>
      <c r="H629" s="121">
        <v>0.16135383573962514</v>
      </c>
      <c r="N629" s="121"/>
      <c r="O629" s="121"/>
      <c r="P629" s="121"/>
      <c r="R629">
        <v>287.82696833928821</v>
      </c>
      <c r="S629">
        <v>59.873293063525367</v>
      </c>
      <c r="T629">
        <v>255.21996511359455</v>
      </c>
      <c r="U629">
        <v>108.21920966487437</v>
      </c>
      <c r="X629">
        <v>0.88627426351885752</v>
      </c>
      <c r="Y629">
        <v>0.93129338400151429</v>
      </c>
      <c r="Z629">
        <v>0.70249879686283323</v>
      </c>
      <c r="AA629">
        <v>0.64142905025276598</v>
      </c>
      <c r="AB629">
        <v>0.89532877219229712</v>
      </c>
      <c r="AC629">
        <v>0.78608921556974232</v>
      </c>
      <c r="AD629">
        <v>0.54682395511858739</v>
      </c>
      <c r="AE629">
        <v>0.74288608984755033</v>
      </c>
      <c r="AH629">
        <v>4.9214721935293193E-2</v>
      </c>
      <c r="AI629">
        <v>0.13846408334621818</v>
      </c>
      <c r="AJ629">
        <v>6.8133175065517859E-2</v>
      </c>
      <c r="AK629">
        <v>0.21496139608219966</v>
      </c>
      <c r="AL629">
        <v>8.7150023611114458E-2</v>
      </c>
      <c r="AM629">
        <v>0.16481729884923912</v>
      </c>
      <c r="AN629">
        <v>9.5501312428552421E-2</v>
      </c>
      <c r="AO629">
        <v>6.3122310192549214E-2</v>
      </c>
      <c r="AR629">
        <v>7.7781391240752077E-4</v>
      </c>
      <c r="AS629">
        <v>4.3450090103256886E-3</v>
      </c>
      <c r="AT629">
        <v>5.0589437112859015E-3</v>
      </c>
      <c r="AU629">
        <v>1.9396058329139891E-3</v>
      </c>
      <c r="AV629">
        <v>1.9671383627087266E-3</v>
      </c>
      <c r="AW629">
        <v>3.682085808638047E-3</v>
      </c>
      <c r="AX629">
        <v>3.823297621208477E-4</v>
      </c>
      <c r="AY629">
        <v>5.4005692966618835E-4</v>
      </c>
      <c r="BB629">
        <v>5.343588614333461E-2</v>
      </c>
      <c r="BC629">
        <v>0.11099903841895709</v>
      </c>
      <c r="BE629">
        <v>67189.092489095317</v>
      </c>
      <c r="BF629">
        <v>17.439286813271682</v>
      </c>
      <c r="BG629">
        <v>69404.890692628062</v>
      </c>
      <c r="BH629">
        <v>17.277932977532057</v>
      </c>
      <c r="BI629">
        <v>-2215.7982035327441</v>
      </c>
      <c r="BJ629">
        <v>0.16135383573962514</v>
      </c>
    </row>
    <row r="630" spans="3:62" x14ac:dyDescent="0.2">
      <c r="C630" s="121">
        <v>76119.944123364534</v>
      </c>
      <c r="D630" s="121">
        <v>15.598667111963243</v>
      </c>
      <c r="E630" s="121">
        <v>77639.920530934876</v>
      </c>
      <c r="F630" s="121">
        <v>15.465298613277943</v>
      </c>
      <c r="G630" s="121">
        <v>-1519.9764075703424</v>
      </c>
      <c r="H630" s="121">
        <v>0.1333684986853001</v>
      </c>
      <c r="N630" s="121"/>
      <c r="O630" s="121"/>
      <c r="P630" s="121"/>
      <c r="R630">
        <v>181.21408176643808</v>
      </c>
      <c r="S630">
        <v>69.498149886681063</v>
      </c>
      <c r="T630">
        <v>266.4415101996691</v>
      </c>
      <c r="U630">
        <v>93.777737766562964</v>
      </c>
      <c r="X630">
        <v>0.67300469503699256</v>
      </c>
      <c r="Y630">
        <v>0.83167060173988583</v>
      </c>
      <c r="Z630">
        <v>0.77791161827052813</v>
      </c>
      <c r="AA630">
        <v>0.93866190811447947</v>
      </c>
      <c r="AB630">
        <v>0.56741445340899133</v>
      </c>
      <c r="AC630">
        <v>0.65982711306758401</v>
      </c>
      <c r="AD630">
        <v>0.67356270573107069</v>
      </c>
      <c r="AE630">
        <v>0.82987881480927261</v>
      </c>
      <c r="AH630">
        <v>2.8198548567125892E-2</v>
      </c>
      <c r="AI630">
        <v>0.10353802701817538</v>
      </c>
      <c r="AJ630">
        <v>7.0744619704263378E-2</v>
      </c>
      <c r="AK630">
        <v>0.1033716042880487</v>
      </c>
      <c r="AL630">
        <v>1.8587539110092921E-2</v>
      </c>
      <c r="AM630">
        <v>0.16816521987928856</v>
      </c>
      <c r="AN630">
        <v>1.5893159798280321E-3</v>
      </c>
      <c r="AO630">
        <v>0.12386559763722638</v>
      </c>
      <c r="AR630">
        <v>8.1316925149282275E-4</v>
      </c>
      <c r="AS630">
        <v>4.3272453061208357E-3</v>
      </c>
      <c r="AT630">
        <v>5.1524095802790715E-3</v>
      </c>
      <c r="AU630">
        <v>2.0167175458232212E-3</v>
      </c>
      <c r="AV630">
        <v>2.0258886677025911E-3</v>
      </c>
      <c r="AW630">
        <v>3.2821045882348862E-3</v>
      </c>
      <c r="AX630">
        <v>3.6676265036021151E-4</v>
      </c>
      <c r="AY630">
        <v>4.1161055500956589E-4</v>
      </c>
      <c r="BB630">
        <v>4.3810839106949259E-2</v>
      </c>
      <c r="BC630">
        <v>3.7538615914438786E-2</v>
      </c>
      <c r="BE630">
        <v>76119.944123364534</v>
      </c>
      <c r="BF630">
        <v>15.598667111963243</v>
      </c>
      <c r="BG630">
        <v>77639.920530934876</v>
      </c>
      <c r="BH630">
        <v>15.465298613277943</v>
      </c>
      <c r="BI630">
        <v>-1519.9764075703424</v>
      </c>
      <c r="BJ630">
        <v>0.1333684986853001</v>
      </c>
    </row>
    <row r="631" spans="3:62" x14ac:dyDescent="0.2">
      <c r="C631" s="121">
        <v>68933.655915789132</v>
      </c>
      <c r="D631" s="121">
        <v>17.485885481211618</v>
      </c>
      <c r="E631" s="121">
        <v>70190.198776919104</v>
      </c>
      <c r="F631" s="121">
        <v>17.44371746392174</v>
      </c>
      <c r="G631" s="121">
        <v>-1256.5428611299722</v>
      </c>
      <c r="H631" s="121">
        <v>4.2168017289878179E-2</v>
      </c>
      <c r="N631" s="121"/>
      <c r="O631" s="121"/>
      <c r="P631" s="121"/>
      <c r="R631">
        <v>120.40937595399146</v>
      </c>
      <c r="S631">
        <v>61.904748292319915</v>
      </c>
      <c r="T631">
        <v>270.91784626075963</v>
      </c>
      <c r="U631">
        <v>89.522279633780855</v>
      </c>
      <c r="X631">
        <v>0.75918380346998104</v>
      </c>
      <c r="Y631">
        <v>0.61712265406292521</v>
      </c>
      <c r="Z631">
        <v>0.57230308610664293</v>
      </c>
      <c r="AA631">
        <v>0.54301611425662066</v>
      </c>
      <c r="AB631">
        <v>0.71237042942781781</v>
      </c>
      <c r="AC631">
        <v>0.58264917272013694</v>
      </c>
      <c r="AD631">
        <v>0.61244533747174246</v>
      </c>
      <c r="AE631">
        <v>0.53106574029092812</v>
      </c>
      <c r="AH631">
        <v>0.10315286261729184</v>
      </c>
      <c r="AI631">
        <v>0.10647341069394645</v>
      </c>
      <c r="AJ631">
        <v>0.10073154342172441</v>
      </c>
      <c r="AK631">
        <v>8.1901914445768997E-2</v>
      </c>
      <c r="AL631">
        <v>0.21286133895780113</v>
      </c>
      <c r="AM631">
        <v>0.25951369509483557</v>
      </c>
      <c r="AN631">
        <v>0.11312499403441112</v>
      </c>
      <c r="AO631">
        <v>6.2066213647132717E-2</v>
      </c>
      <c r="AR631">
        <v>7.3726421930732128E-4</v>
      </c>
      <c r="AS631">
        <v>4.381898003025627E-3</v>
      </c>
      <c r="AT631">
        <v>4.8662041157285871E-3</v>
      </c>
      <c r="AU631">
        <v>1.9189073127985339E-3</v>
      </c>
      <c r="AV631">
        <v>1.9778214626121316E-3</v>
      </c>
      <c r="AW631">
        <v>3.586562975619878E-3</v>
      </c>
      <c r="AX631">
        <v>3.3283210349952555E-4</v>
      </c>
      <c r="AY631">
        <v>3.9467502532995692E-4</v>
      </c>
      <c r="BB631">
        <v>4.9874544894271788E-2</v>
      </c>
      <c r="BC631">
        <v>7.6827875710961946E-2</v>
      </c>
      <c r="BE631">
        <v>68933.655915789132</v>
      </c>
      <c r="BF631">
        <v>17.485885481211618</v>
      </c>
      <c r="BG631">
        <v>70190.198776919104</v>
      </c>
      <c r="BH631">
        <v>17.44371746392174</v>
      </c>
      <c r="BI631">
        <v>-1256.5428611299722</v>
      </c>
      <c r="BJ631">
        <v>4.2168017289878179E-2</v>
      </c>
    </row>
    <row r="632" spans="3:62" x14ac:dyDescent="0.2">
      <c r="C632" s="121">
        <v>70077.101730812239</v>
      </c>
      <c r="D632" s="121">
        <v>15.527724031926498</v>
      </c>
      <c r="E632" s="121">
        <v>72099.575140689689</v>
      </c>
      <c r="F632" s="121">
        <v>15.446289080908027</v>
      </c>
      <c r="G632" s="121">
        <v>-2022.4734098774497</v>
      </c>
      <c r="H632" s="121">
        <v>8.1434951018470869E-2</v>
      </c>
      <c r="N632" s="121"/>
      <c r="O632" s="121"/>
      <c r="P632" s="121"/>
      <c r="R632">
        <v>210.50874817378428</v>
      </c>
      <c r="S632">
        <v>66.588756726467523</v>
      </c>
      <c r="T632">
        <v>219.55887645679593</v>
      </c>
      <c r="U632">
        <v>80.926087947332235</v>
      </c>
      <c r="X632">
        <v>0.78305520233836767</v>
      </c>
      <c r="Y632">
        <v>0.72087500879456756</v>
      </c>
      <c r="Z632">
        <v>0.85025656941697725</v>
      </c>
      <c r="AA632">
        <v>0.782979176868419</v>
      </c>
      <c r="AB632">
        <v>0.61710142179234806</v>
      </c>
      <c r="AC632">
        <v>0.77768100498687209</v>
      </c>
      <c r="AD632">
        <v>0.81234614478354716</v>
      </c>
      <c r="AE632">
        <v>0.79596586092795885</v>
      </c>
      <c r="AH632">
        <v>0.16528489183975059</v>
      </c>
      <c r="AI632">
        <v>8.2362102150295824E-2</v>
      </c>
      <c r="AJ632">
        <v>0.19911585136541887</v>
      </c>
      <c r="AK632">
        <v>0.18380888251913785</v>
      </c>
      <c r="AL632">
        <v>0.24346942871546318</v>
      </c>
      <c r="AM632">
        <v>0.2460270274176346</v>
      </c>
      <c r="AN632">
        <v>0.37839599941851787</v>
      </c>
      <c r="AO632">
        <v>6.8477981176298774E-2</v>
      </c>
      <c r="AR632">
        <v>8.3931619275018745E-4</v>
      </c>
      <c r="AS632">
        <v>4.5888684514749922E-3</v>
      </c>
      <c r="AT632">
        <v>4.9274407307034127E-3</v>
      </c>
      <c r="AU632">
        <v>1.9664140719538406E-3</v>
      </c>
      <c r="AV632">
        <v>2.1038668282291617E-3</v>
      </c>
      <c r="AW632">
        <v>2.9886528267999111E-3</v>
      </c>
      <c r="AX632">
        <v>3.4017487978835192E-4</v>
      </c>
      <c r="AY632">
        <v>4.0766612996632356E-4</v>
      </c>
      <c r="BB632">
        <v>4.9389589584661976E-2</v>
      </c>
      <c r="BC632">
        <v>6.0186112543361925E-2</v>
      </c>
      <c r="BE632">
        <v>70077.101730812239</v>
      </c>
      <c r="BF632">
        <v>15.527724031926498</v>
      </c>
      <c r="BG632">
        <v>72099.575140689689</v>
      </c>
      <c r="BH632">
        <v>15.446289080908027</v>
      </c>
      <c r="BI632">
        <v>-2022.4734098774497</v>
      </c>
      <c r="BJ632">
        <v>8.1434951018470869E-2</v>
      </c>
    </row>
    <row r="633" spans="3:62" x14ac:dyDescent="0.2">
      <c r="C633" s="121">
        <v>63593.111158950735</v>
      </c>
      <c r="D633" s="121">
        <v>16.977882129897232</v>
      </c>
      <c r="E633" s="121">
        <v>65262.177512072783</v>
      </c>
      <c r="F633" s="121">
        <v>16.857705986356798</v>
      </c>
      <c r="G633" s="121">
        <v>-1669.0663531220489</v>
      </c>
      <c r="H633" s="121">
        <v>0.1201761435404336</v>
      </c>
      <c r="N633" s="121"/>
      <c r="O633" s="121"/>
      <c r="P633" s="121"/>
      <c r="R633">
        <v>134.21836872708803</v>
      </c>
      <c r="S633">
        <v>58.744651955797572</v>
      </c>
      <c r="T633">
        <v>232.43102331125195</v>
      </c>
      <c r="U633">
        <v>96.218660645707445</v>
      </c>
      <c r="X633">
        <v>0.58172529422385244</v>
      </c>
      <c r="Y633">
        <v>0.94784280251771358</v>
      </c>
      <c r="Z633">
        <v>0.7625536850089063</v>
      </c>
      <c r="AA633">
        <v>0.71644470198213595</v>
      </c>
      <c r="AB633">
        <v>0.85976943112450266</v>
      </c>
      <c r="AC633">
        <v>0.82073627684951733</v>
      </c>
      <c r="AD633">
        <v>0.72006137850229279</v>
      </c>
      <c r="AE633">
        <v>0.85676897952641995</v>
      </c>
      <c r="AH633">
        <v>7.049850129339208E-2</v>
      </c>
      <c r="AI633">
        <v>6.1940003368113894E-2</v>
      </c>
      <c r="AJ633">
        <v>2.6432614246626018E-2</v>
      </c>
      <c r="AK633">
        <v>4.2964773099268494E-2</v>
      </c>
      <c r="AL633">
        <v>3.0876407894645963E-2</v>
      </c>
      <c r="AM633">
        <v>0.13326093955755369</v>
      </c>
      <c r="AN633">
        <v>2.5671218574596644E-2</v>
      </c>
      <c r="AO633">
        <v>7.6434654976354266E-2</v>
      </c>
      <c r="AR633">
        <v>7.8801975338132525E-4</v>
      </c>
      <c r="AS633">
        <v>4.2660188931129992E-3</v>
      </c>
      <c r="AT633">
        <v>5.2746542714987577E-3</v>
      </c>
      <c r="AU633">
        <v>1.9083399744964558E-3</v>
      </c>
      <c r="AV633">
        <v>2.1209292834000193E-3</v>
      </c>
      <c r="AW633">
        <v>3.5792507488221492E-3</v>
      </c>
      <c r="AX633">
        <v>3.5030668633965166E-4</v>
      </c>
      <c r="AY633">
        <v>4.1693975364671222E-4</v>
      </c>
      <c r="BB633">
        <v>4.9788998170859855E-2</v>
      </c>
      <c r="BC633">
        <v>4.4144854593733955E-2</v>
      </c>
      <c r="BE633">
        <v>63593.111158950735</v>
      </c>
      <c r="BF633">
        <v>16.977882129897232</v>
      </c>
      <c r="BG633">
        <v>65262.177512072783</v>
      </c>
      <c r="BH633">
        <v>16.857705986356798</v>
      </c>
      <c r="BI633">
        <v>-1669.0663531220489</v>
      </c>
      <c r="BJ633">
        <v>0.1201761435404336</v>
      </c>
    </row>
    <row r="634" spans="3:62" x14ac:dyDescent="0.2">
      <c r="C634" s="121">
        <v>72519.0502442242</v>
      </c>
      <c r="D634" s="121">
        <v>15.701346626580641</v>
      </c>
      <c r="E634" s="121">
        <v>74817.224080372383</v>
      </c>
      <c r="F634" s="121">
        <v>15.608870669228443</v>
      </c>
      <c r="G634" s="121">
        <v>-2298.1738361481839</v>
      </c>
      <c r="H634" s="121">
        <v>9.2475957352197824E-2</v>
      </c>
      <c r="N634" s="121"/>
      <c r="O634" s="121"/>
      <c r="P634" s="121"/>
      <c r="R634">
        <v>327.21958583440045</v>
      </c>
      <c r="S634">
        <v>65.669896045138387</v>
      </c>
      <c r="T634">
        <v>246.14196580344702</v>
      </c>
      <c r="U634">
        <v>75.62977041375477</v>
      </c>
      <c r="X634">
        <v>0.87230814384010125</v>
      </c>
      <c r="Y634">
        <v>0.8201524074688693</v>
      </c>
      <c r="Z634">
        <v>0.82434052920823475</v>
      </c>
      <c r="AA634">
        <v>0.82341739191480856</v>
      </c>
      <c r="AB634">
        <v>0.6904817687643634</v>
      </c>
      <c r="AC634">
        <v>0.81385702963917084</v>
      </c>
      <c r="AD634">
        <v>0.80191944916927937</v>
      </c>
      <c r="AE634">
        <v>0.97529170820915512</v>
      </c>
      <c r="AH634">
        <v>3.084694638301555E-2</v>
      </c>
      <c r="AI634">
        <v>0.22623624680805254</v>
      </c>
      <c r="AJ634">
        <v>4.5624955054351934E-2</v>
      </c>
      <c r="AK634">
        <v>8.8628077368881231E-2</v>
      </c>
      <c r="AL634">
        <v>4.0519701993937951E-2</v>
      </c>
      <c r="AM634">
        <v>0.13493737675485007</v>
      </c>
      <c r="AN634">
        <v>0.1851035835621333</v>
      </c>
      <c r="AO634">
        <v>0.10108870457649122</v>
      </c>
      <c r="AR634">
        <v>9.948548914739952E-4</v>
      </c>
      <c r="AS634">
        <v>4.6908623607482269E-3</v>
      </c>
      <c r="AT634">
        <v>5.4474795129936249E-3</v>
      </c>
      <c r="AU634">
        <v>1.9688499387255968E-3</v>
      </c>
      <c r="AV634">
        <v>1.9790135964876409E-3</v>
      </c>
      <c r="AW634">
        <v>3.5128366456548266E-3</v>
      </c>
      <c r="AX634">
        <v>4.8167231697615609E-4</v>
      </c>
      <c r="AY634">
        <v>4.7027615445216497E-4</v>
      </c>
      <c r="BB634">
        <v>4.1532119538404383E-2</v>
      </c>
      <c r="BC634">
        <v>5.861937524012073E-2</v>
      </c>
      <c r="BE634">
        <v>72519.0502442242</v>
      </c>
      <c r="BF634">
        <v>15.701346626580641</v>
      </c>
      <c r="BG634">
        <v>74817.224080372383</v>
      </c>
      <c r="BH634">
        <v>15.608870669228443</v>
      </c>
      <c r="BI634">
        <v>-2298.1738361481839</v>
      </c>
      <c r="BJ634">
        <v>9.2475957352197824E-2</v>
      </c>
    </row>
    <row r="635" spans="3:62" x14ac:dyDescent="0.2">
      <c r="C635" s="121">
        <v>74615.536457044582</v>
      </c>
      <c r="D635" s="121">
        <v>15.54239393970129</v>
      </c>
      <c r="E635" s="121">
        <v>76854.712768375815</v>
      </c>
      <c r="F635" s="121">
        <v>15.343923588848924</v>
      </c>
      <c r="G635" s="121">
        <v>-2239.1763113312336</v>
      </c>
      <c r="H635" s="121">
        <v>0.1984703508523662</v>
      </c>
      <c r="N635" s="121"/>
      <c r="O635" s="121"/>
      <c r="P635" s="121"/>
      <c r="R635">
        <v>223.48793118252524</v>
      </c>
      <c r="S635">
        <v>71.244233172448403</v>
      </c>
      <c r="T635">
        <v>258.29692686868975</v>
      </c>
      <c r="U635">
        <v>90.85737692975114</v>
      </c>
      <c r="X635">
        <v>0.70765645485804607</v>
      </c>
      <c r="Y635">
        <v>0.84960182667588213</v>
      </c>
      <c r="Z635">
        <v>0.58413764301701465</v>
      </c>
      <c r="AA635">
        <v>0.63270343518914141</v>
      </c>
      <c r="AB635">
        <v>0.50792962551784326</v>
      </c>
      <c r="AC635">
        <v>0.92543189288303829</v>
      </c>
      <c r="AD635">
        <v>0.97333107184464585</v>
      </c>
      <c r="AE635">
        <v>0.49449218199757194</v>
      </c>
      <c r="AH635">
        <v>0.12824982868127</v>
      </c>
      <c r="AI635">
        <v>3.1615592729300257E-2</v>
      </c>
      <c r="AJ635">
        <v>0.13629433016691905</v>
      </c>
      <c r="AK635">
        <v>8.2015147377657471E-2</v>
      </c>
      <c r="AL635">
        <v>8.3244675022052128E-2</v>
      </c>
      <c r="AM635">
        <v>5.4564107790196381E-2</v>
      </c>
      <c r="AN635">
        <v>6.5446699173508205E-2</v>
      </c>
      <c r="AO635">
        <v>0.23323875283558748</v>
      </c>
      <c r="AR635">
        <v>9.317393874922475E-4</v>
      </c>
      <c r="AS635">
        <v>4.1315042920947644E-3</v>
      </c>
      <c r="AT635">
        <v>5.3001686308741247E-3</v>
      </c>
      <c r="AU635">
        <v>1.9196069679190385E-3</v>
      </c>
      <c r="AV635">
        <v>1.8849103614283194E-3</v>
      </c>
      <c r="AW635">
        <v>3.3156990127014029E-3</v>
      </c>
      <c r="AX635">
        <v>5.2020387911122512E-4</v>
      </c>
      <c r="AY635">
        <v>3.85414614350023E-4</v>
      </c>
      <c r="BB635">
        <v>4.3411127096084176E-2</v>
      </c>
      <c r="BC635">
        <v>2.4998692852461323E-2</v>
      </c>
      <c r="BE635">
        <v>74615.536457044582</v>
      </c>
      <c r="BF635">
        <v>15.54239393970129</v>
      </c>
      <c r="BG635">
        <v>76854.712768375815</v>
      </c>
      <c r="BH635">
        <v>15.343923588848924</v>
      </c>
      <c r="BI635">
        <v>-2239.1763113312336</v>
      </c>
      <c r="BJ635">
        <v>0.1984703508523662</v>
      </c>
    </row>
    <row r="636" spans="3:62" x14ac:dyDescent="0.2">
      <c r="C636" s="121">
        <v>70716.405145543147</v>
      </c>
      <c r="D636" s="121">
        <v>17.51584414974884</v>
      </c>
      <c r="E636" s="121">
        <v>73250.143712461606</v>
      </c>
      <c r="F636" s="121">
        <v>17.364350299244254</v>
      </c>
      <c r="G636" s="121">
        <v>-2533.7385669184587</v>
      </c>
      <c r="H636" s="121">
        <v>0.15149385050458619</v>
      </c>
      <c r="N636" s="121"/>
      <c r="O636" s="121"/>
      <c r="P636" s="121"/>
      <c r="R636">
        <v>219.48961699778258</v>
      </c>
      <c r="S636">
        <v>66.546944936717651</v>
      </c>
      <c r="T636">
        <v>228.65089724368968</v>
      </c>
      <c r="U636">
        <v>91.122523201031939</v>
      </c>
      <c r="X636">
        <v>0.48817892828441689</v>
      </c>
      <c r="Y636">
        <v>0.78754244851520827</v>
      </c>
      <c r="Z636">
        <v>0.77825487861906195</v>
      </c>
      <c r="AA636">
        <v>0.86457188063982793</v>
      </c>
      <c r="AB636">
        <v>0.46291064716867025</v>
      </c>
      <c r="AC636">
        <v>0.49212727814018642</v>
      </c>
      <c r="AD636">
        <v>0.65981372244200287</v>
      </c>
      <c r="AE636">
        <v>0.78311213368606969</v>
      </c>
      <c r="AH636">
        <v>0.1048687341147565</v>
      </c>
      <c r="AI636">
        <v>0.11135611166348125</v>
      </c>
      <c r="AJ636">
        <v>7.6758509470067793E-2</v>
      </c>
      <c r="AK636">
        <v>7.5469690439678438E-2</v>
      </c>
      <c r="AL636">
        <v>0.18807259162985213</v>
      </c>
      <c r="AM636">
        <v>5.5371067973630339E-2</v>
      </c>
      <c r="AN636">
        <v>3.3202658078730352E-2</v>
      </c>
      <c r="AO636">
        <v>7.1040913457776078E-2</v>
      </c>
      <c r="AR636">
        <v>9.7221646916245685E-4</v>
      </c>
      <c r="AS636">
        <v>4.3869231088509335E-3</v>
      </c>
      <c r="AT636">
        <v>4.6404359721186764E-3</v>
      </c>
      <c r="AU636">
        <v>2.1396765593940659E-3</v>
      </c>
      <c r="AV636">
        <v>2.1196579897532208E-3</v>
      </c>
      <c r="AW636">
        <v>3.7283566462552598E-3</v>
      </c>
      <c r="AX636">
        <v>3.7726167495334543E-4</v>
      </c>
      <c r="AY636">
        <v>4.9145026905850209E-4</v>
      </c>
      <c r="BB636">
        <v>4.318130985249298E-2</v>
      </c>
      <c r="BC636">
        <v>3.2622503625190265E-2</v>
      </c>
      <c r="BE636">
        <v>70716.405145543147</v>
      </c>
      <c r="BF636">
        <v>17.51584414974884</v>
      </c>
      <c r="BG636">
        <v>73250.143712461606</v>
      </c>
      <c r="BH636">
        <v>17.364350299244254</v>
      </c>
      <c r="BI636">
        <v>-2533.7385669184587</v>
      </c>
      <c r="BJ636">
        <v>0.15149385050458619</v>
      </c>
    </row>
    <row r="637" spans="3:62" x14ac:dyDescent="0.2">
      <c r="C637" s="121">
        <v>63463.758683395121</v>
      </c>
      <c r="D637" s="121">
        <v>15.870466315214596</v>
      </c>
      <c r="E637" s="121">
        <v>64467.232761936015</v>
      </c>
      <c r="F637" s="121">
        <v>15.726601749718961</v>
      </c>
      <c r="G637" s="121">
        <v>-1003.474078540894</v>
      </c>
      <c r="H637" s="121">
        <v>0.14386456549563498</v>
      </c>
      <c r="N637" s="121"/>
      <c r="O637" s="121"/>
      <c r="P637" s="121"/>
      <c r="R637">
        <v>271.54936508283998</v>
      </c>
      <c r="S637">
        <v>58.565230996436455</v>
      </c>
      <c r="T637">
        <v>221.65882979905572</v>
      </c>
      <c r="U637">
        <v>91.608382091886156</v>
      </c>
      <c r="X637">
        <v>0.69661258149408567</v>
      </c>
      <c r="Y637">
        <v>0.8066246924057916</v>
      </c>
      <c r="Z637">
        <v>0.82484236789283583</v>
      </c>
      <c r="AA637">
        <v>0.7328128772700917</v>
      </c>
      <c r="AB637">
        <v>0.96184379480516724</v>
      </c>
      <c r="AC637">
        <v>0.93295520942412546</v>
      </c>
      <c r="AD637">
        <v>0.81729276658063099</v>
      </c>
      <c r="AE637">
        <v>0.91220774242508629</v>
      </c>
      <c r="AH637">
        <v>0.14865621130389317</v>
      </c>
      <c r="AI637">
        <v>0.22750323849113696</v>
      </c>
      <c r="AJ637">
        <v>0.18780939408803865</v>
      </c>
      <c r="AK637">
        <v>0.1684598642545807</v>
      </c>
      <c r="AL637">
        <v>2.9906720648234297E-2</v>
      </c>
      <c r="AM637">
        <v>0.30258990068506952</v>
      </c>
      <c r="AN637">
        <v>0.11133314076924228</v>
      </c>
      <c r="AO637">
        <v>0.10727905749900413</v>
      </c>
      <c r="AR637">
        <v>8.8123122722182372E-4</v>
      </c>
      <c r="AS637">
        <v>4.7244944198785443E-3</v>
      </c>
      <c r="AT637">
        <v>4.3474860977503731E-3</v>
      </c>
      <c r="AU637">
        <v>1.9074936120685275E-3</v>
      </c>
      <c r="AV637">
        <v>1.8844834626998614E-3</v>
      </c>
      <c r="AW637">
        <v>3.4413409741388401E-3</v>
      </c>
      <c r="AX637">
        <v>3.9806898499472609E-4</v>
      </c>
      <c r="AY637">
        <v>5.2640311415597107E-4</v>
      </c>
      <c r="BB637">
        <v>3.8583239995394682E-2</v>
      </c>
      <c r="BC637">
        <v>2.3185006682729808E-2</v>
      </c>
      <c r="BE637">
        <v>63463.758683395121</v>
      </c>
      <c r="BF637">
        <v>15.870466315214596</v>
      </c>
      <c r="BG637">
        <v>64467.232761936015</v>
      </c>
      <c r="BH637">
        <v>15.726601749718961</v>
      </c>
      <c r="BI637">
        <v>-1003.474078540894</v>
      </c>
      <c r="BJ637">
        <v>0.14386456549563498</v>
      </c>
    </row>
    <row r="638" spans="3:62" x14ac:dyDescent="0.2">
      <c r="C638" s="121">
        <v>73279.102903476713</v>
      </c>
      <c r="D638" s="121">
        <v>17.213533813622895</v>
      </c>
      <c r="E638" s="121">
        <v>73900.230676928797</v>
      </c>
      <c r="F638" s="121">
        <v>17.121917208043051</v>
      </c>
      <c r="G638" s="121">
        <v>-621.12777345208451</v>
      </c>
      <c r="H638" s="121">
        <v>9.161660557984419E-2</v>
      </c>
      <c r="N638" s="121"/>
      <c r="O638" s="121"/>
      <c r="P638" s="121"/>
      <c r="R638">
        <v>241.54776687137894</v>
      </c>
      <c r="S638">
        <v>74.205224156855209</v>
      </c>
      <c r="T638">
        <v>279.64931509863351</v>
      </c>
      <c r="U638">
        <v>93.764625843684883</v>
      </c>
      <c r="X638">
        <v>0.86499171295953736</v>
      </c>
      <c r="Y638">
        <v>0.78205168981794571</v>
      </c>
      <c r="Z638">
        <v>0.79870462657356289</v>
      </c>
      <c r="AA638">
        <v>0.6848568401595222</v>
      </c>
      <c r="AB638">
        <v>0.69967314950351345</v>
      </c>
      <c r="AC638">
        <v>0.74576041856775244</v>
      </c>
      <c r="AD638">
        <v>0.73678891350164799</v>
      </c>
      <c r="AE638">
        <v>0.86984655822388557</v>
      </c>
      <c r="AH638">
        <v>6.9776837395069458E-2</v>
      </c>
      <c r="AI638">
        <v>9.528164649741977E-2</v>
      </c>
      <c r="AJ638">
        <v>0.17644308007708831</v>
      </c>
      <c r="AK638">
        <v>0.29908134843631706</v>
      </c>
      <c r="AL638">
        <v>0.11746681801728431</v>
      </c>
      <c r="AM638">
        <v>0.27805926224111088</v>
      </c>
      <c r="AN638">
        <v>5.62424302953759E-2</v>
      </c>
      <c r="AO638">
        <v>4.8580945265504827E-2</v>
      </c>
      <c r="AR638">
        <v>8.1867440859464524E-4</v>
      </c>
      <c r="AS638">
        <v>4.4530373841312346E-3</v>
      </c>
      <c r="AT638">
        <v>4.9676365073370032E-3</v>
      </c>
      <c r="AU638">
        <v>1.9532431602709431E-3</v>
      </c>
      <c r="AV638">
        <v>1.8104400056457404E-3</v>
      </c>
      <c r="AW638">
        <v>3.291002001733434E-3</v>
      </c>
      <c r="AX638">
        <v>3.5222744547216365E-4</v>
      </c>
      <c r="AY638">
        <v>4.4911460203733711E-4</v>
      </c>
      <c r="BB638">
        <v>4.5566887768738157E-2</v>
      </c>
      <c r="BC638">
        <v>5.7305860842951639E-2</v>
      </c>
      <c r="BE638">
        <v>73279.102903476713</v>
      </c>
      <c r="BF638">
        <v>17.213533813622895</v>
      </c>
      <c r="BG638">
        <v>73900.230676928797</v>
      </c>
      <c r="BH638">
        <v>17.121917208043051</v>
      </c>
      <c r="BI638">
        <v>-621.12777345208451</v>
      </c>
      <c r="BJ638">
        <v>9.161660557984419E-2</v>
      </c>
    </row>
    <row r="639" spans="3:62" x14ac:dyDescent="0.2">
      <c r="C639" s="121">
        <v>70944.890551051154</v>
      </c>
      <c r="D639" s="121">
        <v>16.344627357343633</v>
      </c>
      <c r="E639" s="121">
        <v>72550.941591599534</v>
      </c>
      <c r="F639" s="121">
        <v>16.259525665240549</v>
      </c>
      <c r="G639" s="121">
        <v>-1606.0510405483801</v>
      </c>
      <c r="H639" s="121">
        <v>8.5101692103084048E-2</v>
      </c>
      <c r="N639" s="121"/>
      <c r="O639" s="121"/>
      <c r="P639" s="121"/>
      <c r="R639">
        <v>202.19584475207054</v>
      </c>
      <c r="S639">
        <v>56.614240157641603</v>
      </c>
      <c r="T639">
        <v>246.07121192334913</v>
      </c>
      <c r="U639">
        <v>99.905185396967639</v>
      </c>
      <c r="X639">
        <v>0.77443799569329252</v>
      </c>
      <c r="Y639">
        <v>0.6568374633578804</v>
      </c>
      <c r="Z639">
        <v>0.66150169525911617</v>
      </c>
      <c r="AA639">
        <v>0.71896719329745917</v>
      </c>
      <c r="AB639">
        <v>0.77411742236554204</v>
      </c>
      <c r="AC639">
        <v>0.74358143554452161</v>
      </c>
      <c r="AD639">
        <v>0.84852543482637333</v>
      </c>
      <c r="AE639">
        <v>0.83350107567795895</v>
      </c>
      <c r="AH639">
        <v>0.23008201368223935</v>
      </c>
      <c r="AI639">
        <v>0.10140208813029017</v>
      </c>
      <c r="AJ639">
        <v>0.22371894208160314</v>
      </c>
      <c r="AK639">
        <v>2.3567689448548368E-2</v>
      </c>
      <c r="AL639">
        <v>2.6743680790960567E-2</v>
      </c>
      <c r="AM639">
        <v>0.1500066933524572</v>
      </c>
      <c r="AN639">
        <v>4.5485898675873604E-2</v>
      </c>
      <c r="AO639">
        <v>5.0144682784266204E-2</v>
      </c>
      <c r="AR639">
        <v>9.173409927641929E-4</v>
      </c>
      <c r="AS639">
        <v>4.6272737730569391E-3</v>
      </c>
      <c r="AT639">
        <v>4.8460452661624525E-3</v>
      </c>
      <c r="AU639">
        <v>1.9829519271303726E-3</v>
      </c>
      <c r="AV639">
        <v>2.0501429759133272E-3</v>
      </c>
      <c r="AW639">
        <v>3.4127698788335437E-3</v>
      </c>
      <c r="AX639">
        <v>5.949455970624129E-4</v>
      </c>
      <c r="AY639">
        <v>4.3380113766570006E-4</v>
      </c>
      <c r="BB639">
        <v>4.3753078428755893E-2</v>
      </c>
      <c r="BC639">
        <v>2.7427545651545066E-2</v>
      </c>
      <c r="BE639">
        <v>70944.890551051154</v>
      </c>
      <c r="BF639">
        <v>16.344627357343633</v>
      </c>
      <c r="BG639">
        <v>72550.941591599534</v>
      </c>
      <c r="BH639">
        <v>16.259525665240549</v>
      </c>
      <c r="BI639">
        <v>-1606.0510405483801</v>
      </c>
      <c r="BJ639">
        <v>8.5101692103084048E-2</v>
      </c>
    </row>
    <row r="640" spans="3:62" x14ac:dyDescent="0.2">
      <c r="C640" s="121">
        <v>71005.32760227962</v>
      </c>
      <c r="D640" s="121">
        <v>17.592636687429412</v>
      </c>
      <c r="E640" s="121">
        <v>72834.574650266295</v>
      </c>
      <c r="F640" s="121">
        <v>17.492693197059932</v>
      </c>
      <c r="G640" s="121">
        <v>-1829.2470479866752</v>
      </c>
      <c r="H640" s="121">
        <v>9.9943490369479804E-2</v>
      </c>
      <c r="N640" s="121"/>
      <c r="O640" s="121"/>
      <c r="P640" s="121"/>
      <c r="R640">
        <v>143.90249063811538</v>
      </c>
      <c r="S640">
        <v>73.887411245772256</v>
      </c>
      <c r="T640">
        <v>243.11951778997025</v>
      </c>
      <c r="U640">
        <v>97.111009520286558</v>
      </c>
      <c r="X640">
        <v>0.79375024036986053</v>
      </c>
      <c r="Y640">
        <v>0.90588458921160631</v>
      </c>
      <c r="Z640">
        <v>0.80984728356788604</v>
      </c>
      <c r="AA640">
        <v>0.88525226321098738</v>
      </c>
      <c r="AB640">
        <v>0.76801008212836908</v>
      </c>
      <c r="AC640">
        <v>0.86804849003921236</v>
      </c>
      <c r="AD640">
        <v>0.56373117781864057</v>
      </c>
      <c r="AE640">
        <v>0.75958366505808694</v>
      </c>
      <c r="AH640">
        <v>0.12332190456522674</v>
      </c>
      <c r="AI640">
        <v>0.11591931122968857</v>
      </c>
      <c r="AJ640">
        <v>4.5918166248343883E-2</v>
      </c>
      <c r="AK640">
        <v>0.26901880093828046</v>
      </c>
      <c r="AL640">
        <v>0.12776539443005863</v>
      </c>
      <c r="AM640">
        <v>4.9567471310138056E-2</v>
      </c>
      <c r="AN640">
        <v>4.7252964766560712E-2</v>
      </c>
      <c r="AO640">
        <v>0.14444787379404267</v>
      </c>
      <c r="AR640">
        <v>8.5440300626413233E-4</v>
      </c>
      <c r="AS640">
        <v>4.7343120321623466E-3</v>
      </c>
      <c r="AT640">
        <v>4.79275415246552E-3</v>
      </c>
      <c r="AU640">
        <v>2.1260395320960024E-3</v>
      </c>
      <c r="AV640">
        <v>2.1173633451587737E-3</v>
      </c>
      <c r="AW640">
        <v>3.279247202874903E-3</v>
      </c>
      <c r="AX640">
        <v>3.3653902139989868E-4</v>
      </c>
      <c r="AY640">
        <v>5.2556218924271203E-4</v>
      </c>
      <c r="BB640">
        <v>4.7408914298071529E-2</v>
      </c>
      <c r="BC640">
        <v>5.0752615644674481E-2</v>
      </c>
      <c r="BE640">
        <v>71005.32760227962</v>
      </c>
      <c r="BF640">
        <v>17.592636687429412</v>
      </c>
      <c r="BG640">
        <v>72834.574650266295</v>
      </c>
      <c r="BH640">
        <v>17.492693197059932</v>
      </c>
      <c r="BI640">
        <v>-1829.2470479866752</v>
      </c>
      <c r="BJ640">
        <v>9.9943490369479804E-2</v>
      </c>
    </row>
    <row r="641" spans="3:62" x14ac:dyDescent="0.2">
      <c r="C641" s="121">
        <v>74895.119335703159</v>
      </c>
      <c r="D641" s="121">
        <v>12.621517550445384</v>
      </c>
      <c r="E641" s="121">
        <v>75622.510444191721</v>
      </c>
      <c r="F641" s="121">
        <v>12.618561242068864</v>
      </c>
      <c r="G641" s="121">
        <v>-727.39110848856217</v>
      </c>
      <c r="H641" s="121">
        <v>2.956308376520056E-3</v>
      </c>
      <c r="N641" s="121"/>
      <c r="O641" s="121"/>
      <c r="P641" s="121"/>
      <c r="R641">
        <v>453.52508513461964</v>
      </c>
      <c r="S641">
        <v>63.758768160650227</v>
      </c>
      <c r="T641">
        <v>267.56104876712214</v>
      </c>
      <c r="U641">
        <v>80.959481369142622</v>
      </c>
      <c r="X641">
        <v>0.65588270341659105</v>
      </c>
      <c r="Y641">
        <v>0.80973018018701926</v>
      </c>
      <c r="Z641">
        <v>0.64188072455669065</v>
      </c>
      <c r="AA641">
        <v>0.83107602389048074</v>
      </c>
      <c r="AB641">
        <v>0.91230641397821732</v>
      </c>
      <c r="AC641">
        <v>0.89389323129884501</v>
      </c>
      <c r="AD641">
        <v>0.65285382321492957</v>
      </c>
      <c r="AE641">
        <v>0.86001086636852386</v>
      </c>
      <c r="AH641">
        <v>4.078325703635044E-2</v>
      </c>
      <c r="AI641">
        <v>0.30684462080038311</v>
      </c>
      <c r="AJ641">
        <v>0.11903094221689992</v>
      </c>
      <c r="AK641">
        <v>5.1620549499495127E-2</v>
      </c>
      <c r="AL641">
        <v>8.8538660589040696E-2</v>
      </c>
      <c r="AM641">
        <v>0.12730115722522528</v>
      </c>
      <c r="AN641">
        <v>0.18423439725969659</v>
      </c>
      <c r="AO641">
        <v>0.1233177662421755</v>
      </c>
      <c r="AR641">
        <v>8.0418247527655386E-4</v>
      </c>
      <c r="AS641">
        <v>4.331713860998866E-3</v>
      </c>
      <c r="AT641">
        <v>4.9015980115905975E-3</v>
      </c>
      <c r="AU641">
        <v>1.9404594895099125E-3</v>
      </c>
      <c r="AV641">
        <v>1.7608289526956295E-3</v>
      </c>
      <c r="AW641">
        <v>3.353833994439003E-3</v>
      </c>
      <c r="AX641">
        <v>4.7822354064330774E-4</v>
      </c>
      <c r="AY641">
        <v>5.2936598598352091E-4</v>
      </c>
      <c r="BB641">
        <v>4.3931745329834924E-2</v>
      </c>
      <c r="BC641">
        <v>4.6040132370912867E-2</v>
      </c>
      <c r="BE641">
        <v>74895.119335703159</v>
      </c>
      <c r="BF641">
        <v>12.621517550445384</v>
      </c>
      <c r="BG641">
        <v>75622.510444191721</v>
      </c>
      <c r="BH641">
        <v>12.618561242068864</v>
      </c>
      <c r="BI641">
        <v>-727.39110848856217</v>
      </c>
      <c r="BJ641">
        <v>2.956308376520056E-3</v>
      </c>
    </row>
    <row r="642" spans="3:62" x14ac:dyDescent="0.2">
      <c r="C642" s="121">
        <v>61551.019013564968</v>
      </c>
      <c r="D642" s="121">
        <v>17.259943490096862</v>
      </c>
      <c r="E642" s="121">
        <v>62412.867618381337</v>
      </c>
      <c r="F642" s="121">
        <v>17.158986441013489</v>
      </c>
      <c r="G642" s="121">
        <v>-861.84860481636861</v>
      </c>
      <c r="H642" s="121">
        <v>0.10095704908337311</v>
      </c>
      <c r="N642" s="121"/>
      <c r="O642" s="121"/>
      <c r="P642" s="121"/>
      <c r="R642">
        <v>237.22052246566756</v>
      </c>
      <c r="S642">
        <v>61.376979371060656</v>
      </c>
      <c r="T642">
        <v>254.40067653343453</v>
      </c>
      <c r="U642">
        <v>96.741568123703942</v>
      </c>
      <c r="X642">
        <v>0.86060603418546833</v>
      </c>
      <c r="Y642">
        <v>0.76617112784904706</v>
      </c>
      <c r="Z642">
        <v>0.66253819410259385</v>
      </c>
      <c r="AA642">
        <v>0.57301477139882839</v>
      </c>
      <c r="AB642">
        <v>0.76918275863347585</v>
      </c>
      <c r="AC642">
        <v>0.8678775934070021</v>
      </c>
      <c r="AD642">
        <v>0.94056469819264521</v>
      </c>
      <c r="AE642">
        <v>0.6760356648152942</v>
      </c>
      <c r="AH642">
        <v>1.1257930282923434E-2</v>
      </c>
      <c r="AI642">
        <v>3.2583833039836918E-2</v>
      </c>
      <c r="AJ642">
        <v>0.12810854877118338</v>
      </c>
      <c r="AK642">
        <v>0.11199766855807436</v>
      </c>
      <c r="AL642">
        <v>0.17273357080047658</v>
      </c>
      <c r="AM642">
        <v>4.961056896388627E-2</v>
      </c>
      <c r="AN642">
        <v>7.8507157605406164E-2</v>
      </c>
      <c r="AO642">
        <v>6.9372475898882069E-2</v>
      </c>
      <c r="AR642">
        <v>9.737925992583385E-4</v>
      </c>
      <c r="AS642">
        <v>4.8258095295351522E-3</v>
      </c>
      <c r="AT642">
        <v>5.2407935341265421E-3</v>
      </c>
      <c r="AU642">
        <v>1.9845671710072457E-3</v>
      </c>
      <c r="AV642">
        <v>1.9949075570966576E-3</v>
      </c>
      <c r="AW642">
        <v>3.0760730442176299E-3</v>
      </c>
      <c r="AX642">
        <v>4.6649406969723195E-4</v>
      </c>
      <c r="AY642">
        <v>4.9589406071570696E-4</v>
      </c>
      <c r="BB642">
        <v>4.7405782887330154E-2</v>
      </c>
      <c r="BC642">
        <v>8.6208084827387954E-2</v>
      </c>
      <c r="BE642">
        <v>61551.019013564968</v>
      </c>
      <c r="BF642">
        <v>17.259943490096862</v>
      </c>
      <c r="BG642">
        <v>62412.867618381337</v>
      </c>
      <c r="BH642">
        <v>17.158986441013489</v>
      </c>
      <c r="BI642">
        <v>-861.84860481636861</v>
      </c>
      <c r="BJ642">
        <v>0.10095704908337311</v>
      </c>
    </row>
    <row r="643" spans="3:62" x14ac:dyDescent="0.2">
      <c r="C643" s="121">
        <v>72327.398413227129</v>
      </c>
      <c r="D643" s="121">
        <v>15.495522334195444</v>
      </c>
      <c r="E643" s="121">
        <v>73762.421121187726</v>
      </c>
      <c r="F643" s="121">
        <v>15.360126745888971</v>
      </c>
      <c r="G643" s="121">
        <v>-1435.0227079605975</v>
      </c>
      <c r="H643" s="121">
        <v>0.1353955883064728</v>
      </c>
      <c r="N643" s="121"/>
      <c r="O643" s="121"/>
      <c r="P643" s="121"/>
      <c r="R643">
        <v>297.72235126814059</v>
      </c>
      <c r="S643">
        <v>64.898112933716945</v>
      </c>
      <c r="T643">
        <v>237.66628339939152</v>
      </c>
      <c r="U643">
        <v>86.728777050682794</v>
      </c>
      <c r="X643">
        <v>0.70749165496279554</v>
      </c>
      <c r="Y643">
        <v>0.61465070231323726</v>
      </c>
      <c r="Z643">
        <v>0.75464388510450076</v>
      </c>
      <c r="AA643">
        <v>0.81665122791348232</v>
      </c>
      <c r="AB643">
        <v>0.73831993325731848</v>
      </c>
      <c r="AC643">
        <v>0.69305285299887098</v>
      </c>
      <c r="AD643">
        <v>0.5517434938407616</v>
      </c>
      <c r="AE643">
        <v>0.75289746339905306</v>
      </c>
      <c r="AH643">
        <v>0.12075327919810497</v>
      </c>
      <c r="AI643">
        <v>0.44156228447023371</v>
      </c>
      <c r="AJ643">
        <v>0.12057930681437823</v>
      </c>
      <c r="AK643">
        <v>2.1340058094700742E-2</v>
      </c>
      <c r="AL643">
        <v>0.14330951362487154</v>
      </c>
      <c r="AM643">
        <v>0.28879043675737848</v>
      </c>
      <c r="AN643">
        <v>0.18803964821314345</v>
      </c>
      <c r="AO643">
        <v>0.14130640787773641</v>
      </c>
      <c r="AR643">
        <v>7.9184730754690139E-4</v>
      </c>
      <c r="AS643">
        <v>4.4183750624701588E-3</v>
      </c>
      <c r="AT643">
        <v>5.1808929735682741E-3</v>
      </c>
      <c r="AU643">
        <v>2.15493994305338E-3</v>
      </c>
      <c r="AV643">
        <v>1.9178362858269008E-3</v>
      </c>
      <c r="AW643">
        <v>3.5119631279034724E-3</v>
      </c>
      <c r="AX643">
        <v>3.8368712830639937E-4</v>
      </c>
      <c r="AY643">
        <v>4.5032939370026615E-4</v>
      </c>
      <c r="BB643">
        <v>5.1412869292910002E-2</v>
      </c>
      <c r="BC643">
        <v>7.8937301696537898E-2</v>
      </c>
      <c r="BE643">
        <v>72327.398413227129</v>
      </c>
      <c r="BF643">
        <v>15.495522334195444</v>
      </c>
      <c r="BG643">
        <v>73762.421121187726</v>
      </c>
      <c r="BH643">
        <v>15.360126745888971</v>
      </c>
      <c r="BI643">
        <v>-1435.0227079605975</v>
      </c>
      <c r="BJ643">
        <v>0.1353955883064728</v>
      </c>
    </row>
    <row r="644" spans="3:62" x14ac:dyDescent="0.2">
      <c r="C644" s="121">
        <v>73542.311676393787</v>
      </c>
      <c r="D644" s="121">
        <v>15.313521528560253</v>
      </c>
      <c r="E644" s="121">
        <v>75874.424843467001</v>
      </c>
      <c r="F644" s="121">
        <v>15.20442058655382</v>
      </c>
      <c r="G644" s="121">
        <v>-2332.1131670732138</v>
      </c>
      <c r="H644" s="121">
        <v>0.1091009420064335</v>
      </c>
      <c r="N644" s="121"/>
      <c r="O644" s="121"/>
      <c r="P644" s="121"/>
      <c r="R644">
        <v>144.02078762742627</v>
      </c>
      <c r="S644">
        <v>57.882531753262093</v>
      </c>
      <c r="T644">
        <v>239.32837260636353</v>
      </c>
      <c r="U644">
        <v>99.065579125876539</v>
      </c>
      <c r="X644">
        <v>0.63599711317097918</v>
      </c>
      <c r="Y644">
        <v>0.82795665676593655</v>
      </c>
      <c r="Z644">
        <v>0.68838700136752728</v>
      </c>
      <c r="AA644">
        <v>0.82254110464088415</v>
      </c>
      <c r="AB644">
        <v>0.79904625760400882</v>
      </c>
      <c r="AC644">
        <v>0.88812697338660818</v>
      </c>
      <c r="AD644">
        <v>0.47994885736870491</v>
      </c>
      <c r="AE644">
        <v>0.84961628262645605</v>
      </c>
      <c r="AH644">
        <v>0.10458760952665169</v>
      </c>
      <c r="AI644">
        <v>0.13284076894103036</v>
      </c>
      <c r="AJ644">
        <v>0.18156374168784839</v>
      </c>
      <c r="AK644">
        <v>6.0352848317673513E-2</v>
      </c>
      <c r="AL644">
        <v>7.7692186537372088E-2</v>
      </c>
      <c r="AM644">
        <v>0.1040406614274243</v>
      </c>
      <c r="AN644">
        <v>6.2180395505849084E-2</v>
      </c>
      <c r="AO644">
        <v>0.26868081170325142</v>
      </c>
      <c r="AR644">
        <v>8.4513821294860281E-4</v>
      </c>
      <c r="AS644">
        <v>4.5540082586774666E-3</v>
      </c>
      <c r="AT644">
        <v>4.9029115912771187E-3</v>
      </c>
      <c r="AU644">
        <v>2.1662473334652654E-3</v>
      </c>
      <c r="AV644">
        <v>1.9447997503902166E-3</v>
      </c>
      <c r="AW644">
        <v>3.2409472242895796E-3</v>
      </c>
      <c r="AX644">
        <v>3.3242742715154704E-4</v>
      </c>
      <c r="AY644">
        <v>4.5750653666387642E-4</v>
      </c>
      <c r="BB644">
        <v>5.1592404127518976E-2</v>
      </c>
      <c r="BC644">
        <v>6.472315997042466E-2</v>
      </c>
      <c r="BE644">
        <v>73542.311676393787</v>
      </c>
      <c r="BF644">
        <v>15.313521528560253</v>
      </c>
      <c r="BG644">
        <v>75874.424843467001</v>
      </c>
      <c r="BH644">
        <v>15.20442058655382</v>
      </c>
      <c r="BI644">
        <v>-2332.1131670732138</v>
      </c>
      <c r="BJ644">
        <v>0.1091009420064335</v>
      </c>
    </row>
    <row r="645" spans="3:62" x14ac:dyDescent="0.2">
      <c r="C645" s="121">
        <v>68001.898494900437</v>
      </c>
      <c r="D645" s="121">
        <v>17.129100249211739</v>
      </c>
      <c r="E645" s="121">
        <v>69635.007713160478</v>
      </c>
      <c r="F645" s="121">
        <v>16.966094701642501</v>
      </c>
      <c r="G645" s="121">
        <v>-1633.1092182600405</v>
      </c>
      <c r="H645" s="121">
        <v>0.16300554756923802</v>
      </c>
      <c r="N645" s="121"/>
      <c r="O645" s="121"/>
      <c r="P645" s="121"/>
      <c r="R645">
        <v>173.75930802829129</v>
      </c>
      <c r="S645">
        <v>48.673923828934527</v>
      </c>
      <c r="T645">
        <v>238.63450762717653</v>
      </c>
      <c r="U645">
        <v>96.614946496937279</v>
      </c>
      <c r="X645">
        <v>0.81001858480474209</v>
      </c>
      <c r="Y645">
        <v>0.60958993973469588</v>
      </c>
      <c r="Z645">
        <v>0.74726960846540935</v>
      </c>
      <c r="AA645">
        <v>0.60137018034330181</v>
      </c>
      <c r="AB645">
        <v>0.81219380502476524</v>
      </c>
      <c r="AC645">
        <v>0.75205924824224468</v>
      </c>
      <c r="AD645">
        <v>0.93194693675974671</v>
      </c>
      <c r="AE645">
        <v>0.6200348992129483</v>
      </c>
      <c r="AH645">
        <v>7.2678803219719312E-2</v>
      </c>
      <c r="AI645">
        <v>5.6023470851358503E-2</v>
      </c>
      <c r="AJ645">
        <v>7.1181759870313499E-2</v>
      </c>
      <c r="AK645">
        <v>0.15260989198049946</v>
      </c>
      <c r="AL645">
        <v>0.13817561708963544</v>
      </c>
      <c r="AM645">
        <v>0.25008999239085394</v>
      </c>
      <c r="AN645">
        <v>8.9396440475105643E-2</v>
      </c>
      <c r="AO645">
        <v>6.2632729154935785E-2</v>
      </c>
      <c r="AR645">
        <v>8.5723435397400203E-4</v>
      </c>
      <c r="AS645">
        <v>4.5575351581240708E-3</v>
      </c>
      <c r="AT645">
        <v>5.1404499955012284E-3</v>
      </c>
      <c r="AU645">
        <v>1.8724622525602942E-3</v>
      </c>
      <c r="AV645">
        <v>2.0942190649120285E-3</v>
      </c>
      <c r="AW645">
        <v>3.3514318846641629E-3</v>
      </c>
      <c r="AX645">
        <v>2.8467773411262968E-4</v>
      </c>
      <c r="AY645">
        <v>4.2799383498060207E-4</v>
      </c>
      <c r="BB645">
        <v>5.9431488432626689E-2</v>
      </c>
      <c r="BC645">
        <v>5.8541239691148439E-2</v>
      </c>
      <c r="BE645">
        <v>68001.898494900437</v>
      </c>
      <c r="BF645">
        <v>17.129100249211739</v>
      </c>
      <c r="BG645">
        <v>69635.007713160478</v>
      </c>
      <c r="BH645">
        <v>16.966094701642501</v>
      </c>
      <c r="BI645">
        <v>-1633.1092182600405</v>
      </c>
      <c r="BJ645">
        <v>0.16300554756923802</v>
      </c>
    </row>
    <row r="646" spans="3:62" x14ac:dyDescent="0.2">
      <c r="C646" s="121">
        <v>56682.343941668725</v>
      </c>
      <c r="D646" s="121">
        <v>16.851619817844561</v>
      </c>
      <c r="E646" s="121">
        <v>58131.530408695784</v>
      </c>
      <c r="F646" s="121">
        <v>16.732331566460537</v>
      </c>
      <c r="G646" s="121">
        <v>-1449.1864670270588</v>
      </c>
      <c r="H646" s="121">
        <v>0.11928825138402388</v>
      </c>
      <c r="N646" s="121"/>
      <c r="O646" s="121"/>
      <c r="P646" s="121"/>
      <c r="R646">
        <v>209.71184546245109</v>
      </c>
      <c r="S646">
        <v>73.41431631277618</v>
      </c>
      <c r="T646">
        <v>245.77039483998357</v>
      </c>
      <c r="U646">
        <v>101.32586556364105</v>
      </c>
      <c r="X646">
        <v>0.79447309508243724</v>
      </c>
      <c r="Y646">
        <v>0.79378824012089533</v>
      </c>
      <c r="Z646">
        <v>0.93784242154209596</v>
      </c>
      <c r="AA646">
        <v>0.86277506349432087</v>
      </c>
      <c r="AB646">
        <v>0.7768199185396758</v>
      </c>
      <c r="AC646">
        <v>0.63574133636523666</v>
      </c>
      <c r="AD646">
        <v>0.71955400509036915</v>
      </c>
      <c r="AE646">
        <v>0.93111536967318176</v>
      </c>
      <c r="AH646">
        <v>0.13436541832908155</v>
      </c>
      <c r="AI646">
        <v>0.10487298253524846</v>
      </c>
      <c r="AJ646">
        <v>5.4556711213007869E-2</v>
      </c>
      <c r="AK646">
        <v>2.4892119764594378E-2</v>
      </c>
      <c r="AL646">
        <v>0.11154017435018826</v>
      </c>
      <c r="AM646">
        <v>2.3870090457085769E-2</v>
      </c>
      <c r="AN646">
        <v>7.9957483924548378E-2</v>
      </c>
      <c r="AO646">
        <v>0.23624511831401596</v>
      </c>
      <c r="AR646">
        <v>9.2039626285278509E-4</v>
      </c>
      <c r="AS646">
        <v>4.5120524068976708E-3</v>
      </c>
      <c r="AT646">
        <v>5.3019972685154348E-3</v>
      </c>
      <c r="AU646">
        <v>2.0753931198844722E-3</v>
      </c>
      <c r="AV646">
        <v>2.3126109785022164E-3</v>
      </c>
      <c r="AW646">
        <v>3.2838409575952927E-3</v>
      </c>
      <c r="AX646">
        <v>2.7360030169379222E-4</v>
      </c>
      <c r="AY646">
        <v>4.1511327075798862E-4</v>
      </c>
      <c r="BB646">
        <v>4.6457643859384633E-2</v>
      </c>
      <c r="BC646">
        <v>4.0349549187862092E-2</v>
      </c>
      <c r="BE646">
        <v>56682.343941668725</v>
      </c>
      <c r="BF646">
        <v>16.851619817844561</v>
      </c>
      <c r="BG646">
        <v>58131.530408695784</v>
      </c>
      <c r="BH646">
        <v>16.732331566460537</v>
      </c>
      <c r="BI646">
        <v>-1449.1864670270588</v>
      </c>
      <c r="BJ646">
        <v>0.11928825138402388</v>
      </c>
    </row>
    <row r="647" spans="3:62" x14ac:dyDescent="0.2">
      <c r="C647" s="121">
        <v>73440.155015466982</v>
      </c>
      <c r="D647" s="121">
        <v>17.151669129752612</v>
      </c>
      <c r="E647" s="121">
        <v>75128.447000797649</v>
      </c>
      <c r="F647" s="121">
        <v>17.048802741302826</v>
      </c>
      <c r="G647" s="121">
        <v>-1688.2919853306666</v>
      </c>
      <c r="H647" s="121">
        <v>0.10286638844978668</v>
      </c>
      <c r="N647" s="121"/>
      <c r="O647" s="121"/>
      <c r="P647" s="121"/>
      <c r="R647">
        <v>280.51136937136556</v>
      </c>
      <c r="S647">
        <v>74.289386671563989</v>
      </c>
      <c r="T647">
        <v>227.48143340798106</v>
      </c>
      <c r="U647">
        <v>109.11513708485305</v>
      </c>
      <c r="X647">
        <v>0.4883503741606689</v>
      </c>
      <c r="Y647">
        <v>0.70885223345343562</v>
      </c>
      <c r="Z647">
        <v>0.48072199229689677</v>
      </c>
      <c r="AA647">
        <v>0.65423116957650262</v>
      </c>
      <c r="AB647">
        <v>0.85501887230136064</v>
      </c>
      <c r="AC647">
        <v>0.76776839463088331</v>
      </c>
      <c r="AD647">
        <v>0.80590096505250575</v>
      </c>
      <c r="AE647">
        <v>0.59667858054507694</v>
      </c>
      <c r="AH647">
        <v>0.18794688209242394</v>
      </c>
      <c r="AI647">
        <v>0.3451689896737391</v>
      </c>
      <c r="AJ647">
        <v>5.6927016675826336E-2</v>
      </c>
      <c r="AK647">
        <v>0.14982822799903417</v>
      </c>
      <c r="AL647">
        <v>0.28306584203647767</v>
      </c>
      <c r="AM647">
        <v>5.6985136457625929E-2</v>
      </c>
      <c r="AN647">
        <v>8.7738029614013446E-2</v>
      </c>
      <c r="AO647">
        <v>0.11275135942996484</v>
      </c>
      <c r="AR647">
        <v>7.7169162612489566E-4</v>
      </c>
      <c r="AS647">
        <v>4.5299347141329882E-3</v>
      </c>
      <c r="AT647">
        <v>4.9689058838991995E-3</v>
      </c>
      <c r="AU647">
        <v>1.9478304159769883E-3</v>
      </c>
      <c r="AV647">
        <v>2.0437797381106515E-3</v>
      </c>
      <c r="AW647">
        <v>3.5285451097567533E-3</v>
      </c>
      <c r="AX647">
        <v>2.911863678751968E-4</v>
      </c>
      <c r="AY647">
        <v>4.26399532117796E-4</v>
      </c>
      <c r="BB647">
        <v>5.0877446929668224E-2</v>
      </c>
      <c r="BC647">
        <v>2.2870274142480482E-2</v>
      </c>
      <c r="BE647">
        <v>73440.155015466982</v>
      </c>
      <c r="BF647">
        <v>17.151669129752612</v>
      </c>
      <c r="BG647">
        <v>75128.447000797649</v>
      </c>
      <c r="BH647">
        <v>17.048802741302826</v>
      </c>
      <c r="BI647">
        <v>-1688.2919853306666</v>
      </c>
      <c r="BJ647">
        <v>0.10286638844978668</v>
      </c>
    </row>
    <row r="648" spans="3:62" x14ac:dyDescent="0.2">
      <c r="C648" s="121">
        <v>71745.000006726856</v>
      </c>
      <c r="D648" s="121">
        <v>15.623681530495356</v>
      </c>
      <c r="E648" s="121">
        <v>72005.133526192847</v>
      </c>
      <c r="F648" s="121">
        <v>15.518836879212003</v>
      </c>
      <c r="G648" s="121">
        <v>-260.13351946599141</v>
      </c>
      <c r="H648" s="121">
        <v>0.10484465128335252</v>
      </c>
      <c r="N648" s="121"/>
      <c r="O648" s="121"/>
      <c r="P648" s="121"/>
      <c r="R648">
        <v>406.87910463034416</v>
      </c>
      <c r="S648">
        <v>67.448400598342005</v>
      </c>
      <c r="T648">
        <v>300.25864748817753</v>
      </c>
      <c r="U648">
        <v>89.042485161810674</v>
      </c>
      <c r="X648">
        <v>0.63614069527233685</v>
      </c>
      <c r="Y648">
        <v>0.6352431838723922</v>
      </c>
      <c r="Z648">
        <v>0.69737406977452898</v>
      </c>
      <c r="AA648">
        <v>0.91051501243219457</v>
      </c>
      <c r="AB648">
        <v>0.89599282303966965</v>
      </c>
      <c r="AC648">
        <v>0.86455589201510963</v>
      </c>
      <c r="AD648">
        <v>0.72078505390236791</v>
      </c>
      <c r="AE648">
        <v>0.48451389758209923</v>
      </c>
      <c r="AH648">
        <v>4.9995969836027387E-2</v>
      </c>
      <c r="AI648">
        <v>0.20573566189711645</v>
      </c>
      <c r="AJ648">
        <v>0.11290613336651789</v>
      </c>
      <c r="AK648">
        <v>1.633459706623841E-2</v>
      </c>
      <c r="AL648">
        <v>9.0346684564633906E-2</v>
      </c>
      <c r="AM648">
        <v>0.28878453908445523</v>
      </c>
      <c r="AN648">
        <v>7.5511787915229167E-2</v>
      </c>
      <c r="AO648">
        <v>0.39634346532646114</v>
      </c>
      <c r="AR648">
        <v>7.1606223265752416E-4</v>
      </c>
      <c r="AS648">
        <v>4.7299844053277917E-3</v>
      </c>
      <c r="AT648">
        <v>4.7359796959884652E-3</v>
      </c>
      <c r="AU648">
        <v>1.9784964929329056E-3</v>
      </c>
      <c r="AV648">
        <v>2.0018031517754498E-3</v>
      </c>
      <c r="AW648">
        <v>3.3282598909628886E-3</v>
      </c>
      <c r="AX648">
        <v>3.2125510197900928E-4</v>
      </c>
      <c r="AY648">
        <v>3.9343482008679287E-4</v>
      </c>
      <c r="BB648">
        <v>3.5150489398906151E-2</v>
      </c>
      <c r="BC648">
        <v>8.2345280903306284E-2</v>
      </c>
      <c r="BE648">
        <v>71745.000006726856</v>
      </c>
      <c r="BF648">
        <v>15.623681530495356</v>
      </c>
      <c r="BG648">
        <v>72005.133526192847</v>
      </c>
      <c r="BH648">
        <v>15.518836879212003</v>
      </c>
      <c r="BI648">
        <v>-260.13351946599141</v>
      </c>
      <c r="BJ648">
        <v>0.10484465128335252</v>
      </c>
    </row>
    <row r="649" spans="3:62" x14ac:dyDescent="0.2">
      <c r="C649" s="121">
        <v>67237.388135356086</v>
      </c>
      <c r="D649" s="121">
        <v>16.534074692690449</v>
      </c>
      <c r="E649" s="121">
        <v>69009.068769140053</v>
      </c>
      <c r="F649" s="121">
        <v>16.402644752153769</v>
      </c>
      <c r="G649" s="121">
        <v>-1771.6806337839662</v>
      </c>
      <c r="H649" s="121">
        <v>0.13142994053668033</v>
      </c>
      <c r="N649" s="121"/>
      <c r="O649" s="121"/>
      <c r="P649" s="121"/>
      <c r="R649">
        <v>39.828625964055419</v>
      </c>
      <c r="S649">
        <v>52.219877362397753</v>
      </c>
      <c r="T649">
        <v>293.3394657758688</v>
      </c>
      <c r="U649">
        <v>105.54087709548148</v>
      </c>
      <c r="X649">
        <v>0.83454485856005789</v>
      </c>
      <c r="Y649">
        <v>0.5563592979736578</v>
      </c>
      <c r="Z649">
        <v>0.82042826935538615</v>
      </c>
      <c r="AA649">
        <v>0.87110861785267635</v>
      </c>
      <c r="AB649">
        <v>0.92676843500098993</v>
      </c>
      <c r="AC649">
        <v>0.76226549820295464</v>
      </c>
      <c r="AD649">
        <v>0.80509946518013908</v>
      </c>
      <c r="AE649">
        <v>0.66834540399800457</v>
      </c>
      <c r="AH649">
        <v>0.14468882689511009</v>
      </c>
      <c r="AI649">
        <v>0.22095359697593686</v>
      </c>
      <c r="AJ649">
        <v>7.1000422229246074E-2</v>
      </c>
      <c r="AK649">
        <v>8.841633478057187E-2</v>
      </c>
      <c r="AL649">
        <v>0.31354951478630388</v>
      </c>
      <c r="AM649">
        <v>1.5117159193054563E-2</v>
      </c>
      <c r="AN649">
        <v>8.203785985328349E-2</v>
      </c>
      <c r="AO649">
        <v>0.11311968814407447</v>
      </c>
      <c r="AR649">
        <v>9.1236281901607708E-4</v>
      </c>
      <c r="AS649">
        <v>4.5445552554755908E-3</v>
      </c>
      <c r="AT649">
        <v>5.068505885820751E-3</v>
      </c>
      <c r="AU649">
        <v>2.1874831129992112E-3</v>
      </c>
      <c r="AV649">
        <v>2.1319626715977646E-3</v>
      </c>
      <c r="AW649">
        <v>3.5261631546827932E-3</v>
      </c>
      <c r="AX649">
        <v>3.9849420823245829E-4</v>
      </c>
      <c r="AY649">
        <v>5.3132144961032246E-4</v>
      </c>
      <c r="BB649">
        <v>5.5893764419587488E-2</v>
      </c>
      <c r="BC649">
        <v>6.2023856619644935E-2</v>
      </c>
      <c r="BE649">
        <v>67237.388135356086</v>
      </c>
      <c r="BF649">
        <v>16.534074692690449</v>
      </c>
      <c r="BG649">
        <v>69009.068769140053</v>
      </c>
      <c r="BH649">
        <v>16.402644752153769</v>
      </c>
      <c r="BI649">
        <v>-1771.6806337839662</v>
      </c>
      <c r="BJ649">
        <v>0.13142994053668033</v>
      </c>
    </row>
    <row r="650" spans="3:62" x14ac:dyDescent="0.2">
      <c r="C650" s="121">
        <v>71939.376157376057</v>
      </c>
      <c r="D650" s="121">
        <v>15.268176984844938</v>
      </c>
      <c r="E650" s="121">
        <v>74252.806937338872</v>
      </c>
      <c r="F650" s="121">
        <v>15.037761584483432</v>
      </c>
      <c r="G650" s="121">
        <v>-2313.430779962815</v>
      </c>
      <c r="H650" s="121">
        <v>0.23041540036150643</v>
      </c>
      <c r="N650" s="121"/>
      <c r="O650" s="121"/>
      <c r="P650" s="121"/>
      <c r="R650">
        <v>100.91713664434238</v>
      </c>
      <c r="S650">
        <v>66.02402929082858</v>
      </c>
      <c r="T650">
        <v>274.85935041249064</v>
      </c>
      <c r="U650">
        <v>103.92311889046789</v>
      </c>
      <c r="X650">
        <v>0.82011640099425431</v>
      </c>
      <c r="Y650">
        <v>0.69630484414697646</v>
      </c>
      <c r="Z650">
        <v>0.85326079002639443</v>
      </c>
      <c r="AA650">
        <v>0.73632341384106215</v>
      </c>
      <c r="AB650">
        <v>0.86503791268729335</v>
      </c>
      <c r="AC650">
        <v>0.81345139334609029</v>
      </c>
      <c r="AD650">
        <v>0.72459863063349828</v>
      </c>
      <c r="AE650">
        <v>0.56915631209023532</v>
      </c>
      <c r="AH650">
        <v>0.25335064446612976</v>
      </c>
      <c r="AI650">
        <v>7.5406001463067751E-2</v>
      </c>
      <c r="AJ650">
        <v>9.1431651728198338E-2</v>
      </c>
      <c r="AK650">
        <v>7.3020697515295052E-2</v>
      </c>
      <c r="AL650">
        <v>3.4669935939764085E-2</v>
      </c>
      <c r="AM650">
        <v>8.2759755461921936E-3</v>
      </c>
      <c r="AN650">
        <v>9.0870622849793969E-2</v>
      </c>
      <c r="AO650">
        <v>0.14210293594052203</v>
      </c>
      <c r="AR650">
        <v>1.1430516417414438E-3</v>
      </c>
      <c r="AS650">
        <v>4.7169504975725918E-3</v>
      </c>
      <c r="AT650">
        <v>5.1133683189187318E-3</v>
      </c>
      <c r="AU650">
        <v>1.9330059094026558E-3</v>
      </c>
      <c r="AV650">
        <v>1.9741321531461294E-3</v>
      </c>
      <c r="AW650">
        <v>3.1864300141738158E-3</v>
      </c>
      <c r="AX650">
        <v>3.3547963528805298E-4</v>
      </c>
      <c r="AY650">
        <v>3.7746206821886704E-4</v>
      </c>
      <c r="BB650">
        <v>4.044456122574043E-2</v>
      </c>
      <c r="BC650">
        <v>6.6251744316631056E-2</v>
      </c>
      <c r="BE650">
        <v>71939.376157376057</v>
      </c>
      <c r="BF650">
        <v>15.268176984844938</v>
      </c>
      <c r="BG650">
        <v>74252.806937338872</v>
      </c>
      <c r="BH650">
        <v>15.037761584483432</v>
      </c>
      <c r="BI650">
        <v>-2313.430779962815</v>
      </c>
      <c r="BJ650">
        <v>0.23041540036150643</v>
      </c>
    </row>
    <row r="651" spans="3:62" x14ac:dyDescent="0.2">
      <c r="C651" s="121">
        <v>66949.269214767832</v>
      </c>
      <c r="D651" s="121">
        <v>16.160786019341831</v>
      </c>
      <c r="E651" s="121">
        <v>68556.314383105535</v>
      </c>
      <c r="F651" s="121">
        <v>15.990108241435664</v>
      </c>
      <c r="G651" s="121">
        <v>-1607.0451683377032</v>
      </c>
      <c r="H651" s="121">
        <v>0.17067777790616745</v>
      </c>
      <c r="N651" s="121"/>
      <c r="O651" s="121"/>
      <c r="P651" s="121"/>
      <c r="R651">
        <v>476.27084529868409</v>
      </c>
      <c r="S651">
        <v>63.779567416739276</v>
      </c>
      <c r="T651">
        <v>256.66042027620165</v>
      </c>
      <c r="U651">
        <v>100.68211618884746</v>
      </c>
      <c r="X651">
        <v>0.89954855107522513</v>
      </c>
      <c r="Y651">
        <v>0.67942400708644157</v>
      </c>
      <c r="Z651">
        <v>0.67374881574145395</v>
      </c>
      <c r="AA651">
        <v>0.88163958718251711</v>
      </c>
      <c r="AB651">
        <v>0.80515127605374559</v>
      </c>
      <c r="AC651">
        <v>0.73901806580806839</v>
      </c>
      <c r="AD651">
        <v>0.98653435657183475</v>
      </c>
      <c r="AE651">
        <v>0.86557769313720057</v>
      </c>
      <c r="AH651">
        <v>8.110083182950234E-2</v>
      </c>
      <c r="AI651">
        <v>0.1002029310079211</v>
      </c>
      <c r="AJ651">
        <v>4.6902479173260181E-2</v>
      </c>
      <c r="AK651">
        <v>4.0225881607826919E-2</v>
      </c>
      <c r="AL651">
        <v>0.1668505542839317</v>
      </c>
      <c r="AM651">
        <v>0.1139101597193376</v>
      </c>
      <c r="AN651">
        <v>8.7918552659735916E-3</v>
      </c>
      <c r="AO651">
        <v>2.8908472903680371E-2</v>
      </c>
      <c r="AR651">
        <v>7.9333167929425245E-4</v>
      </c>
      <c r="AS651">
        <v>4.6206185506565411E-3</v>
      </c>
      <c r="AT651">
        <v>5.083002062393982E-3</v>
      </c>
      <c r="AU651">
        <v>1.9079478291156218E-3</v>
      </c>
      <c r="AV651">
        <v>1.8053257496553016E-3</v>
      </c>
      <c r="AW651">
        <v>2.989498775603552E-3</v>
      </c>
      <c r="AX651">
        <v>3.6590349805451223E-4</v>
      </c>
      <c r="AY651">
        <v>5.0340705046658663E-4</v>
      </c>
      <c r="BB651">
        <v>5.083214753983667E-2</v>
      </c>
      <c r="BC651">
        <v>0.10760292422270679</v>
      </c>
      <c r="BE651">
        <v>66949.269214767832</v>
      </c>
      <c r="BF651">
        <v>16.160786019341831</v>
      </c>
      <c r="BG651">
        <v>68556.314383105535</v>
      </c>
      <c r="BH651">
        <v>15.990108241435664</v>
      </c>
      <c r="BI651">
        <v>-1607.0451683377032</v>
      </c>
      <c r="BJ651">
        <v>0.17067777790616745</v>
      </c>
    </row>
    <row r="652" spans="3:62" x14ac:dyDescent="0.2">
      <c r="C652" s="121">
        <v>69090.82765498283</v>
      </c>
      <c r="D652" s="121">
        <v>17.650179223541436</v>
      </c>
      <c r="E652" s="121">
        <v>70602.527459573146</v>
      </c>
      <c r="F652" s="121">
        <v>17.539280647361046</v>
      </c>
      <c r="G652" s="121">
        <v>-1511.6998045903165</v>
      </c>
      <c r="H652" s="121">
        <v>0.11089857618038934</v>
      </c>
      <c r="N652" s="121"/>
      <c r="O652" s="121"/>
      <c r="P652" s="121"/>
      <c r="R652">
        <v>278.79522532731198</v>
      </c>
      <c r="S652">
        <v>65.103488967920896</v>
      </c>
      <c r="T652">
        <v>292.78355277475583</v>
      </c>
      <c r="U652">
        <v>94.445855131360148</v>
      </c>
      <c r="X652">
        <v>0.76073219024355743</v>
      </c>
      <c r="Y652">
        <v>0.72958254771515085</v>
      </c>
      <c r="Z652">
        <v>0.68856474372330223</v>
      </c>
      <c r="AA652">
        <v>0.8810255712144659</v>
      </c>
      <c r="AB652">
        <v>0.80236639935257037</v>
      </c>
      <c r="AC652">
        <v>0.73097478361638724</v>
      </c>
      <c r="AD652">
        <v>0.61165894748282146</v>
      </c>
      <c r="AE652">
        <v>0.71517389605444837</v>
      </c>
      <c r="AH652">
        <v>0.12633210786460525</v>
      </c>
      <c r="AI652">
        <v>7.3170152914276976E-2</v>
      </c>
      <c r="AJ652">
        <v>6.7795290385582629E-2</v>
      </c>
      <c r="AK652">
        <v>6.3757814848572347E-2</v>
      </c>
      <c r="AL652">
        <v>2.2183640611207589E-2</v>
      </c>
      <c r="AM652">
        <v>2.9478637343080094E-2</v>
      </c>
      <c r="AN652">
        <v>0.31312633816686242</v>
      </c>
      <c r="AO652">
        <v>0.15055569279789116</v>
      </c>
      <c r="AR652">
        <v>7.3289721264169997E-4</v>
      </c>
      <c r="AS652">
        <v>4.7154848710777575E-3</v>
      </c>
      <c r="AT652">
        <v>4.4047099353250428E-3</v>
      </c>
      <c r="AU652">
        <v>2.0660287789515674E-3</v>
      </c>
      <c r="AV652">
        <v>2.1885421204690392E-3</v>
      </c>
      <c r="AW652">
        <v>3.1711107730967576E-3</v>
      </c>
      <c r="AX652">
        <v>3.0356029267590475E-4</v>
      </c>
      <c r="AY652">
        <v>4.1087086067777815E-4</v>
      </c>
      <c r="BB652">
        <v>4.3735997643760814E-2</v>
      </c>
      <c r="BC652">
        <v>7.1207595353373065E-2</v>
      </c>
      <c r="BE652">
        <v>69090.82765498283</v>
      </c>
      <c r="BF652">
        <v>17.650179223541436</v>
      </c>
      <c r="BG652">
        <v>70602.527459573146</v>
      </c>
      <c r="BH652">
        <v>17.539280647361046</v>
      </c>
      <c r="BI652">
        <v>-1511.6998045903165</v>
      </c>
      <c r="BJ652">
        <v>0.11089857618038934</v>
      </c>
    </row>
    <row r="653" spans="3:62" x14ac:dyDescent="0.2">
      <c r="C653" s="121">
        <v>74051.938938958177</v>
      </c>
      <c r="D653" s="121">
        <v>17.937439606698511</v>
      </c>
      <c r="E653" s="121">
        <v>74906.643512342736</v>
      </c>
      <c r="F653" s="121">
        <v>17.878353055597557</v>
      </c>
      <c r="G653" s="121">
        <v>-854.7045733845589</v>
      </c>
      <c r="H653" s="121">
        <v>5.9086551100953955E-2</v>
      </c>
      <c r="N653" s="121"/>
      <c r="O653" s="121"/>
      <c r="P653" s="121"/>
      <c r="R653">
        <v>277.86276822573797</v>
      </c>
      <c r="S653">
        <v>61.812098748555272</v>
      </c>
      <c r="T653">
        <v>271.23959837805199</v>
      </c>
      <c r="U653">
        <v>88.512690214578043</v>
      </c>
      <c r="X653">
        <v>0.76283840046798423</v>
      </c>
      <c r="Y653">
        <v>0.8089205383510667</v>
      </c>
      <c r="Z653">
        <v>0.63052161592607536</v>
      </c>
      <c r="AA653">
        <v>0.72046283119915433</v>
      </c>
      <c r="AB653">
        <v>0.66634631980353842</v>
      </c>
      <c r="AC653">
        <v>0.65171217727991826</v>
      </c>
      <c r="AD653">
        <v>0.7927235852794261</v>
      </c>
      <c r="AE653">
        <v>0.98855123485761409</v>
      </c>
      <c r="AH653">
        <v>0.26728667606595191</v>
      </c>
      <c r="AI653">
        <v>4.6725000252034743E-2</v>
      </c>
      <c r="AJ653">
        <v>0.10944173822015546</v>
      </c>
      <c r="AK653">
        <v>7.8201321423882142E-2</v>
      </c>
      <c r="AL653">
        <v>7.9082551489748076E-2</v>
      </c>
      <c r="AM653">
        <v>4.9215811347484761E-2</v>
      </c>
      <c r="AN653">
        <v>2.4745109795814679E-2</v>
      </c>
      <c r="AO653">
        <v>0.16199815406263196</v>
      </c>
      <c r="AR653">
        <v>1.0041027643956646E-3</v>
      </c>
      <c r="AS653">
        <v>4.3203591267387403E-3</v>
      </c>
      <c r="AT653">
        <v>4.9659557700202361E-3</v>
      </c>
      <c r="AU653">
        <v>2.1699240749344373E-3</v>
      </c>
      <c r="AV653">
        <v>2.2116105161015254E-3</v>
      </c>
      <c r="AW653">
        <v>3.5494278082386366E-3</v>
      </c>
      <c r="AX653">
        <v>3.4585924836578867E-4</v>
      </c>
      <c r="AY653">
        <v>3.2068135447762966E-4</v>
      </c>
      <c r="BB653">
        <v>4.2369613810055558E-2</v>
      </c>
      <c r="BC653">
        <v>0.10957485993189597</v>
      </c>
      <c r="BE653">
        <v>74051.938938958177</v>
      </c>
      <c r="BF653">
        <v>17.937439606698511</v>
      </c>
      <c r="BG653">
        <v>74906.643512342736</v>
      </c>
      <c r="BH653">
        <v>17.878353055597557</v>
      </c>
      <c r="BI653">
        <v>-854.7045733845589</v>
      </c>
      <c r="BJ653">
        <v>5.9086551100953955E-2</v>
      </c>
    </row>
    <row r="654" spans="3:62" x14ac:dyDescent="0.2">
      <c r="C654" s="121">
        <v>67195.745511109431</v>
      </c>
      <c r="D654" s="121">
        <v>16.62468965111989</v>
      </c>
      <c r="E654" s="121">
        <v>68715.793468358243</v>
      </c>
      <c r="F654" s="121">
        <v>16.53566773661111</v>
      </c>
      <c r="G654" s="121">
        <v>-1520.0479572488111</v>
      </c>
      <c r="H654" s="121">
        <v>8.9021914508780497E-2</v>
      </c>
      <c r="N654" s="121"/>
      <c r="O654" s="121"/>
      <c r="P654" s="121"/>
      <c r="R654">
        <v>119.63850601831683</v>
      </c>
      <c r="S654">
        <v>59.169446530836488</v>
      </c>
      <c r="T654">
        <v>253.88637076630039</v>
      </c>
      <c r="U654">
        <v>103.9964513770081</v>
      </c>
      <c r="X654">
        <v>0.7188660551361703</v>
      </c>
      <c r="Y654">
        <v>0.90124436734147317</v>
      </c>
      <c r="Z654">
        <v>0.77933862448053459</v>
      </c>
      <c r="AA654">
        <v>0.62730615849035165</v>
      </c>
      <c r="AB654">
        <v>0.79419078424305278</v>
      </c>
      <c r="AC654">
        <v>0.78508719641938207</v>
      </c>
      <c r="AD654">
        <v>0.79294952722785528</v>
      </c>
      <c r="AE654">
        <v>0.7442169143548224</v>
      </c>
      <c r="AH654">
        <v>0.16179867658556157</v>
      </c>
      <c r="AI654">
        <v>1.9119426259369465E-2</v>
      </c>
      <c r="AJ654">
        <v>6.889452501557547E-2</v>
      </c>
      <c r="AK654">
        <v>0.10893709100936111</v>
      </c>
      <c r="AL654">
        <v>0.29515267956150915</v>
      </c>
      <c r="AM654">
        <v>0.21978008253375958</v>
      </c>
      <c r="AN654">
        <v>0.23077237167586373</v>
      </c>
      <c r="AO654">
        <v>0.1368390069059735</v>
      </c>
      <c r="AR654">
        <v>8.4101638969983467E-4</v>
      </c>
      <c r="AS654">
        <v>4.6954549217484987E-3</v>
      </c>
      <c r="AT654">
        <v>4.7383849890435051E-3</v>
      </c>
      <c r="AU654">
        <v>2.1505149445789629E-3</v>
      </c>
      <c r="AV654">
        <v>2.1186955580777544E-3</v>
      </c>
      <c r="AW654">
        <v>3.5171582923824163E-3</v>
      </c>
      <c r="AX654">
        <v>3.7162767779217891E-4</v>
      </c>
      <c r="AY654">
        <v>4.4881501274507407E-4</v>
      </c>
      <c r="BB654">
        <v>4.9415326767502744E-2</v>
      </c>
      <c r="BC654">
        <v>7.6623051789848851E-2</v>
      </c>
      <c r="BE654">
        <v>67195.745511109431</v>
      </c>
      <c r="BF654">
        <v>16.62468965111989</v>
      </c>
      <c r="BG654">
        <v>68715.793468358243</v>
      </c>
      <c r="BH654">
        <v>16.53566773661111</v>
      </c>
      <c r="BI654">
        <v>-1520.0479572488111</v>
      </c>
      <c r="BJ654">
        <v>8.9021914508780497E-2</v>
      </c>
    </row>
    <row r="655" spans="3:62" x14ac:dyDescent="0.2">
      <c r="C655" s="121">
        <v>73225.640591630872</v>
      </c>
      <c r="D655" s="121">
        <v>17.397406503485964</v>
      </c>
      <c r="E655" s="121">
        <v>74324.801975991824</v>
      </c>
      <c r="F655" s="121">
        <v>17.293243500610874</v>
      </c>
      <c r="G655" s="121">
        <v>-1099.1613843609521</v>
      </c>
      <c r="H655" s="121">
        <v>0.10416300287509017</v>
      </c>
      <c r="N655" s="121"/>
      <c r="O655" s="121"/>
      <c r="P655" s="121"/>
      <c r="R655">
        <v>410.52889598027878</v>
      </c>
      <c r="S655">
        <v>63.041481415318991</v>
      </c>
      <c r="T655">
        <v>219.64329845037926</v>
      </c>
      <c r="U655">
        <v>87.972495997037527</v>
      </c>
      <c r="X655">
        <v>0.84569989071794338</v>
      </c>
      <c r="Y655">
        <v>0.95410482494197546</v>
      </c>
      <c r="Z655">
        <v>0.64328040904551931</v>
      </c>
      <c r="AA655">
        <v>0.6876138091655154</v>
      </c>
      <c r="AB655">
        <v>0.71905234172676646</v>
      </c>
      <c r="AC655">
        <v>0.88041391116159007</v>
      </c>
      <c r="AD655">
        <v>0.5351846006281864</v>
      </c>
      <c r="AE655">
        <v>0.53941813513325754</v>
      </c>
      <c r="AH655">
        <v>3.9604033603142019E-2</v>
      </c>
      <c r="AI655">
        <v>7.9663749164238906E-2</v>
      </c>
      <c r="AJ655">
        <v>5.6418527994334999E-2</v>
      </c>
      <c r="AK655">
        <v>0.30401575875316666</v>
      </c>
      <c r="AL655">
        <v>5.8674478192009549E-2</v>
      </c>
      <c r="AM655">
        <v>2.9277135235386664E-2</v>
      </c>
      <c r="AN655">
        <v>5.8154747110664484E-2</v>
      </c>
      <c r="AO655">
        <v>0.20896172122591472</v>
      </c>
      <c r="AR655">
        <v>9.8888949295483641E-4</v>
      </c>
      <c r="AS655">
        <v>4.2838023209688164E-3</v>
      </c>
      <c r="AT655">
        <v>4.9019855201908663E-3</v>
      </c>
      <c r="AU655">
        <v>1.9870226893945664E-3</v>
      </c>
      <c r="AV655">
        <v>2.0263070135586592E-3</v>
      </c>
      <c r="AW655">
        <v>3.4904659231137503E-3</v>
      </c>
      <c r="AX655">
        <v>4.2467588268046974E-4</v>
      </c>
      <c r="AY655">
        <v>4.7417025290430459E-4</v>
      </c>
      <c r="BB655">
        <v>5.1438388451064965E-2</v>
      </c>
      <c r="BC655">
        <v>6.5157202198232511E-2</v>
      </c>
      <c r="BE655">
        <v>73225.640591630872</v>
      </c>
      <c r="BF655">
        <v>17.397406503485964</v>
      </c>
      <c r="BG655">
        <v>74324.801975991824</v>
      </c>
      <c r="BH655">
        <v>17.293243500610874</v>
      </c>
      <c r="BI655">
        <v>-1099.1613843609521</v>
      </c>
      <c r="BJ655">
        <v>0.10416300287509017</v>
      </c>
    </row>
    <row r="656" spans="3:62" x14ac:dyDescent="0.2">
      <c r="C656" s="121">
        <v>67347.541752001081</v>
      </c>
      <c r="D656" s="121">
        <v>16.009431380458761</v>
      </c>
      <c r="E656" s="121">
        <v>69227.859864490383</v>
      </c>
      <c r="F656" s="121">
        <v>15.862015576557143</v>
      </c>
      <c r="G656" s="121">
        <v>-1880.3181124893017</v>
      </c>
      <c r="H656" s="121">
        <v>0.14741580390161779</v>
      </c>
      <c r="N656" s="121"/>
      <c r="O656" s="121"/>
      <c r="P656" s="121"/>
      <c r="R656">
        <v>239.12046187007775</v>
      </c>
      <c r="S656">
        <v>66.151236176704927</v>
      </c>
      <c r="T656">
        <v>263.23803427986394</v>
      </c>
      <c r="U656">
        <v>80.351344224941101</v>
      </c>
      <c r="X656">
        <v>0.80336640261233161</v>
      </c>
      <c r="Y656">
        <v>0.71561460146529488</v>
      </c>
      <c r="Z656">
        <v>0.73637686939016478</v>
      </c>
      <c r="AA656">
        <v>0.63267843481918629</v>
      </c>
      <c r="AB656">
        <v>0.69666885728767047</v>
      </c>
      <c r="AC656">
        <v>0.84050066578065674</v>
      </c>
      <c r="AD656">
        <v>0.62431330331697321</v>
      </c>
      <c r="AE656">
        <v>0.90765045348449835</v>
      </c>
      <c r="AH656">
        <v>0.11922424938291165</v>
      </c>
      <c r="AI656">
        <v>0.22969238429492866</v>
      </c>
      <c r="AJ656">
        <v>1.166150570017177E-2</v>
      </c>
      <c r="AK656">
        <v>3.2572574625110207E-2</v>
      </c>
      <c r="AL656">
        <v>3.6440036562479405E-2</v>
      </c>
      <c r="AM656">
        <v>0.15482059160809303</v>
      </c>
      <c r="AN656">
        <v>0.17322311913351851</v>
      </c>
      <c r="AO656">
        <v>3.411729695664989E-2</v>
      </c>
      <c r="AR656">
        <v>8.1217233913187775E-4</v>
      </c>
      <c r="AS656">
        <v>4.3312860904286161E-3</v>
      </c>
      <c r="AT656">
        <v>5.1073666343045554E-3</v>
      </c>
      <c r="AU656">
        <v>2.1824871891592545E-3</v>
      </c>
      <c r="AV656">
        <v>2.0024480819473833E-3</v>
      </c>
      <c r="AW656">
        <v>3.6531137242709066E-3</v>
      </c>
      <c r="AX656">
        <v>3.9328329405736594E-4</v>
      </c>
      <c r="AY656">
        <v>4.4086565543253754E-4</v>
      </c>
      <c r="BB656">
        <v>4.7677347882900921E-2</v>
      </c>
      <c r="BC656">
        <v>3.4074562002531186E-2</v>
      </c>
      <c r="BE656">
        <v>67347.541752001081</v>
      </c>
      <c r="BF656">
        <v>16.009431380458761</v>
      </c>
      <c r="BG656">
        <v>69227.859864490383</v>
      </c>
      <c r="BH656">
        <v>15.862015576557143</v>
      </c>
      <c r="BI656">
        <v>-1880.3181124893017</v>
      </c>
      <c r="BJ656">
        <v>0.14741580390161779</v>
      </c>
    </row>
    <row r="657" spans="3:62" x14ac:dyDescent="0.2">
      <c r="C657" s="121">
        <v>77166.012384526359</v>
      </c>
      <c r="D657" s="121">
        <v>15.763361541558861</v>
      </c>
      <c r="E657" s="121">
        <v>77315.078029853656</v>
      </c>
      <c r="F657" s="121">
        <v>15.705444005602571</v>
      </c>
      <c r="G657" s="121">
        <v>-149.06564532729681</v>
      </c>
      <c r="H657" s="121">
        <v>5.7917535956290678E-2</v>
      </c>
      <c r="N657" s="121"/>
      <c r="O657" s="121"/>
      <c r="P657" s="121"/>
      <c r="R657">
        <v>354.41601944050871</v>
      </c>
      <c r="S657">
        <v>57.713490517662493</v>
      </c>
      <c r="T657">
        <v>261.09743242576502</v>
      </c>
      <c r="U657">
        <v>80.841963709322997</v>
      </c>
      <c r="X657">
        <v>0.74742615298818904</v>
      </c>
      <c r="Y657">
        <v>0.75988525689265873</v>
      </c>
      <c r="Z657">
        <v>0.57925386113766275</v>
      </c>
      <c r="AA657">
        <v>0.73530871435733869</v>
      </c>
      <c r="AB657">
        <v>0.8372117328771721</v>
      </c>
      <c r="AC657">
        <v>0.49740321410737254</v>
      </c>
      <c r="AD657">
        <v>0.8512657333369742</v>
      </c>
      <c r="AE657">
        <v>0.85887553300439601</v>
      </c>
      <c r="AH657">
        <v>2.7120647660605512E-2</v>
      </c>
      <c r="AI657">
        <v>0.22580723731761443</v>
      </c>
      <c r="AJ657">
        <v>0.32272138986267307</v>
      </c>
      <c r="AK657">
        <v>8.2815599841810417E-2</v>
      </c>
      <c r="AL657">
        <v>4.8361841524733995E-2</v>
      </c>
      <c r="AM657">
        <v>0.30770260164105623</v>
      </c>
      <c r="AN657">
        <v>1.1526743732744094E-2</v>
      </c>
      <c r="AO657">
        <v>0.31222107290647605</v>
      </c>
      <c r="AR657">
        <v>7.156103749252872E-4</v>
      </c>
      <c r="AS657">
        <v>4.3198110850876745E-3</v>
      </c>
      <c r="AT657">
        <v>4.8837810963428142E-3</v>
      </c>
      <c r="AU657">
        <v>2.0523338106449573E-3</v>
      </c>
      <c r="AV657">
        <v>1.8733652541888053E-3</v>
      </c>
      <c r="AW657">
        <v>3.3140025723633333E-3</v>
      </c>
      <c r="AX657">
        <v>4.0357223600062664E-4</v>
      </c>
      <c r="AY657">
        <v>4.2951812393589837E-4</v>
      </c>
      <c r="BB657">
        <v>4.5124706657551854E-2</v>
      </c>
      <c r="BC657">
        <v>5.8451190398485231E-2</v>
      </c>
      <c r="BE657">
        <v>77166.012384526359</v>
      </c>
      <c r="BF657">
        <v>15.763361541558861</v>
      </c>
      <c r="BG657">
        <v>77315.078029853656</v>
      </c>
      <c r="BH657">
        <v>15.705444005602571</v>
      </c>
      <c r="BI657">
        <v>-149.06564532729681</v>
      </c>
      <c r="BJ657">
        <v>5.7917535956290678E-2</v>
      </c>
    </row>
    <row r="658" spans="3:62" x14ac:dyDescent="0.2">
      <c r="C658" s="121">
        <v>65822.583779254128</v>
      </c>
      <c r="D658" s="121">
        <v>16.21705294981313</v>
      </c>
      <c r="E658" s="121">
        <v>66554.439838757593</v>
      </c>
      <c r="F658" s="121">
        <v>16.143235144438677</v>
      </c>
      <c r="G658" s="121">
        <v>-731.85605950346508</v>
      </c>
      <c r="H658" s="121">
        <v>7.3817805374453371E-2</v>
      </c>
      <c r="N658" s="121"/>
      <c r="O658" s="121"/>
      <c r="P658" s="121"/>
      <c r="R658">
        <v>181.4886154344305</v>
      </c>
      <c r="S658">
        <v>71.568671479985881</v>
      </c>
      <c r="T658">
        <v>227.5413145258581</v>
      </c>
      <c r="U658">
        <v>77.760342642812859</v>
      </c>
      <c r="X658">
        <v>0.81517964659497877</v>
      </c>
      <c r="Y658">
        <v>0.52817222338890824</v>
      </c>
      <c r="Z658">
        <v>0.46102588391887617</v>
      </c>
      <c r="AA658">
        <v>0.846886290547191</v>
      </c>
      <c r="AB658">
        <v>0.72249866262944595</v>
      </c>
      <c r="AC658">
        <v>0.74358141415239332</v>
      </c>
      <c r="AD658">
        <v>0.80944904037249188</v>
      </c>
      <c r="AE658">
        <v>0.60293811031929379</v>
      </c>
      <c r="AH658">
        <v>4.5430149887589311E-2</v>
      </c>
      <c r="AI658">
        <v>7.1893792851428606E-2</v>
      </c>
      <c r="AJ658">
        <v>0.18500257526596842</v>
      </c>
      <c r="AK658">
        <v>6.2195800424949654E-2</v>
      </c>
      <c r="AL658">
        <v>0.14687179923983906</v>
      </c>
      <c r="AM658">
        <v>5.3460972472096802E-2</v>
      </c>
      <c r="AN658">
        <v>0.11948551360130055</v>
      </c>
      <c r="AO658">
        <v>0.20870152330681668</v>
      </c>
      <c r="AR658">
        <v>6.8409729014817116E-4</v>
      </c>
      <c r="AS658">
        <v>5.0575131940269191E-3</v>
      </c>
      <c r="AT658">
        <v>5.1394999914921025E-3</v>
      </c>
      <c r="AU658">
        <v>2.0569861911718945E-3</v>
      </c>
      <c r="AV658">
        <v>2.1018799941832089E-3</v>
      </c>
      <c r="AW658">
        <v>3.4159681277270426E-3</v>
      </c>
      <c r="AX658">
        <v>3.6906200945263645E-4</v>
      </c>
      <c r="AY658">
        <v>4.7122655199882679E-4</v>
      </c>
      <c r="BB658">
        <v>4.5230261669597753E-2</v>
      </c>
      <c r="BC658">
        <v>3.1991696173585452E-2</v>
      </c>
      <c r="BE658">
        <v>65822.583779254128</v>
      </c>
      <c r="BF658">
        <v>16.21705294981313</v>
      </c>
      <c r="BG658">
        <v>66554.439838757593</v>
      </c>
      <c r="BH658">
        <v>16.143235144438677</v>
      </c>
      <c r="BI658">
        <v>-731.85605950346508</v>
      </c>
      <c r="BJ658">
        <v>7.3817805374453371E-2</v>
      </c>
    </row>
    <row r="659" spans="3:62" x14ac:dyDescent="0.2">
      <c r="C659" s="121">
        <v>74379.953111230396</v>
      </c>
      <c r="D659" s="121">
        <v>17.366858561567742</v>
      </c>
      <c r="E659" s="121">
        <v>77514.034057811077</v>
      </c>
      <c r="F659" s="121">
        <v>17.157706269459084</v>
      </c>
      <c r="G659" s="121">
        <v>-3134.0809465806815</v>
      </c>
      <c r="H659" s="121">
        <v>0.2091522921086586</v>
      </c>
      <c r="N659" s="121"/>
      <c r="O659" s="121"/>
      <c r="P659" s="121"/>
      <c r="R659">
        <v>261.98544701631647</v>
      </c>
      <c r="S659">
        <v>64.426815051817883</v>
      </c>
      <c r="T659">
        <v>261.1725543016351</v>
      </c>
      <c r="U659">
        <v>85.957709040980475</v>
      </c>
      <c r="X659">
        <v>0.74826563446661132</v>
      </c>
      <c r="Y659">
        <v>0.99006129379902352</v>
      </c>
      <c r="Z659">
        <v>0.64159193668551906</v>
      </c>
      <c r="AA659">
        <v>0.62301488828733276</v>
      </c>
      <c r="AB659">
        <v>0.92840887655836835</v>
      </c>
      <c r="AC659">
        <v>0.58978981380982709</v>
      </c>
      <c r="AD659">
        <v>0.62225688488478792</v>
      </c>
      <c r="AE659">
        <v>0.81800710578099012</v>
      </c>
      <c r="AH659">
        <v>0.13397916395838338</v>
      </c>
      <c r="AI659">
        <v>0.17651591080532647</v>
      </c>
      <c r="AJ659">
        <v>3.6459455568936816E-2</v>
      </c>
      <c r="AK659">
        <v>0.24280391413208158</v>
      </c>
      <c r="AL659">
        <v>1.0694060966335184E-2</v>
      </c>
      <c r="AM659">
        <v>9.4605766015277704E-2</v>
      </c>
      <c r="AN659">
        <v>0.11231017865775228</v>
      </c>
      <c r="AO659">
        <v>9.1311570548213927E-2</v>
      </c>
      <c r="AR659">
        <v>9.2347840457540631E-4</v>
      </c>
      <c r="AS659">
        <v>4.3614053665530653E-3</v>
      </c>
      <c r="AT659">
        <v>5.0499102576416766E-3</v>
      </c>
      <c r="AU659">
        <v>2.2340889141385656E-3</v>
      </c>
      <c r="AV659">
        <v>1.7933605497239141E-3</v>
      </c>
      <c r="AW659">
        <v>3.3779747870880208E-3</v>
      </c>
      <c r="AX659">
        <v>3.8207909303042588E-4</v>
      </c>
      <c r="AY659">
        <v>4.5062319058253308E-4</v>
      </c>
      <c r="BB659">
        <v>5.6050992324990778E-2</v>
      </c>
      <c r="BC659">
        <v>3.8288848869711026E-2</v>
      </c>
      <c r="BE659">
        <v>74379.953111230396</v>
      </c>
      <c r="BF659">
        <v>17.366858561567742</v>
      </c>
      <c r="BG659">
        <v>77514.034057811077</v>
      </c>
      <c r="BH659">
        <v>17.157706269459084</v>
      </c>
      <c r="BI659">
        <v>-3134.0809465806815</v>
      </c>
      <c r="BJ659">
        <v>0.2091522921086586</v>
      </c>
    </row>
    <row r="660" spans="3:62" x14ac:dyDescent="0.2">
      <c r="C660" s="121">
        <v>70623.267022626649</v>
      </c>
      <c r="D660" s="121">
        <v>16.532138173665711</v>
      </c>
      <c r="E660" s="121">
        <v>72161.94799768574</v>
      </c>
      <c r="F660" s="121">
        <v>16.38749093787299</v>
      </c>
      <c r="G660" s="121">
        <v>-1538.680975059091</v>
      </c>
      <c r="H660" s="121">
        <v>0.14464723579272132</v>
      </c>
      <c r="N660" s="121"/>
      <c r="O660" s="121"/>
      <c r="P660" s="121"/>
      <c r="R660">
        <v>287.41873119080645</v>
      </c>
      <c r="S660">
        <v>62.430725160073685</v>
      </c>
      <c r="T660">
        <v>244.05061445565832</v>
      </c>
      <c r="U660">
        <v>90.707729550583593</v>
      </c>
      <c r="X660">
        <v>0.75531063161145628</v>
      </c>
      <c r="Y660">
        <v>0.81126138776188728</v>
      </c>
      <c r="Z660">
        <v>0.84526642677735431</v>
      </c>
      <c r="AA660">
        <v>0.91671724406333266</v>
      </c>
      <c r="AB660">
        <v>0.61041858810936389</v>
      </c>
      <c r="AC660">
        <v>0.90633867947190017</v>
      </c>
      <c r="AD660">
        <v>0.56218396730525733</v>
      </c>
      <c r="AE660">
        <v>0.7560811677631698</v>
      </c>
      <c r="AH660">
        <v>0.12148708934132035</v>
      </c>
      <c r="AI660">
        <v>0.11170084667347346</v>
      </c>
      <c r="AJ660">
        <v>8.933175356352363E-2</v>
      </c>
      <c r="AK660">
        <v>0.17034770400265353</v>
      </c>
      <c r="AL660">
        <v>7.0235368783058583E-2</v>
      </c>
      <c r="AM660">
        <v>6.2758809992284004E-2</v>
      </c>
      <c r="AN660">
        <v>0.12597459288899737</v>
      </c>
      <c r="AO660">
        <v>0.14918460177448778</v>
      </c>
      <c r="AR660">
        <v>8.8919242771834384E-4</v>
      </c>
      <c r="AS660">
        <v>4.5896562205632874E-3</v>
      </c>
      <c r="AT660">
        <v>4.8788536028215347E-3</v>
      </c>
      <c r="AU660">
        <v>2.3760587281242973E-3</v>
      </c>
      <c r="AV660">
        <v>1.9571818045694017E-3</v>
      </c>
      <c r="AW660">
        <v>3.1811964921677764E-3</v>
      </c>
      <c r="AX660">
        <v>3.9416274259106404E-4</v>
      </c>
      <c r="AY660">
        <v>4.9420802777278006E-4</v>
      </c>
      <c r="BB660">
        <v>5.5466505124703414E-2</v>
      </c>
      <c r="BC660">
        <v>3.1534408324181674E-2</v>
      </c>
      <c r="BE660">
        <v>70623.267022626649</v>
      </c>
      <c r="BF660">
        <v>16.532138173665711</v>
      </c>
      <c r="BG660">
        <v>72161.94799768574</v>
      </c>
      <c r="BH660">
        <v>16.38749093787299</v>
      </c>
      <c r="BI660">
        <v>-1538.680975059091</v>
      </c>
      <c r="BJ660">
        <v>0.14464723579272132</v>
      </c>
    </row>
    <row r="661" spans="3:62" x14ac:dyDescent="0.2">
      <c r="C661" s="121">
        <v>67156.301269681426</v>
      </c>
      <c r="D661" s="121">
        <v>16.275352668348429</v>
      </c>
      <c r="E661" s="121">
        <v>68706.204565366279</v>
      </c>
      <c r="F661" s="121">
        <v>16.179102594536523</v>
      </c>
      <c r="G661" s="121">
        <v>-1549.9032956848532</v>
      </c>
      <c r="H661" s="121">
        <v>9.6250073811905423E-2</v>
      </c>
      <c r="N661" s="121"/>
      <c r="O661" s="121"/>
      <c r="P661" s="121"/>
      <c r="R661">
        <v>202.43942200731192</v>
      </c>
      <c r="S661">
        <v>58.960060733777937</v>
      </c>
      <c r="T661">
        <v>264.63135324643588</v>
      </c>
      <c r="U661">
        <v>86.622757165013041</v>
      </c>
      <c r="X661">
        <v>0.89349247238488383</v>
      </c>
      <c r="Y661">
        <v>0.81997053049473845</v>
      </c>
      <c r="Z661">
        <v>0.76559840565034909</v>
      </c>
      <c r="AA661">
        <v>0.9141754734959443</v>
      </c>
      <c r="AB661">
        <v>0.54132142143648299</v>
      </c>
      <c r="AC661">
        <v>0.7570312738749726</v>
      </c>
      <c r="AD661">
        <v>0.79570279114498155</v>
      </c>
      <c r="AE661">
        <v>0.72042487776327224</v>
      </c>
      <c r="AH661">
        <v>3.6414870766624974E-2</v>
      </c>
      <c r="AI661">
        <v>0.11560209536149524</v>
      </c>
      <c r="AJ661">
        <v>0.11434891720374285</v>
      </c>
      <c r="AK661">
        <v>9.4206539056161054E-2</v>
      </c>
      <c r="AL661">
        <v>0.12203758897071804</v>
      </c>
      <c r="AM661">
        <v>5.5128856456698738E-2</v>
      </c>
      <c r="AN661">
        <v>0.19714799701515551</v>
      </c>
      <c r="AO661">
        <v>0.12418616121929216</v>
      </c>
      <c r="AR661">
        <v>7.9917484275409615E-4</v>
      </c>
      <c r="AS661">
        <v>4.6882283932419E-3</v>
      </c>
      <c r="AT661">
        <v>5.0581736116122045E-3</v>
      </c>
      <c r="AU661">
        <v>2.0773461027645546E-3</v>
      </c>
      <c r="AV661">
        <v>1.9641911887385679E-3</v>
      </c>
      <c r="AW661">
        <v>3.5648543577108116E-3</v>
      </c>
      <c r="AX661">
        <v>3.479538725005781E-4</v>
      </c>
      <c r="AY661">
        <v>3.7202955949029558E-4</v>
      </c>
      <c r="BB661">
        <v>5.2447293413876883E-2</v>
      </c>
      <c r="BC661">
        <v>3.6506542404948807E-2</v>
      </c>
      <c r="BE661">
        <v>67156.301269681426</v>
      </c>
      <c r="BF661">
        <v>16.275352668348429</v>
      </c>
      <c r="BG661">
        <v>68706.204565366279</v>
      </c>
      <c r="BH661">
        <v>16.179102594536523</v>
      </c>
      <c r="BI661">
        <v>-1549.9032956848532</v>
      </c>
      <c r="BJ661">
        <v>9.6250073811905423E-2</v>
      </c>
    </row>
    <row r="662" spans="3:62" x14ac:dyDescent="0.2">
      <c r="C662" s="121">
        <v>66544.420144708114</v>
      </c>
      <c r="D662" s="121">
        <v>15.981439263003741</v>
      </c>
      <c r="E662" s="121">
        <v>67755.308142242095</v>
      </c>
      <c r="F662" s="121">
        <v>15.888386542306176</v>
      </c>
      <c r="G662" s="121">
        <v>-1210.8879975339805</v>
      </c>
      <c r="H662" s="121">
        <v>9.3052720697565761E-2</v>
      </c>
      <c r="N662" s="121"/>
      <c r="O662" s="121"/>
      <c r="P662" s="121"/>
      <c r="R662">
        <v>336.71556242421309</v>
      </c>
      <c r="S662">
        <v>64.145654613142696</v>
      </c>
      <c r="T662">
        <v>237.63879571271789</v>
      </c>
      <c r="U662">
        <v>113.0962087920161</v>
      </c>
      <c r="X662">
        <v>0.9136263488512183</v>
      </c>
      <c r="Y662">
        <v>0.85279710211518567</v>
      </c>
      <c r="Z662">
        <v>0.89671844964676173</v>
      </c>
      <c r="AA662">
        <v>0.83990652004209532</v>
      </c>
      <c r="AB662">
        <v>0.64321463586653782</v>
      </c>
      <c r="AC662">
        <v>0.76935032117943736</v>
      </c>
      <c r="AD662">
        <v>0.8608392403898647</v>
      </c>
      <c r="AE662">
        <v>0.83625344402216462</v>
      </c>
      <c r="AH662">
        <v>0.30934504458260215</v>
      </c>
      <c r="AI662">
        <v>0.10698890386658366</v>
      </c>
      <c r="AJ662">
        <v>0.2524222500247616</v>
      </c>
      <c r="AK662">
        <v>4.2931977138413568E-2</v>
      </c>
      <c r="AL662">
        <v>0.19444278189738162</v>
      </c>
      <c r="AM662">
        <v>0.29257837556331978</v>
      </c>
      <c r="AN662">
        <v>0.10496249147348458</v>
      </c>
      <c r="AO662">
        <v>1.5705226446301235E-2</v>
      </c>
      <c r="AR662">
        <v>7.1872849630414261E-4</v>
      </c>
      <c r="AS662">
        <v>4.3184591602997936E-3</v>
      </c>
      <c r="AT662">
        <v>4.8671780644395221E-3</v>
      </c>
      <c r="AU662">
        <v>2.1434923122940486E-3</v>
      </c>
      <c r="AV662">
        <v>2.0939544038580671E-3</v>
      </c>
      <c r="AW662">
        <v>3.2256989432539783E-3</v>
      </c>
      <c r="AX662">
        <v>4.7464064552726892E-4</v>
      </c>
      <c r="AY662">
        <v>4.7166226673089895E-4</v>
      </c>
      <c r="BB662">
        <v>5.139069327116097E-2</v>
      </c>
      <c r="BC662">
        <v>4.0836071556549045E-2</v>
      </c>
      <c r="BE662">
        <v>66544.420144708114</v>
      </c>
      <c r="BF662">
        <v>15.981439263003741</v>
      </c>
      <c r="BG662">
        <v>67755.308142242095</v>
      </c>
      <c r="BH662">
        <v>15.888386542306176</v>
      </c>
      <c r="BI662">
        <v>-1210.8879975339805</v>
      </c>
      <c r="BJ662">
        <v>9.3052720697565761E-2</v>
      </c>
    </row>
    <row r="663" spans="3:62" x14ac:dyDescent="0.2">
      <c r="C663" s="121">
        <v>72725.874820801662</v>
      </c>
      <c r="D663" s="121">
        <v>17.287907355503247</v>
      </c>
      <c r="E663" s="121">
        <v>74688.821496839286</v>
      </c>
      <c r="F663" s="121">
        <v>17.155661596467496</v>
      </c>
      <c r="G663" s="121">
        <v>-1962.9466760376235</v>
      </c>
      <c r="H663" s="121">
        <v>0.13224575903575086</v>
      </c>
      <c r="N663" s="121"/>
      <c r="O663" s="121"/>
      <c r="P663" s="121"/>
      <c r="R663">
        <v>17.219716907030659</v>
      </c>
      <c r="S663">
        <v>54.804129836124758</v>
      </c>
      <c r="T663">
        <v>255.60830489121619</v>
      </c>
      <c r="U663">
        <v>101.48579003669826</v>
      </c>
      <c r="X663">
        <v>0.73406764753924236</v>
      </c>
      <c r="Y663">
        <v>0.91032849156132634</v>
      </c>
      <c r="Z663">
        <v>0.92655764449551725</v>
      </c>
      <c r="AA663">
        <v>0.67998481905441222</v>
      </c>
      <c r="AB663">
        <v>0.6171768369393128</v>
      </c>
      <c r="AC663">
        <v>0.61773387272983105</v>
      </c>
      <c r="AD663">
        <v>0.87709515276516792</v>
      </c>
      <c r="AE663">
        <v>0.71027839955421623</v>
      </c>
      <c r="AH663">
        <v>8.2792384805987496E-2</v>
      </c>
      <c r="AI663">
        <v>0.20255678915728192</v>
      </c>
      <c r="AJ663">
        <v>9.0491494832206421E-2</v>
      </c>
      <c r="AK663">
        <v>8.1585885463256069E-2</v>
      </c>
      <c r="AL663">
        <v>0.1655467021760898</v>
      </c>
      <c r="AM663">
        <v>0.24130535202069081</v>
      </c>
      <c r="AN663">
        <v>0.19759651324234861</v>
      </c>
      <c r="AO663">
        <v>5.9752241544957951E-2</v>
      </c>
      <c r="AR663">
        <v>9.763069276180758E-4</v>
      </c>
      <c r="AS663">
        <v>4.7771151696442971E-3</v>
      </c>
      <c r="AT663">
        <v>4.8481629176929594E-3</v>
      </c>
      <c r="AU663">
        <v>2.0760466933733568E-3</v>
      </c>
      <c r="AV663">
        <v>1.9020968728543524E-3</v>
      </c>
      <c r="AW663">
        <v>3.7078542487992694E-3</v>
      </c>
      <c r="AX663">
        <v>3.2228378189484789E-4</v>
      </c>
      <c r="AY663">
        <v>4.6364268040988144E-4</v>
      </c>
      <c r="BB663">
        <v>6.0163252637782327E-2</v>
      </c>
      <c r="BC663">
        <v>1.615328115325022E-2</v>
      </c>
      <c r="BE663">
        <v>72725.874820801662</v>
      </c>
      <c r="BF663">
        <v>17.287907355503247</v>
      </c>
      <c r="BG663">
        <v>74688.821496839286</v>
      </c>
      <c r="BH663">
        <v>17.155661596467496</v>
      </c>
      <c r="BI663">
        <v>-1962.9466760376235</v>
      </c>
      <c r="BJ663">
        <v>0.13224575903575086</v>
      </c>
    </row>
    <row r="664" spans="3:62" x14ac:dyDescent="0.2">
      <c r="C664" s="121">
        <v>75312.19854054942</v>
      </c>
      <c r="D664" s="121">
        <v>15.621663596537003</v>
      </c>
      <c r="E664" s="121">
        <v>77104.72397172777</v>
      </c>
      <c r="F664" s="121">
        <v>15.45699644512109</v>
      </c>
      <c r="G664" s="121">
        <v>-1792.5254311783501</v>
      </c>
      <c r="H664" s="121">
        <v>0.16466715141591237</v>
      </c>
      <c r="N664" s="121"/>
      <c r="O664" s="121"/>
      <c r="P664" s="121"/>
      <c r="R664">
        <v>526.03813365835606</v>
      </c>
      <c r="S664">
        <v>59.30665304428819</v>
      </c>
      <c r="T664">
        <v>259.26198447901766</v>
      </c>
      <c r="U664">
        <v>79.419771908541918</v>
      </c>
      <c r="X664">
        <v>0.59372067525361738</v>
      </c>
      <c r="Y664">
        <v>0.71554211323023365</v>
      </c>
      <c r="Z664">
        <v>0.77439558058443947</v>
      </c>
      <c r="AA664">
        <v>0.81802868546727281</v>
      </c>
      <c r="AB664">
        <v>0.62234646808214855</v>
      </c>
      <c r="AC664">
        <v>0.57906264762825788</v>
      </c>
      <c r="AD664">
        <v>0.68895093972723653</v>
      </c>
      <c r="AE664">
        <v>0.92850270623537345</v>
      </c>
      <c r="AH664">
        <v>0.38588369004555212</v>
      </c>
      <c r="AI664">
        <v>0.11799556325340166</v>
      </c>
      <c r="AJ664">
        <v>0.10050679552363084</v>
      </c>
      <c r="AK664">
        <v>6.4099873145429642E-2</v>
      </c>
      <c r="AL664">
        <v>0.23749844306562651</v>
      </c>
      <c r="AM664">
        <v>0.22561545302479669</v>
      </c>
      <c r="AN664">
        <v>2.6554778763699938E-2</v>
      </c>
      <c r="AO664">
        <v>3.2931684252195281E-2</v>
      </c>
      <c r="AR664">
        <v>1.2049982144606286E-3</v>
      </c>
      <c r="AS664">
        <v>4.5673208669445575E-3</v>
      </c>
      <c r="AT664">
        <v>5.185798200322167E-3</v>
      </c>
      <c r="AU664">
        <v>1.991705126119661E-3</v>
      </c>
      <c r="AV664">
        <v>1.7053535467114428E-3</v>
      </c>
      <c r="AW664">
        <v>3.5393798258301912E-3</v>
      </c>
      <c r="AX664">
        <v>4.054417618769568E-4</v>
      </c>
      <c r="AY664">
        <v>5.3543201170613841E-4</v>
      </c>
      <c r="BB664">
        <v>4.7420207051620054E-2</v>
      </c>
      <c r="BC664">
        <v>2.9208481489792753E-2</v>
      </c>
      <c r="BE664">
        <v>75312.19854054942</v>
      </c>
      <c r="BF664">
        <v>15.621663596537003</v>
      </c>
      <c r="BG664">
        <v>77104.72397172777</v>
      </c>
      <c r="BH664">
        <v>15.45699644512109</v>
      </c>
      <c r="BI664">
        <v>-1792.5254311783501</v>
      </c>
      <c r="BJ664">
        <v>0.16466715141591237</v>
      </c>
    </row>
    <row r="665" spans="3:62" x14ac:dyDescent="0.2">
      <c r="C665" s="121">
        <v>67703.931448006551</v>
      </c>
      <c r="D665" s="121">
        <v>15.037867856186709</v>
      </c>
      <c r="E665" s="121">
        <v>69097.644272541933</v>
      </c>
      <c r="F665" s="121">
        <v>14.866220550522121</v>
      </c>
      <c r="G665" s="121">
        <v>-1393.7128245353815</v>
      </c>
      <c r="H665" s="121">
        <v>0.17164730566458886</v>
      </c>
      <c r="N665" s="121"/>
      <c r="O665" s="121"/>
      <c r="P665" s="121"/>
      <c r="R665">
        <v>195.76271716273476</v>
      </c>
      <c r="S665">
        <v>71.896080215023801</v>
      </c>
      <c r="T665">
        <v>245.06436586173123</v>
      </c>
      <c r="U665">
        <v>107.33814779404827</v>
      </c>
      <c r="X665">
        <v>0.66076658884399875</v>
      </c>
      <c r="Y665">
        <v>0.61755342454485496</v>
      </c>
      <c r="Z665">
        <v>0.68359977363634361</v>
      </c>
      <c r="AA665">
        <v>0.79153957058034208</v>
      </c>
      <c r="AB665">
        <v>0.61846751019129542</v>
      </c>
      <c r="AC665">
        <v>0.78757760369860297</v>
      </c>
      <c r="AD665">
        <v>0.74848457509606947</v>
      </c>
      <c r="AE665">
        <v>0.80798926137690741</v>
      </c>
      <c r="AH665">
        <v>0.13024789187269559</v>
      </c>
      <c r="AI665">
        <v>0.19745339952483243</v>
      </c>
      <c r="AJ665">
        <v>7.9321677829862991E-2</v>
      </c>
      <c r="AK665">
        <v>0.10499309569757231</v>
      </c>
      <c r="AL665">
        <v>2.0922670986625924E-2</v>
      </c>
      <c r="AM665">
        <v>4.9139370346770073E-2</v>
      </c>
      <c r="AN665">
        <v>7.4295044102082652E-2</v>
      </c>
      <c r="AO665">
        <v>0.1506840536840458</v>
      </c>
      <c r="AR665">
        <v>7.8757581320909825E-4</v>
      </c>
      <c r="AS665">
        <v>4.6060060232951949E-3</v>
      </c>
      <c r="AT665">
        <v>5.1568479868130401E-3</v>
      </c>
      <c r="AU665">
        <v>2.1467820037354146E-3</v>
      </c>
      <c r="AV665">
        <v>1.800271801500852E-3</v>
      </c>
      <c r="AW665">
        <v>3.2456078745523825E-3</v>
      </c>
      <c r="AX665">
        <v>3.7840390395374706E-4</v>
      </c>
      <c r="AY665">
        <v>3.2889944874530395E-4</v>
      </c>
      <c r="BB665">
        <v>4.2533832032882281E-2</v>
      </c>
      <c r="BC665">
        <v>2.5059943799665751E-2</v>
      </c>
      <c r="BE665">
        <v>67703.931448006551</v>
      </c>
      <c r="BF665">
        <v>15.037867856186709</v>
      </c>
      <c r="BG665">
        <v>69097.644272541933</v>
      </c>
      <c r="BH665">
        <v>14.866220550522121</v>
      </c>
      <c r="BI665">
        <v>-1393.7128245353815</v>
      </c>
      <c r="BJ665">
        <v>0.17164730566458886</v>
      </c>
    </row>
    <row r="666" spans="3:62" x14ac:dyDescent="0.2">
      <c r="C666" s="121">
        <v>72636.632674620385</v>
      </c>
      <c r="D666" s="121">
        <v>16.643597088165567</v>
      </c>
      <c r="E666" s="121">
        <v>73720.289789343209</v>
      </c>
      <c r="F666" s="121">
        <v>16.598755743841245</v>
      </c>
      <c r="G666" s="121">
        <v>-1083.6571147228242</v>
      </c>
      <c r="H666" s="121">
        <v>4.4841344324321852E-2</v>
      </c>
      <c r="N666" s="121"/>
      <c r="O666" s="121"/>
      <c r="P666" s="121"/>
      <c r="R666">
        <v>252.6163649320479</v>
      </c>
      <c r="S666">
        <v>63.872781817127361</v>
      </c>
      <c r="T666">
        <v>243.15337412973346</v>
      </c>
      <c r="U666">
        <v>96.759986550505118</v>
      </c>
      <c r="X666">
        <v>0.60544939349379401</v>
      </c>
      <c r="Y666">
        <v>0.73227229902673086</v>
      </c>
      <c r="Z666">
        <v>0.90056304984026569</v>
      </c>
      <c r="AA666">
        <v>0.51727753830385703</v>
      </c>
      <c r="AB666">
        <v>0.76002543844642612</v>
      </c>
      <c r="AC666">
        <v>0.71757004874297026</v>
      </c>
      <c r="AD666">
        <v>0.61915374288156599</v>
      </c>
      <c r="AE666">
        <v>0.85130942384431874</v>
      </c>
      <c r="AH666">
        <v>5.1736267334647978E-2</v>
      </c>
      <c r="AI666">
        <v>8.3356598581484032E-2</v>
      </c>
      <c r="AJ666">
        <v>0.14609059147749015</v>
      </c>
      <c r="AK666">
        <v>0.26401245354465885</v>
      </c>
      <c r="AL666">
        <v>0.1047410758558236</v>
      </c>
      <c r="AM666">
        <v>5.6976622867238813E-2</v>
      </c>
      <c r="AN666">
        <v>0.32768140783603406</v>
      </c>
      <c r="AO666">
        <v>0.12113319238605369</v>
      </c>
      <c r="AR666">
        <v>8.8516603984010783E-4</v>
      </c>
      <c r="AS666">
        <v>4.3776442391300352E-3</v>
      </c>
      <c r="AT666">
        <v>5.4894332037124238E-3</v>
      </c>
      <c r="AU666">
        <v>2.2016920149358077E-3</v>
      </c>
      <c r="AV666">
        <v>2.0558399774031066E-3</v>
      </c>
      <c r="AW666">
        <v>3.3564379051279269E-3</v>
      </c>
      <c r="AX666">
        <v>4.6990655667189518E-4</v>
      </c>
      <c r="AY666">
        <v>3.4827422013986568E-4</v>
      </c>
      <c r="BB666">
        <v>5.0485978690780198E-2</v>
      </c>
      <c r="BC666">
        <v>3.728671090275306E-2</v>
      </c>
      <c r="BE666">
        <v>72636.632674620385</v>
      </c>
      <c r="BF666">
        <v>16.643597088165567</v>
      </c>
      <c r="BG666">
        <v>73720.289789343209</v>
      </c>
      <c r="BH666">
        <v>16.598755743841245</v>
      </c>
      <c r="BI666">
        <v>-1083.6571147228242</v>
      </c>
      <c r="BJ666">
        <v>4.4841344324321852E-2</v>
      </c>
    </row>
    <row r="667" spans="3:62" x14ac:dyDescent="0.2">
      <c r="C667" s="121">
        <v>79089.984219215665</v>
      </c>
      <c r="D667" s="121">
        <v>15.775506828768087</v>
      </c>
      <c r="E667" s="121">
        <v>81775.24961771298</v>
      </c>
      <c r="F667" s="121">
        <v>15.577386355593452</v>
      </c>
      <c r="G667" s="121">
        <v>-2685.2653984973149</v>
      </c>
      <c r="H667" s="121">
        <v>0.19812047317463488</v>
      </c>
      <c r="N667" s="121"/>
      <c r="O667" s="121"/>
      <c r="P667" s="121"/>
      <c r="R667">
        <v>252.85423227719241</v>
      </c>
      <c r="S667">
        <v>68.733597889211211</v>
      </c>
      <c r="T667">
        <v>258.54353318925581</v>
      </c>
      <c r="U667">
        <v>97.873920296160421</v>
      </c>
      <c r="X667">
        <v>0.80933988887933117</v>
      </c>
      <c r="Y667">
        <v>0.74334479585577273</v>
      </c>
      <c r="Z667">
        <v>0.87960520480702098</v>
      </c>
      <c r="AA667">
        <v>0.55235136058482082</v>
      </c>
      <c r="AB667">
        <v>0.8569900370654413</v>
      </c>
      <c r="AC667">
        <v>0.87343012685658405</v>
      </c>
      <c r="AD667">
        <v>0.85205879827422204</v>
      </c>
      <c r="AE667">
        <v>0.79521100007505496</v>
      </c>
      <c r="AH667">
        <v>9.3739137073777568E-2</v>
      </c>
      <c r="AI667">
        <v>7.6273161536472678E-2</v>
      </c>
      <c r="AJ667">
        <v>8.9904528872612577E-2</v>
      </c>
      <c r="AK667">
        <v>0.19359763300324773</v>
      </c>
      <c r="AL667">
        <v>0.12468351347685214</v>
      </c>
      <c r="AM667">
        <v>0.18606819356451465</v>
      </c>
      <c r="AN667">
        <v>7.3398647703112996E-2</v>
      </c>
      <c r="AO667">
        <v>0.29469186572410699</v>
      </c>
      <c r="AR667">
        <v>7.9494171442411954E-4</v>
      </c>
      <c r="AS667">
        <v>4.5554002980693342E-3</v>
      </c>
      <c r="AT667">
        <v>4.7199089102885521E-3</v>
      </c>
      <c r="AU667">
        <v>1.9334574367655566E-3</v>
      </c>
      <c r="AV667">
        <v>1.860893768544983E-3</v>
      </c>
      <c r="AW667">
        <v>3.4618656754505928E-3</v>
      </c>
      <c r="AX667">
        <v>4.837141802357392E-4</v>
      </c>
      <c r="AY667">
        <v>3.8409923865266219E-4</v>
      </c>
      <c r="BB667">
        <v>5.1205101316735835E-2</v>
      </c>
      <c r="BC667">
        <v>2.0511120124711235E-2</v>
      </c>
      <c r="BE667">
        <v>79089.984219215665</v>
      </c>
      <c r="BF667">
        <v>15.775506828768087</v>
      </c>
      <c r="BG667">
        <v>81775.24961771298</v>
      </c>
      <c r="BH667">
        <v>15.577386355593452</v>
      </c>
      <c r="BI667">
        <v>-2685.2653984973149</v>
      </c>
      <c r="BJ667">
        <v>0.19812047317463488</v>
      </c>
    </row>
    <row r="668" spans="3:62" x14ac:dyDescent="0.2">
      <c r="C668" s="121">
        <v>72664.050489891582</v>
      </c>
      <c r="D668" s="121">
        <v>17.424560056532091</v>
      </c>
      <c r="E668" s="121">
        <v>74500.079703225885</v>
      </c>
      <c r="F668" s="121">
        <v>17.305205440733381</v>
      </c>
      <c r="G668" s="121">
        <v>-1836.0292133343028</v>
      </c>
      <c r="H668" s="121">
        <v>0.11935461579870932</v>
      </c>
      <c r="N668" s="121"/>
      <c r="O668" s="121"/>
      <c r="P668" s="121"/>
      <c r="R668">
        <v>298.93525742007256</v>
      </c>
      <c r="S668">
        <v>64.70064628209559</v>
      </c>
      <c r="T668">
        <v>273.91546619230257</v>
      </c>
      <c r="U668">
        <v>114.91591542100466</v>
      </c>
      <c r="X668">
        <v>0.7854837877461297</v>
      </c>
      <c r="Y668">
        <v>0.79249017279033673</v>
      </c>
      <c r="Z668">
        <v>0.77585250744159984</v>
      </c>
      <c r="AA668">
        <v>0.76969502103325316</v>
      </c>
      <c r="AB668">
        <v>0.88512915769596157</v>
      </c>
      <c r="AC668">
        <v>0.79495529494071804</v>
      </c>
      <c r="AD668">
        <v>0.87508565114069192</v>
      </c>
      <c r="AE668">
        <v>0.67539833942068161</v>
      </c>
      <c r="AH668">
        <v>0.10104888108174903</v>
      </c>
      <c r="AI668">
        <v>2.35863191161505E-2</v>
      </c>
      <c r="AJ668">
        <v>7.3690700797258812E-2</v>
      </c>
      <c r="AK668">
        <v>0.11361855498553231</v>
      </c>
      <c r="AL668">
        <v>0.15474108112552376</v>
      </c>
      <c r="AM668">
        <v>0.15984662203444233</v>
      </c>
      <c r="AN668">
        <v>0.1853264135667162</v>
      </c>
      <c r="AO668">
        <v>6.4626867170349822E-2</v>
      </c>
      <c r="AR668">
        <v>8.0255598077470759E-4</v>
      </c>
      <c r="AS668">
        <v>4.3890311200089974E-3</v>
      </c>
      <c r="AT668">
        <v>4.8741760858345574E-3</v>
      </c>
      <c r="AU668">
        <v>2.1627661440264401E-3</v>
      </c>
      <c r="AV668">
        <v>2.0425101146455127E-3</v>
      </c>
      <c r="AW668">
        <v>3.3238397504069474E-3</v>
      </c>
      <c r="AX668">
        <v>4.7755496736467951E-4</v>
      </c>
      <c r="AY668">
        <v>3.5384571847945923E-4</v>
      </c>
      <c r="BB668">
        <v>5.3603400943787793E-2</v>
      </c>
      <c r="BC668">
        <v>4.0903311510851179E-2</v>
      </c>
      <c r="BE668">
        <v>72664.050489891582</v>
      </c>
      <c r="BF668">
        <v>17.424560056532091</v>
      </c>
      <c r="BG668">
        <v>74500.079703225885</v>
      </c>
      <c r="BH668">
        <v>17.305205440733381</v>
      </c>
      <c r="BI668">
        <v>-1836.0292133343028</v>
      </c>
      <c r="BJ668">
        <v>0.11935461579870932</v>
      </c>
    </row>
    <row r="669" spans="3:62" x14ac:dyDescent="0.2">
      <c r="C669" s="121">
        <v>70135.689971191896</v>
      </c>
      <c r="D669" s="121">
        <v>15.900973386462198</v>
      </c>
      <c r="E669" s="121">
        <v>72142.815581449453</v>
      </c>
      <c r="F669" s="121">
        <v>15.735799882122505</v>
      </c>
      <c r="G669" s="121">
        <v>-2007.1256102575571</v>
      </c>
      <c r="H669" s="121">
        <v>0.16517350433969291</v>
      </c>
      <c r="N669" s="121"/>
      <c r="O669" s="121"/>
      <c r="P669" s="121"/>
      <c r="R669">
        <v>175.42328126541423</v>
      </c>
      <c r="S669">
        <v>57.342472307625854</v>
      </c>
      <c r="T669">
        <v>263.09600150409403</v>
      </c>
      <c r="U669">
        <v>99.549610191712844</v>
      </c>
      <c r="X669">
        <v>0.77070140133468323</v>
      </c>
      <c r="Y669">
        <v>0.86457560613948281</v>
      </c>
      <c r="Z669">
        <v>0.76030431491860939</v>
      </c>
      <c r="AA669">
        <v>0.94467693276797471</v>
      </c>
      <c r="AB669">
        <v>0.37995080801631037</v>
      </c>
      <c r="AC669">
        <v>0.66752895188046812</v>
      </c>
      <c r="AD669">
        <v>0.66127363254502192</v>
      </c>
      <c r="AE669">
        <v>0.78581274901490361</v>
      </c>
      <c r="AH669">
        <v>0.10880278417248024</v>
      </c>
      <c r="AI669">
        <v>0.30149417221864905</v>
      </c>
      <c r="AJ669">
        <v>0.17367299158248573</v>
      </c>
      <c r="AK669">
        <v>4.5338403669416105E-2</v>
      </c>
      <c r="AL669">
        <v>0.16824248250035445</v>
      </c>
      <c r="AM669">
        <v>0.34313396851502775</v>
      </c>
      <c r="AN669">
        <v>0.24255836604959691</v>
      </c>
      <c r="AO669">
        <v>8.5077882069972022E-2</v>
      </c>
      <c r="AR669">
        <v>9.2274547618920177E-4</v>
      </c>
      <c r="AS669">
        <v>4.5749831892218928E-3</v>
      </c>
      <c r="AT669">
        <v>4.689357567238552E-3</v>
      </c>
      <c r="AU669">
        <v>2.2320975262569709E-3</v>
      </c>
      <c r="AV669">
        <v>1.9277317640609313E-3</v>
      </c>
      <c r="AW669">
        <v>3.6668190846682602E-3</v>
      </c>
      <c r="AX669">
        <v>3.2948191120888586E-4</v>
      </c>
      <c r="AY669">
        <v>4.0460941511339754E-4</v>
      </c>
      <c r="BB669">
        <v>5.6679933017839912E-2</v>
      </c>
      <c r="BC669">
        <v>9.7277371298093551E-2</v>
      </c>
      <c r="BE669">
        <v>70135.689971191896</v>
      </c>
      <c r="BF669">
        <v>15.900973386462198</v>
      </c>
      <c r="BG669">
        <v>72142.815581449453</v>
      </c>
      <c r="BH669">
        <v>15.735799882122505</v>
      </c>
      <c r="BI669">
        <v>-2007.1256102575571</v>
      </c>
      <c r="BJ669">
        <v>0.16517350433969291</v>
      </c>
    </row>
    <row r="670" spans="3:62" x14ac:dyDescent="0.2">
      <c r="C670" s="121">
        <v>68911.194306723657</v>
      </c>
      <c r="D670" s="121">
        <v>16.098080791072977</v>
      </c>
      <c r="E670" s="121">
        <v>70481.299226173651</v>
      </c>
      <c r="F670" s="121">
        <v>15.966468283440756</v>
      </c>
      <c r="G670" s="121">
        <v>-1570.1049194499938</v>
      </c>
      <c r="H670" s="121">
        <v>0.13161250763222121</v>
      </c>
      <c r="N670" s="121"/>
      <c r="O670" s="121"/>
      <c r="P670" s="121"/>
      <c r="R670">
        <v>273.85238753007354</v>
      </c>
      <c r="S670">
        <v>56.920215781007897</v>
      </c>
      <c r="T670">
        <v>223.26833313071634</v>
      </c>
      <c r="U670">
        <v>99.818429972499871</v>
      </c>
      <c r="X670">
        <v>0.5664853350849155</v>
      </c>
      <c r="Y670">
        <v>0.76476584695265626</v>
      </c>
      <c r="Z670">
        <v>0.82388452532838508</v>
      </c>
      <c r="AA670">
        <v>0.51072362470820365</v>
      </c>
      <c r="AB670">
        <v>0.86979320853604869</v>
      </c>
      <c r="AC670">
        <v>0.65312193975170696</v>
      </c>
      <c r="AD670">
        <v>0.56056395042457496</v>
      </c>
      <c r="AE670">
        <v>0.58782618815027254</v>
      </c>
      <c r="AH670">
        <v>9.9969197320891601E-2</v>
      </c>
      <c r="AI670">
        <v>0.12481389899839423</v>
      </c>
      <c r="AJ670">
        <v>9.2956158103684627E-2</v>
      </c>
      <c r="AK670">
        <v>6.0311312338216405E-2</v>
      </c>
      <c r="AL670">
        <v>0.10802255539534622</v>
      </c>
      <c r="AM670">
        <v>2.8651397100263098E-2</v>
      </c>
      <c r="AN670">
        <v>4.5827372548871481E-2</v>
      </c>
      <c r="AO670">
        <v>2.0174616904683695E-2</v>
      </c>
      <c r="AR670">
        <v>8.6339169662603E-4</v>
      </c>
      <c r="AS670">
        <v>4.064688180235216E-3</v>
      </c>
      <c r="AT670">
        <v>4.6421862368822694E-3</v>
      </c>
      <c r="AU670">
        <v>1.8277310967035804E-3</v>
      </c>
      <c r="AV670">
        <v>2.2250043386745633E-3</v>
      </c>
      <c r="AW670">
        <v>3.5140493609474577E-3</v>
      </c>
      <c r="AX670">
        <v>5.5069553867992393E-4</v>
      </c>
      <c r="AY670">
        <v>3.8541934585583249E-4</v>
      </c>
      <c r="BB670">
        <v>4.9746461313985905E-2</v>
      </c>
      <c r="BC670">
        <v>3.0533716363324661E-2</v>
      </c>
      <c r="BE670">
        <v>68911.194306723657</v>
      </c>
      <c r="BF670">
        <v>16.098080791072977</v>
      </c>
      <c r="BG670">
        <v>70481.299226173651</v>
      </c>
      <c r="BH670">
        <v>15.966468283440756</v>
      </c>
      <c r="BI670">
        <v>-1570.1049194499938</v>
      </c>
      <c r="BJ670">
        <v>0.13161250763222121</v>
      </c>
    </row>
    <row r="671" spans="3:62" x14ac:dyDescent="0.2">
      <c r="C671" s="121">
        <v>61463.954488840696</v>
      </c>
      <c r="D671" s="121">
        <v>15.213034335057666</v>
      </c>
      <c r="E671" s="121">
        <v>63261.064177730324</v>
      </c>
      <c r="F671" s="121">
        <v>15.067239595006845</v>
      </c>
      <c r="G671" s="121">
        <v>-1797.1096888896282</v>
      </c>
      <c r="H671" s="121">
        <v>0.14579474005082105</v>
      </c>
      <c r="N671" s="121"/>
      <c r="O671" s="121"/>
      <c r="P671" s="121"/>
      <c r="R671">
        <v>348.60635294935003</v>
      </c>
      <c r="S671">
        <v>58.837460518849625</v>
      </c>
      <c r="T671">
        <v>194.95606574964273</v>
      </c>
      <c r="U671">
        <v>92.523917217351681</v>
      </c>
      <c r="X671">
        <v>0.70474406809171286</v>
      </c>
      <c r="Y671">
        <v>0.55967133855300277</v>
      </c>
      <c r="Z671">
        <v>0.86130998201216968</v>
      </c>
      <c r="AA671">
        <v>0.64266316867491791</v>
      </c>
      <c r="AB671">
        <v>0.70846227399887196</v>
      </c>
      <c r="AC671">
        <v>0.62115577109384335</v>
      </c>
      <c r="AD671">
        <v>0.73695548122484456</v>
      </c>
      <c r="AE671">
        <v>0.76903502903440302</v>
      </c>
      <c r="AH671">
        <v>0.11418115856034361</v>
      </c>
      <c r="AI671">
        <v>5.2083376113952196E-2</v>
      </c>
      <c r="AJ671">
        <v>2.6953489875912284E-2</v>
      </c>
      <c r="AK671">
        <v>0.11478691766640614</v>
      </c>
      <c r="AL671">
        <v>7.2917466462950387E-2</v>
      </c>
      <c r="AM671">
        <v>0.11275448939018029</v>
      </c>
      <c r="AN671">
        <v>2.9141816999732617E-2</v>
      </c>
      <c r="AO671">
        <v>5.8947293133302381E-2</v>
      </c>
      <c r="AR671">
        <v>7.4297977061547188E-4</v>
      </c>
      <c r="AS671">
        <v>4.263128303115855E-3</v>
      </c>
      <c r="AT671">
        <v>5.0707776889599154E-3</v>
      </c>
      <c r="AU671">
        <v>1.7484232285415249E-3</v>
      </c>
      <c r="AV671">
        <v>1.9855499802475885E-3</v>
      </c>
      <c r="AW671">
        <v>3.3420428979438238E-3</v>
      </c>
      <c r="AX671">
        <v>3.8512816508629814E-4</v>
      </c>
      <c r="AY671">
        <v>4.3013282279149022E-4</v>
      </c>
      <c r="BB671">
        <v>4.8581331772186327E-2</v>
      </c>
      <c r="BC671">
        <v>4.3435527152577064E-2</v>
      </c>
      <c r="BE671">
        <v>61463.954488840696</v>
      </c>
      <c r="BF671">
        <v>15.213034335057666</v>
      </c>
      <c r="BG671">
        <v>63261.064177730324</v>
      </c>
      <c r="BH671">
        <v>15.067239595006845</v>
      </c>
      <c r="BI671">
        <v>-1797.1096888896282</v>
      </c>
      <c r="BJ671">
        <v>0.14579474005082105</v>
      </c>
    </row>
    <row r="672" spans="3:62" x14ac:dyDescent="0.2">
      <c r="C672" s="121">
        <v>69430.817051638369</v>
      </c>
      <c r="D672" s="121">
        <v>14.627561045755641</v>
      </c>
      <c r="E672" s="121">
        <v>71501.485845573698</v>
      </c>
      <c r="F672" s="121">
        <v>14.468487351795652</v>
      </c>
      <c r="G672" s="121">
        <v>-2070.6687939353287</v>
      </c>
      <c r="H672" s="121">
        <v>0.15907369395998927</v>
      </c>
      <c r="N672" s="121"/>
      <c r="O672" s="121"/>
      <c r="P672" s="121"/>
      <c r="R672">
        <v>294.03398986999696</v>
      </c>
      <c r="S672">
        <v>64.825438088629724</v>
      </c>
      <c r="T672">
        <v>277.71784279155884</v>
      </c>
      <c r="U672">
        <v>91.934960742206201</v>
      </c>
      <c r="X672">
        <v>0.62210036908424271</v>
      </c>
      <c r="Y672">
        <v>0.8409156118516915</v>
      </c>
      <c r="Z672">
        <v>0.66184400184036263</v>
      </c>
      <c r="AA672">
        <v>0.65938326647429257</v>
      </c>
      <c r="AB672">
        <v>0.74282226014077235</v>
      </c>
      <c r="AC672">
        <v>0.74074206096489914</v>
      </c>
      <c r="AD672">
        <v>0.80151167563152104</v>
      </c>
      <c r="AE672">
        <v>0.63766992077582751</v>
      </c>
      <c r="AH672">
        <v>0.21882451470265307</v>
      </c>
      <c r="AI672">
        <v>0.11155734207768309</v>
      </c>
      <c r="AJ672">
        <v>5.2960124354221927E-2</v>
      </c>
      <c r="AK672">
        <v>0.33876521939744464</v>
      </c>
      <c r="AL672">
        <v>3.8769266710180439E-2</v>
      </c>
      <c r="AM672">
        <v>6.6132878658137328E-2</v>
      </c>
      <c r="AN672">
        <v>0.15514911194022973</v>
      </c>
      <c r="AO672">
        <v>0.26925910054394897</v>
      </c>
      <c r="AR672">
        <v>1.0279023016105393E-3</v>
      </c>
      <c r="AS672">
        <v>4.2446322923546474E-3</v>
      </c>
      <c r="AT672">
        <v>4.9309806454895227E-3</v>
      </c>
      <c r="AU672">
        <v>2.0608398513000115E-3</v>
      </c>
      <c r="AV672">
        <v>1.9204810790084195E-3</v>
      </c>
      <c r="AW672">
        <v>3.6948372672022112E-3</v>
      </c>
      <c r="AX672">
        <v>5.1003746414679529E-4</v>
      </c>
      <c r="AY672">
        <v>4.6009900519672353E-4</v>
      </c>
      <c r="BB672">
        <v>4.961336134549682E-2</v>
      </c>
      <c r="BC672">
        <v>2.8780032782742458E-2</v>
      </c>
      <c r="BE672">
        <v>69430.817051638369</v>
      </c>
      <c r="BF672">
        <v>14.627561045755641</v>
      </c>
      <c r="BG672">
        <v>71501.485845573698</v>
      </c>
      <c r="BH672">
        <v>14.468487351795652</v>
      </c>
      <c r="BI672">
        <v>-2070.6687939353287</v>
      </c>
      <c r="BJ672">
        <v>0.15907369395998927</v>
      </c>
    </row>
    <row r="673" spans="3:62" x14ac:dyDescent="0.2">
      <c r="C673" s="121">
        <v>72598.625127251042</v>
      </c>
      <c r="D673" s="121">
        <v>15.48792075437053</v>
      </c>
      <c r="E673" s="121">
        <v>74856.584313075728</v>
      </c>
      <c r="F673" s="121">
        <v>15.276751385713441</v>
      </c>
      <c r="G673" s="121">
        <v>-2257.9591858246858</v>
      </c>
      <c r="H673" s="121">
        <v>0.2111693686570888</v>
      </c>
      <c r="N673" s="121"/>
      <c r="O673" s="121"/>
      <c r="P673" s="121"/>
      <c r="R673">
        <v>185.20604523737822</v>
      </c>
      <c r="S673">
        <v>62.113501654544187</v>
      </c>
      <c r="T673">
        <v>192.65859077203649</v>
      </c>
      <c r="U673">
        <v>87.865252157546209</v>
      </c>
      <c r="X673">
        <v>0.75568498448967258</v>
      </c>
      <c r="Y673">
        <v>0.74039899381424068</v>
      </c>
      <c r="Z673">
        <v>0.70854530617816003</v>
      </c>
      <c r="AA673">
        <v>0.73986622934521251</v>
      </c>
      <c r="AB673">
        <v>0.67492515655656926</v>
      </c>
      <c r="AC673">
        <v>0.91509441364543143</v>
      </c>
      <c r="AD673">
        <v>0.78792642204175922</v>
      </c>
      <c r="AE673">
        <v>0.79593860789586945</v>
      </c>
      <c r="AH673">
        <v>6.6595462296674346E-2</v>
      </c>
      <c r="AI673">
        <v>7.2448341988099685E-2</v>
      </c>
      <c r="AJ673">
        <v>8.4681775597921893E-2</v>
      </c>
      <c r="AK673">
        <v>0.10463838434175288</v>
      </c>
      <c r="AL673">
        <v>7.6947992963203093E-2</v>
      </c>
      <c r="AM673">
        <v>3.2317707207992097E-2</v>
      </c>
      <c r="AN673">
        <v>9.1133710368975995E-2</v>
      </c>
      <c r="AO673">
        <v>0.11062862163391307</v>
      </c>
      <c r="AR673">
        <v>8.6779221047962552E-4</v>
      </c>
      <c r="AS673">
        <v>4.5151519506906324E-3</v>
      </c>
      <c r="AT673">
        <v>4.8852535279686896E-3</v>
      </c>
      <c r="AU673">
        <v>2.0278407776364027E-3</v>
      </c>
      <c r="AV673">
        <v>2.0943364010547194E-3</v>
      </c>
      <c r="AW673">
        <v>3.4220942619491712E-3</v>
      </c>
      <c r="AX673">
        <v>3.590385325670683E-4</v>
      </c>
      <c r="AY673">
        <v>4.8146442943153289E-4</v>
      </c>
      <c r="BB673">
        <v>4.8211997790765612E-2</v>
      </c>
      <c r="BC673">
        <v>1.7950879205518092E-2</v>
      </c>
      <c r="BE673">
        <v>72598.625127251042</v>
      </c>
      <c r="BF673">
        <v>15.48792075437053</v>
      </c>
      <c r="BG673">
        <v>74856.584313075728</v>
      </c>
      <c r="BH673">
        <v>15.276751385713441</v>
      </c>
      <c r="BI673">
        <v>-2257.9591858246858</v>
      </c>
      <c r="BJ673">
        <v>0.2111693686570888</v>
      </c>
    </row>
    <row r="674" spans="3:62" x14ac:dyDescent="0.2">
      <c r="C674" s="121">
        <v>72035.214583606183</v>
      </c>
      <c r="D674" s="121">
        <v>15.850505174568362</v>
      </c>
      <c r="E674" s="121">
        <v>73090.705831711195</v>
      </c>
      <c r="F674" s="121">
        <v>15.773372616917698</v>
      </c>
      <c r="G674" s="121">
        <v>-1055.4912481050123</v>
      </c>
      <c r="H674" s="121">
        <v>7.7132557650664069E-2</v>
      </c>
      <c r="N674" s="121"/>
      <c r="O674" s="121"/>
      <c r="P674" s="121"/>
      <c r="R674">
        <v>70.03285338974618</v>
      </c>
      <c r="S674">
        <v>59.308123766017843</v>
      </c>
      <c r="T674">
        <v>286.7363782758398</v>
      </c>
      <c r="U674">
        <v>92.357483113631631</v>
      </c>
      <c r="X674">
        <v>0.86028892586280081</v>
      </c>
      <c r="Y674">
        <v>0.82914864074619343</v>
      </c>
      <c r="Z674">
        <v>0.65455547324018593</v>
      </c>
      <c r="AA674">
        <v>0.75197639551502971</v>
      </c>
      <c r="AB674">
        <v>0.59280579189950899</v>
      </c>
      <c r="AC674">
        <v>0.6260726358881572</v>
      </c>
      <c r="AD674">
        <v>0.7858158624506264</v>
      </c>
      <c r="AE674">
        <v>0.67345079241190342</v>
      </c>
      <c r="AH674">
        <v>9.6355558942604502E-2</v>
      </c>
      <c r="AI674">
        <v>0.11026982330390689</v>
      </c>
      <c r="AJ674">
        <v>0.22289541349124398</v>
      </c>
      <c r="AK674">
        <v>0.32696414814650809</v>
      </c>
      <c r="AL674">
        <v>0.11813880786790165</v>
      </c>
      <c r="AM674">
        <v>9.4702627209617862E-2</v>
      </c>
      <c r="AN674">
        <v>0.20754303178788547</v>
      </c>
      <c r="AO674">
        <v>0.10624777644399097</v>
      </c>
      <c r="AR674">
        <v>9.1550718327693126E-4</v>
      </c>
      <c r="AS674">
        <v>4.7587981729994011E-3</v>
      </c>
      <c r="AT674">
        <v>4.9275365638428818E-3</v>
      </c>
      <c r="AU674">
        <v>1.9739542109469439E-3</v>
      </c>
      <c r="AV674">
        <v>2.1378505715611285E-3</v>
      </c>
      <c r="AW674">
        <v>3.3157086782684068E-3</v>
      </c>
      <c r="AX674">
        <v>3.2470353960629354E-4</v>
      </c>
      <c r="AY674">
        <v>4.3348892298596359E-4</v>
      </c>
      <c r="BB674">
        <v>3.8436791943987005E-2</v>
      </c>
      <c r="BC674">
        <v>3.2876576486889117E-2</v>
      </c>
      <c r="BE674">
        <v>72035.214583606183</v>
      </c>
      <c r="BF674">
        <v>15.850505174568362</v>
      </c>
      <c r="BG674">
        <v>73090.705831711195</v>
      </c>
      <c r="BH674">
        <v>15.773372616917698</v>
      </c>
      <c r="BI674">
        <v>-1055.4912481050123</v>
      </c>
      <c r="BJ674">
        <v>7.7132557650664069E-2</v>
      </c>
    </row>
    <row r="675" spans="3:62" x14ac:dyDescent="0.2">
      <c r="C675" s="121">
        <v>66335.256519807896</v>
      </c>
      <c r="D675" s="121">
        <v>16.856401689876286</v>
      </c>
      <c r="E675" s="121">
        <v>68313.424250970711</v>
      </c>
      <c r="F675" s="121">
        <v>16.768781253684768</v>
      </c>
      <c r="G675" s="121">
        <v>-1978.1677311628155</v>
      </c>
      <c r="H675" s="121">
        <v>8.7620436191517825E-2</v>
      </c>
      <c r="N675" s="121"/>
      <c r="O675" s="121"/>
      <c r="P675" s="121"/>
      <c r="R675">
        <v>187.34071461971467</v>
      </c>
      <c r="S675">
        <v>70.676595253457378</v>
      </c>
      <c r="T675">
        <v>281.01945343974762</v>
      </c>
      <c r="U675">
        <v>88.515737440389941</v>
      </c>
      <c r="X675">
        <v>0.80070303448127689</v>
      </c>
      <c r="Y675">
        <v>0.57192857044378453</v>
      </c>
      <c r="Z675">
        <v>0.91495989614714723</v>
      </c>
      <c r="AA675">
        <v>0.74542781800115876</v>
      </c>
      <c r="AB675">
        <v>0.89324577139545802</v>
      </c>
      <c r="AC675">
        <v>0.65747165412041009</v>
      </c>
      <c r="AD675">
        <v>0.39940598834353042</v>
      </c>
      <c r="AE675">
        <v>0.78986618741104331</v>
      </c>
      <c r="AH675">
        <v>5.6562800542576341E-2</v>
      </c>
      <c r="AI675">
        <v>8.9354305346069807E-2</v>
      </c>
      <c r="AJ675">
        <v>4.3834961190603705E-2</v>
      </c>
      <c r="AK675">
        <v>0.15286276542396282</v>
      </c>
      <c r="AL675">
        <v>0.15683051827277128</v>
      </c>
      <c r="AM675">
        <v>0.16094848898324587</v>
      </c>
      <c r="AN675">
        <v>5.9805387773608221E-2</v>
      </c>
      <c r="AO675">
        <v>0.10062205616394526</v>
      </c>
      <c r="AR675">
        <v>8.6585484307337684E-4</v>
      </c>
      <c r="AS675">
        <v>4.6107083388193804E-3</v>
      </c>
      <c r="AT675">
        <v>5.10842412895951E-3</v>
      </c>
      <c r="AU675">
        <v>2.0008652692802276E-3</v>
      </c>
      <c r="AV675">
        <v>1.6268180255281522E-3</v>
      </c>
      <c r="AW675">
        <v>3.5041831352354835E-3</v>
      </c>
      <c r="AX675">
        <v>4.6871162537409639E-4</v>
      </c>
      <c r="AY675">
        <v>5.7229925390556158E-4</v>
      </c>
      <c r="BB675">
        <v>4.8796031303528109E-2</v>
      </c>
      <c r="BC675">
        <v>5.9047159533673454E-2</v>
      </c>
      <c r="BE675">
        <v>66335.256519807896</v>
      </c>
      <c r="BF675">
        <v>16.856401689876286</v>
      </c>
      <c r="BG675">
        <v>68313.424250970711</v>
      </c>
      <c r="BH675">
        <v>16.768781253684768</v>
      </c>
      <c r="BI675">
        <v>-1978.1677311628155</v>
      </c>
      <c r="BJ675">
        <v>8.7620436191517825E-2</v>
      </c>
    </row>
    <row r="676" spans="3:62" x14ac:dyDescent="0.2">
      <c r="C676" s="121">
        <v>71386.964156596747</v>
      </c>
      <c r="D676" s="121">
        <v>16.303853626154289</v>
      </c>
      <c r="E676" s="121">
        <v>73229.491006506185</v>
      </c>
      <c r="F676" s="121">
        <v>16.150315347680426</v>
      </c>
      <c r="G676" s="121">
        <v>-1842.5268499094382</v>
      </c>
      <c r="H676" s="121">
        <v>0.1535382784738637</v>
      </c>
      <c r="N676" s="121"/>
      <c r="O676" s="121"/>
      <c r="P676" s="121"/>
      <c r="R676">
        <v>227.87295786147791</v>
      </c>
      <c r="S676">
        <v>56.334959695419478</v>
      </c>
      <c r="T676">
        <v>206.84259556138934</v>
      </c>
      <c r="U676">
        <v>98.651898621969806</v>
      </c>
      <c r="X676">
        <v>0.59077699728463429</v>
      </c>
      <c r="Y676">
        <v>0.60780487962712892</v>
      </c>
      <c r="Z676">
        <v>0.56295617266721754</v>
      </c>
      <c r="AA676">
        <v>0.89192088899876154</v>
      </c>
      <c r="AB676">
        <v>0.63322437836176104</v>
      </c>
      <c r="AC676">
        <v>0.78999417722283249</v>
      </c>
      <c r="AD676">
        <v>0.82802341930452672</v>
      </c>
      <c r="AE676">
        <v>0.78889047254545874</v>
      </c>
      <c r="AH676">
        <v>0.24236238216044514</v>
      </c>
      <c r="AI676">
        <v>4.5459059650031719E-2</v>
      </c>
      <c r="AJ676">
        <v>0.24754105854917752</v>
      </c>
      <c r="AK676">
        <v>5.1789611207554431E-2</v>
      </c>
      <c r="AL676">
        <v>5.0968029343603449E-2</v>
      </c>
      <c r="AM676">
        <v>0.1669276572928623</v>
      </c>
      <c r="AN676">
        <v>8.6049049414382406E-2</v>
      </c>
      <c r="AO676">
        <v>6.6229148902248514E-2</v>
      </c>
      <c r="AR676">
        <v>9.5194543232790529E-4</v>
      </c>
      <c r="AS676">
        <v>4.4951050722007125E-3</v>
      </c>
      <c r="AT676">
        <v>5.1132860446628792E-3</v>
      </c>
      <c r="AU676">
        <v>1.9493639818042509E-3</v>
      </c>
      <c r="AV676">
        <v>2.0591522283339714E-3</v>
      </c>
      <c r="AW676">
        <v>3.3509875301085215E-3</v>
      </c>
      <c r="AX676">
        <v>3.8979035518414652E-4</v>
      </c>
      <c r="AY676">
        <v>3.5809531432040738E-4</v>
      </c>
      <c r="BB676">
        <v>4.9812782848591079E-2</v>
      </c>
      <c r="BC676">
        <v>9.0596486407799048E-2</v>
      </c>
      <c r="BE676">
        <v>71386.964156596747</v>
      </c>
      <c r="BF676">
        <v>16.303853626154289</v>
      </c>
      <c r="BG676">
        <v>73229.491006506185</v>
      </c>
      <c r="BH676">
        <v>16.150315347680426</v>
      </c>
      <c r="BI676">
        <v>-1842.5268499094382</v>
      </c>
      <c r="BJ676">
        <v>0.1535382784738637</v>
      </c>
    </row>
    <row r="677" spans="3:62" x14ac:dyDescent="0.2">
      <c r="C677" s="121">
        <v>78487.468107001114</v>
      </c>
      <c r="D677" s="121">
        <v>15.51727537292407</v>
      </c>
      <c r="E677" s="121">
        <v>79690.062731788101</v>
      </c>
      <c r="F677" s="121">
        <v>15.401643829064303</v>
      </c>
      <c r="G677" s="121">
        <v>-1202.594624786987</v>
      </c>
      <c r="H677" s="121">
        <v>0.11563154385976659</v>
      </c>
      <c r="N677" s="121"/>
      <c r="O677" s="121"/>
      <c r="P677" s="121"/>
      <c r="R677">
        <v>218.96692646287653</v>
      </c>
      <c r="S677">
        <v>61.531685425186694</v>
      </c>
      <c r="T677">
        <v>285.76831438467366</v>
      </c>
      <c r="U677">
        <v>96.485188287728775</v>
      </c>
      <c r="X677">
        <v>0.85624092945555907</v>
      </c>
      <c r="Y677">
        <v>0.83649227548715244</v>
      </c>
      <c r="Z677">
        <v>0.89908969882178158</v>
      </c>
      <c r="AA677">
        <v>0.66628344247100302</v>
      </c>
      <c r="AB677">
        <v>0.79819515335681746</v>
      </c>
      <c r="AC677">
        <v>0.85323129234480477</v>
      </c>
      <c r="AD677">
        <v>0.71220442317574417</v>
      </c>
      <c r="AE677">
        <v>0.92973815571977636</v>
      </c>
      <c r="AH677">
        <v>0.12446398957271376</v>
      </c>
      <c r="AI677">
        <v>5.1680363898071624E-2</v>
      </c>
      <c r="AJ677">
        <v>3.8761634101891929E-2</v>
      </c>
      <c r="AK677">
        <v>6.8385867507104958E-2</v>
      </c>
      <c r="AL677">
        <v>0.12712801910651628</v>
      </c>
      <c r="AM677">
        <v>3.9364235982448981E-2</v>
      </c>
      <c r="AN677">
        <v>0.16142764019669886</v>
      </c>
      <c r="AO677">
        <v>0.13473349344602126</v>
      </c>
      <c r="AR677">
        <v>1.0259367305542888E-3</v>
      </c>
      <c r="AS677">
        <v>4.4193981411942774E-3</v>
      </c>
      <c r="AT677">
        <v>4.8265447953131273E-3</v>
      </c>
      <c r="AU677">
        <v>2.1555607249184039E-3</v>
      </c>
      <c r="AV677">
        <v>2.0472644651241545E-3</v>
      </c>
      <c r="AW677">
        <v>3.2649271970854499E-3</v>
      </c>
      <c r="AX677">
        <v>4.238466852047873E-4</v>
      </c>
      <c r="AY677">
        <v>3.7483465449935748E-4</v>
      </c>
      <c r="BB677">
        <v>5.7950979082395992E-2</v>
      </c>
      <c r="BC677">
        <v>5.8874988013005392E-2</v>
      </c>
      <c r="BE677">
        <v>78487.468107001114</v>
      </c>
      <c r="BF677">
        <v>15.51727537292407</v>
      </c>
      <c r="BG677">
        <v>79690.062731788101</v>
      </c>
      <c r="BH677">
        <v>15.401643829064303</v>
      </c>
      <c r="BI677">
        <v>-1202.594624786987</v>
      </c>
      <c r="BJ677">
        <v>0.11563154385976659</v>
      </c>
    </row>
    <row r="678" spans="3:62" x14ac:dyDescent="0.2">
      <c r="C678" s="121">
        <v>69933.334412494165</v>
      </c>
      <c r="D678" s="121">
        <v>17.874006068107214</v>
      </c>
      <c r="E678" s="121">
        <v>71970.895806294444</v>
      </c>
      <c r="F678" s="121">
        <v>17.726878249072453</v>
      </c>
      <c r="G678" s="121">
        <v>-2037.5613938002789</v>
      </c>
      <c r="H678" s="121">
        <v>0.14712781903476113</v>
      </c>
      <c r="N678" s="121"/>
      <c r="O678" s="121"/>
      <c r="P678" s="121"/>
      <c r="R678">
        <v>354.314994480937</v>
      </c>
      <c r="S678">
        <v>57.832012339230779</v>
      </c>
      <c r="T678">
        <v>255.84288577332737</v>
      </c>
      <c r="U678">
        <v>105.95557335343051</v>
      </c>
      <c r="X678">
        <v>0.93837789267410165</v>
      </c>
      <c r="Y678">
        <v>0.62890497447064608</v>
      </c>
      <c r="Z678">
        <v>0.81556553435887902</v>
      </c>
      <c r="AA678">
        <v>0.93158664786220291</v>
      </c>
      <c r="AB678">
        <v>0.82616730257630921</v>
      </c>
      <c r="AC678">
        <v>0.57156195387068076</v>
      </c>
      <c r="AD678">
        <v>0.78208112999395174</v>
      </c>
      <c r="AE678">
        <v>0.63154500796822266</v>
      </c>
      <c r="AH678">
        <v>6.6642036912868075E-2</v>
      </c>
      <c r="AI678">
        <v>0.27559701093638467</v>
      </c>
      <c r="AJ678">
        <v>0.16362477627210115</v>
      </c>
      <c r="AK678">
        <v>9.5154861337392704E-2</v>
      </c>
      <c r="AL678">
        <v>0.1821680669992608</v>
      </c>
      <c r="AM678">
        <v>6.1449441923922654E-2</v>
      </c>
      <c r="AN678">
        <v>6.8121581757012883E-2</v>
      </c>
      <c r="AO678">
        <v>0.11058906055714546</v>
      </c>
      <c r="AR678">
        <v>8.8131778137444492E-4</v>
      </c>
      <c r="AS678">
        <v>4.4981433478286093E-3</v>
      </c>
      <c r="AT678">
        <v>5.1711420760259807E-3</v>
      </c>
      <c r="AU678">
        <v>1.9945171546093847E-3</v>
      </c>
      <c r="AV678">
        <v>2.117007027341633E-3</v>
      </c>
      <c r="AW678">
        <v>3.588843882715631E-3</v>
      </c>
      <c r="AX678">
        <v>5.0995854697322152E-4</v>
      </c>
      <c r="AY678">
        <v>4.9306343320898449E-4</v>
      </c>
      <c r="BB678">
        <v>5.0597084554537264E-2</v>
      </c>
      <c r="BC678">
        <v>4.7553969174463195E-2</v>
      </c>
      <c r="BE678">
        <v>69933.334412494165</v>
      </c>
      <c r="BF678">
        <v>17.874006068107214</v>
      </c>
      <c r="BG678">
        <v>71970.895806294444</v>
      </c>
      <c r="BH678">
        <v>17.726878249072453</v>
      </c>
      <c r="BI678">
        <v>-2037.5613938002789</v>
      </c>
      <c r="BJ678">
        <v>0.14712781903476113</v>
      </c>
    </row>
    <row r="679" spans="3:62" x14ac:dyDescent="0.2">
      <c r="C679" s="121">
        <v>67165.069996386563</v>
      </c>
      <c r="D679" s="121">
        <v>17.006610026719912</v>
      </c>
      <c r="E679" s="121">
        <v>68504.60183272112</v>
      </c>
      <c r="F679" s="121">
        <v>16.900856249933355</v>
      </c>
      <c r="G679" s="121">
        <v>-1339.5318363345577</v>
      </c>
      <c r="H679" s="121">
        <v>0.10575377678655684</v>
      </c>
      <c r="N679" s="121"/>
      <c r="O679" s="121"/>
      <c r="P679" s="121"/>
      <c r="R679">
        <v>306.70439164831674</v>
      </c>
      <c r="S679">
        <v>68.526742950302975</v>
      </c>
      <c r="T679">
        <v>258.42203561684374</v>
      </c>
      <c r="U679">
        <v>87.485894608620953</v>
      </c>
      <c r="X679">
        <v>0.66264826561606538</v>
      </c>
      <c r="Y679">
        <v>0.78680746859799588</v>
      </c>
      <c r="Z679">
        <v>0.88125199180380931</v>
      </c>
      <c r="AA679">
        <v>0.66396016632681643</v>
      </c>
      <c r="AB679">
        <v>0.66962089609365727</v>
      </c>
      <c r="AC679">
        <v>0.68597529855088912</v>
      </c>
      <c r="AD679">
        <v>0.88045715201780306</v>
      </c>
      <c r="AE679">
        <v>0.86534106734390548</v>
      </c>
      <c r="AH679">
        <v>7.6725909434610218E-2</v>
      </c>
      <c r="AI679">
        <v>0.10964579646235062</v>
      </c>
      <c r="AJ679">
        <v>9.743633462153356E-2</v>
      </c>
      <c r="AK679">
        <v>0.1974059729074199</v>
      </c>
      <c r="AL679">
        <v>0.12098092609450362</v>
      </c>
      <c r="AM679">
        <v>7.9269146538872626E-2</v>
      </c>
      <c r="AN679">
        <v>0.11227692173284132</v>
      </c>
      <c r="AO679">
        <v>0.10489704045287962</v>
      </c>
      <c r="AR679">
        <v>7.2212943163920686E-4</v>
      </c>
      <c r="AS679">
        <v>4.8498460958000811E-3</v>
      </c>
      <c r="AT679">
        <v>4.8984424705933206E-3</v>
      </c>
      <c r="AU679">
        <v>2.1688433933506612E-3</v>
      </c>
      <c r="AV679">
        <v>1.8260237894284056E-3</v>
      </c>
      <c r="AW679">
        <v>3.3854439091584127E-3</v>
      </c>
      <c r="AX679">
        <v>4.3265090176591858E-4</v>
      </c>
      <c r="AY679">
        <v>3.9523542542782585E-4</v>
      </c>
      <c r="BB679">
        <v>5.852661799435388E-2</v>
      </c>
      <c r="BC679">
        <v>6.1397174540274491E-2</v>
      </c>
      <c r="BE679">
        <v>67165.069996386563</v>
      </c>
      <c r="BF679">
        <v>17.006610026719912</v>
      </c>
      <c r="BG679">
        <v>68504.60183272112</v>
      </c>
      <c r="BH679">
        <v>16.900856249933355</v>
      </c>
      <c r="BI679">
        <v>-1339.5318363345577</v>
      </c>
      <c r="BJ679">
        <v>0.10575377678655684</v>
      </c>
    </row>
    <row r="680" spans="3:62" x14ac:dyDescent="0.2">
      <c r="C680" s="121">
        <v>76127.779015445267</v>
      </c>
      <c r="D680" s="121">
        <v>16.105139966064879</v>
      </c>
      <c r="E680" s="121">
        <v>78258.017679168363</v>
      </c>
      <c r="F680" s="121">
        <v>15.942947025614469</v>
      </c>
      <c r="G680" s="121">
        <v>-2130.2386637230957</v>
      </c>
      <c r="H680" s="121">
        <v>0.16219294045041011</v>
      </c>
      <c r="N680" s="121"/>
      <c r="O680" s="121"/>
      <c r="P680" s="121"/>
      <c r="R680">
        <v>211.91651471382926</v>
      </c>
      <c r="S680">
        <v>66.890891828853228</v>
      </c>
      <c r="T680">
        <v>218.68573124956663</v>
      </c>
      <c r="U680">
        <v>88.068365448257623</v>
      </c>
      <c r="X680">
        <v>0.93055869375104361</v>
      </c>
      <c r="Y680">
        <v>0.57547087963729293</v>
      </c>
      <c r="Z680">
        <v>0.85972765409293506</v>
      </c>
      <c r="AA680">
        <v>0.71540774220092929</v>
      </c>
      <c r="AB680">
        <v>0.69837701600203406</v>
      </c>
      <c r="AC680">
        <v>0.90651291513558008</v>
      </c>
      <c r="AD680">
        <v>0.82148206802806256</v>
      </c>
      <c r="AE680">
        <v>0.85612874977701181</v>
      </c>
      <c r="AH680">
        <v>0.24614864472132747</v>
      </c>
      <c r="AI680">
        <v>0.11559936768141243</v>
      </c>
      <c r="AJ680">
        <v>9.0470864541912333E-2</v>
      </c>
      <c r="AK680">
        <v>3.8712491138673477E-2</v>
      </c>
      <c r="AL680">
        <v>0.18038556779816906</v>
      </c>
      <c r="AM680">
        <v>6.6473070343595508E-2</v>
      </c>
      <c r="AN680">
        <v>0.29054369672955482</v>
      </c>
      <c r="AO680">
        <v>6.5262253917781621E-2</v>
      </c>
      <c r="AR680">
        <v>8.1693615625169495E-4</v>
      </c>
      <c r="AS680">
        <v>4.299469444611668E-3</v>
      </c>
      <c r="AT680">
        <v>5.2009993997322868E-3</v>
      </c>
      <c r="AU680">
        <v>2.0192939916349184E-3</v>
      </c>
      <c r="AV680">
        <v>2.0683395899389057E-3</v>
      </c>
      <c r="AW680">
        <v>3.2618921100308596E-3</v>
      </c>
      <c r="AX680">
        <v>3.8389253373562708E-4</v>
      </c>
      <c r="AY680">
        <v>4.0597447192550922E-4</v>
      </c>
      <c r="BB680">
        <v>5.7199669643114848E-2</v>
      </c>
      <c r="BC680">
        <v>4.8473521197169744E-2</v>
      </c>
      <c r="BE680">
        <v>76127.779015445267</v>
      </c>
      <c r="BF680">
        <v>16.105139966064879</v>
      </c>
      <c r="BG680">
        <v>78258.017679168363</v>
      </c>
      <c r="BH680">
        <v>15.942947025614469</v>
      </c>
      <c r="BI680">
        <v>-2130.2386637230957</v>
      </c>
      <c r="BJ680">
        <v>0.16219294045041011</v>
      </c>
    </row>
    <row r="681" spans="3:62" x14ac:dyDescent="0.2">
      <c r="C681" s="121">
        <v>73707.170211916091</v>
      </c>
      <c r="D681" s="121">
        <v>16.270690564495723</v>
      </c>
      <c r="E681" s="121">
        <v>76283.522784295026</v>
      </c>
      <c r="F681" s="121">
        <v>16.14560361289692</v>
      </c>
      <c r="G681" s="121">
        <v>-2576.3525723789353</v>
      </c>
      <c r="H681" s="121">
        <v>0.1250869515988029</v>
      </c>
      <c r="N681" s="121"/>
      <c r="O681" s="121"/>
      <c r="P681" s="121"/>
      <c r="R681">
        <v>97.694394941181514</v>
      </c>
      <c r="S681">
        <v>52.10373211589426</v>
      </c>
      <c r="T681">
        <v>207.44917039523909</v>
      </c>
      <c r="U681">
        <v>84.748570178711645</v>
      </c>
      <c r="X681">
        <v>0.88373841817999232</v>
      </c>
      <c r="Y681">
        <v>0.72255161926011713</v>
      </c>
      <c r="Z681">
        <v>0.51317986733216037</v>
      </c>
      <c r="AA681">
        <v>0.77334526454314045</v>
      </c>
      <c r="AB681">
        <v>0.96275888811706878</v>
      </c>
      <c r="AC681">
        <v>0.76620069833250859</v>
      </c>
      <c r="AD681">
        <v>0.91863998281391024</v>
      </c>
      <c r="AE681">
        <v>0.74120579712682222</v>
      </c>
      <c r="AH681">
        <v>0.17927603924336633</v>
      </c>
      <c r="AI681">
        <v>2.845269063010103E-2</v>
      </c>
      <c r="AJ681">
        <v>0.14938554499791168</v>
      </c>
      <c r="AK681">
        <v>7.3420128276460828E-2</v>
      </c>
      <c r="AL681">
        <v>0.12227806094959681</v>
      </c>
      <c r="AM681">
        <v>8.8051969042987843E-2</v>
      </c>
      <c r="AN681">
        <v>0.24403139113059347</v>
      </c>
      <c r="AO681">
        <v>0.12602662031469203</v>
      </c>
      <c r="AR681">
        <v>9.7343806022165413E-4</v>
      </c>
      <c r="AS681">
        <v>4.4095943469591135E-3</v>
      </c>
      <c r="AT681">
        <v>4.661623570761721E-3</v>
      </c>
      <c r="AU681">
        <v>1.9595663683127751E-3</v>
      </c>
      <c r="AV681">
        <v>1.9519166635185716E-3</v>
      </c>
      <c r="AW681">
        <v>3.6102776312175733E-3</v>
      </c>
      <c r="AX681">
        <v>5.8104197174624339E-4</v>
      </c>
      <c r="AY681">
        <v>3.6644967064955209E-4</v>
      </c>
      <c r="BB681">
        <v>5.1521282132516832E-2</v>
      </c>
      <c r="BC681">
        <v>4.9562620280862557E-2</v>
      </c>
      <c r="BE681">
        <v>73707.170211916091</v>
      </c>
      <c r="BF681">
        <v>16.270690564495723</v>
      </c>
      <c r="BG681">
        <v>76283.522784295026</v>
      </c>
      <c r="BH681">
        <v>16.14560361289692</v>
      </c>
      <c r="BI681">
        <v>-2576.3525723789353</v>
      </c>
      <c r="BJ681">
        <v>0.1250869515988029</v>
      </c>
    </row>
    <row r="682" spans="3:62" x14ac:dyDescent="0.2">
      <c r="C682" s="121">
        <v>72893.431477111721</v>
      </c>
      <c r="D682" s="121">
        <v>16.597347394120483</v>
      </c>
      <c r="E682" s="121">
        <v>74664.86437857378</v>
      </c>
      <c r="F682" s="121">
        <v>16.42893573178188</v>
      </c>
      <c r="G682" s="121">
        <v>-1771.4329014620598</v>
      </c>
      <c r="H682" s="121">
        <v>0.1684116623386025</v>
      </c>
      <c r="N682" s="121"/>
      <c r="O682" s="121"/>
      <c r="P682" s="121"/>
      <c r="R682">
        <v>356.47134874189987</v>
      </c>
      <c r="S682">
        <v>56.825559515160776</v>
      </c>
      <c r="T682">
        <v>237.35950649876932</v>
      </c>
      <c r="U682">
        <v>113.46190655474226</v>
      </c>
      <c r="X682">
        <v>0.53441433676791728</v>
      </c>
      <c r="Y682">
        <v>0.87804951533546038</v>
      </c>
      <c r="Z682">
        <v>0.67145813551022837</v>
      </c>
      <c r="AA682">
        <v>0.86145832996968275</v>
      </c>
      <c r="AB682">
        <v>0.82158153367940101</v>
      </c>
      <c r="AC682">
        <v>0.54308049341321574</v>
      </c>
      <c r="AD682">
        <v>0.74562853628510295</v>
      </c>
      <c r="AE682">
        <v>0.83141097127956809</v>
      </c>
      <c r="AH682">
        <v>1.2586474503428535E-2</v>
      </c>
      <c r="AI682">
        <v>0.14225868773514438</v>
      </c>
      <c r="AJ682">
        <v>4.5253867274809845E-2</v>
      </c>
      <c r="AK682">
        <v>0.11762550823969853</v>
      </c>
      <c r="AL682">
        <v>9.2052058079921339E-2</v>
      </c>
      <c r="AM682">
        <v>7.7494192744536394E-2</v>
      </c>
      <c r="AN682">
        <v>4.7377277183432986E-2</v>
      </c>
      <c r="AO682">
        <v>9.3907898993786043E-2</v>
      </c>
      <c r="AR682">
        <v>7.8668684451588386E-4</v>
      </c>
      <c r="AS682">
        <v>4.8099927389246844E-3</v>
      </c>
      <c r="AT682">
        <v>4.9423534519148563E-3</v>
      </c>
      <c r="AU682">
        <v>2.0393662605183716E-3</v>
      </c>
      <c r="AV682">
        <v>1.9401859139609428E-3</v>
      </c>
      <c r="AW682">
        <v>3.6487516490902872E-3</v>
      </c>
      <c r="AX682">
        <v>4.6156694094789952E-4</v>
      </c>
      <c r="AY682">
        <v>4.9042299830193148E-4</v>
      </c>
      <c r="BB682">
        <v>4.5431005733161209E-2</v>
      </c>
      <c r="BC682">
        <v>5.219849132456944E-2</v>
      </c>
      <c r="BE682">
        <v>72893.431477111721</v>
      </c>
      <c r="BF682">
        <v>16.597347394120483</v>
      </c>
      <c r="BG682">
        <v>74664.86437857378</v>
      </c>
      <c r="BH682">
        <v>16.42893573178188</v>
      </c>
      <c r="BI682">
        <v>-1771.4329014620598</v>
      </c>
      <c r="BJ682">
        <v>0.1684116623386025</v>
      </c>
    </row>
    <row r="683" spans="3:62" x14ac:dyDescent="0.2">
      <c r="C683" s="121">
        <v>65480.546881254944</v>
      </c>
      <c r="D683" s="121">
        <v>17.670360203116012</v>
      </c>
      <c r="E683" s="121">
        <v>67378.032977733485</v>
      </c>
      <c r="F683" s="121">
        <v>17.528483007223684</v>
      </c>
      <c r="G683" s="121">
        <v>-1897.4860964785403</v>
      </c>
      <c r="H683" s="121">
        <v>0.14187719589232728</v>
      </c>
      <c r="N683" s="121"/>
      <c r="O683" s="121"/>
      <c r="P683" s="121"/>
      <c r="R683">
        <v>305.9324483427668</v>
      </c>
      <c r="S683">
        <v>51.579180310922716</v>
      </c>
      <c r="T683">
        <v>196.04412481156567</v>
      </c>
      <c r="U683">
        <v>85.127217931607845</v>
      </c>
      <c r="X683">
        <v>0.84328895345948196</v>
      </c>
      <c r="Y683">
        <v>0.71151321312471083</v>
      </c>
      <c r="Z683">
        <v>0.77984851017737644</v>
      </c>
      <c r="AA683">
        <v>0.82738809565507898</v>
      </c>
      <c r="AB683">
        <v>0.6566294793521088</v>
      </c>
      <c r="AC683">
        <v>0.77068376482391376</v>
      </c>
      <c r="AD683">
        <v>0.67068156946387891</v>
      </c>
      <c r="AE683">
        <v>0.62423378362833126</v>
      </c>
      <c r="AH683">
        <v>0.1072833451571169</v>
      </c>
      <c r="AI683">
        <v>0.18793282821052426</v>
      </c>
      <c r="AJ683">
        <v>6.2478128298001812E-2</v>
      </c>
      <c r="AK683">
        <v>5.5508820999638497E-2</v>
      </c>
      <c r="AL683">
        <v>9.6631048262964203E-2</v>
      </c>
      <c r="AM683">
        <v>0.18117239634935145</v>
      </c>
      <c r="AN683">
        <v>0.36260071998718835</v>
      </c>
      <c r="AO683">
        <v>0.12919070922085851</v>
      </c>
      <c r="AR683">
        <v>1.0044757272922311E-3</v>
      </c>
      <c r="AS683">
        <v>4.3315318390542267E-3</v>
      </c>
      <c r="AT683">
        <v>5.2787342225772971E-3</v>
      </c>
      <c r="AU683">
        <v>1.886160212765586E-3</v>
      </c>
      <c r="AV683">
        <v>1.772727944308097E-3</v>
      </c>
      <c r="AW683">
        <v>3.3101559994410971E-3</v>
      </c>
      <c r="AX683">
        <v>2.8278476798011408E-4</v>
      </c>
      <c r="AY683">
        <v>5.5517153420392429E-4</v>
      </c>
      <c r="BB683">
        <v>6.1048780498541899E-2</v>
      </c>
      <c r="BC683">
        <v>5.2205534117289343E-2</v>
      </c>
      <c r="BE683">
        <v>65480.546881254944</v>
      </c>
      <c r="BF683">
        <v>17.670360203116012</v>
      </c>
      <c r="BG683">
        <v>67378.032977733485</v>
      </c>
      <c r="BH683">
        <v>17.528483007223684</v>
      </c>
      <c r="BI683">
        <v>-1897.4860964785403</v>
      </c>
      <c r="BJ683">
        <v>0.14187719589232728</v>
      </c>
    </row>
    <row r="684" spans="3:62" x14ac:dyDescent="0.2">
      <c r="C684" s="121">
        <v>65514.402553962922</v>
      </c>
      <c r="D684" s="121">
        <v>15.542444076854082</v>
      </c>
      <c r="E684" s="121">
        <v>67419.22509151182</v>
      </c>
      <c r="F684" s="121">
        <v>15.448721334694246</v>
      </c>
      <c r="G684" s="121">
        <v>-1904.8225375488983</v>
      </c>
      <c r="H684" s="121">
        <v>9.3722742159835448E-2</v>
      </c>
      <c r="N684" s="121"/>
      <c r="O684" s="121"/>
      <c r="P684" s="121"/>
      <c r="R684">
        <v>324.16535255784021</v>
      </c>
      <c r="S684">
        <v>79.252326792455747</v>
      </c>
      <c r="T684">
        <v>237.56429011857242</v>
      </c>
      <c r="U684">
        <v>99.368452744911821</v>
      </c>
      <c r="X684">
        <v>0.61213930480189693</v>
      </c>
      <c r="Y684">
        <v>0.53090984342856073</v>
      </c>
      <c r="Z684">
        <v>0.69605730151424372</v>
      </c>
      <c r="AA684">
        <v>0.7180830224614112</v>
      </c>
      <c r="AB684">
        <v>0.76098152169351108</v>
      </c>
      <c r="AC684">
        <v>0.92684707795756838</v>
      </c>
      <c r="AD684">
        <v>0.6232497672550894</v>
      </c>
      <c r="AE684">
        <v>0.78816479466974643</v>
      </c>
      <c r="AH684">
        <v>0.13556016796721793</v>
      </c>
      <c r="AI684">
        <v>0.16994680859177469</v>
      </c>
      <c r="AJ684">
        <v>6.9334934583299201E-2</v>
      </c>
      <c r="AK684">
        <v>7.1326126871639639E-2</v>
      </c>
      <c r="AL684">
        <v>8.4960910582942528E-2</v>
      </c>
      <c r="AM684">
        <v>8.510940144110446E-2</v>
      </c>
      <c r="AN684">
        <v>0.17013117630547903</v>
      </c>
      <c r="AO684">
        <v>7.8553119771017865E-2</v>
      </c>
      <c r="AR684">
        <v>8.2946738116518651E-4</v>
      </c>
      <c r="AS684">
        <v>4.8907727080010899E-3</v>
      </c>
      <c r="AT684">
        <v>4.7650514410273945E-3</v>
      </c>
      <c r="AU684">
        <v>2.0825048581465389E-3</v>
      </c>
      <c r="AV684">
        <v>1.9413981784198093E-3</v>
      </c>
      <c r="AW684">
        <v>3.4766454996905116E-3</v>
      </c>
      <c r="AX684">
        <v>4.7905859652874749E-4</v>
      </c>
      <c r="AY684">
        <v>5.1043696869368382E-4</v>
      </c>
      <c r="BB684">
        <v>5.7302105524005498E-2</v>
      </c>
      <c r="BC684">
        <v>3.4730213495860786E-2</v>
      </c>
      <c r="BE684">
        <v>65514.402553962922</v>
      </c>
      <c r="BF684">
        <v>15.542444076854082</v>
      </c>
      <c r="BG684">
        <v>67419.22509151182</v>
      </c>
      <c r="BH684">
        <v>15.448721334694246</v>
      </c>
      <c r="BI684">
        <v>-1904.8225375488983</v>
      </c>
      <c r="BJ684">
        <v>9.3722742159835448E-2</v>
      </c>
    </row>
    <row r="685" spans="3:62" x14ac:dyDescent="0.2">
      <c r="C685" s="121">
        <v>75313.950691725753</v>
      </c>
      <c r="D685" s="121">
        <v>16.043205692153663</v>
      </c>
      <c r="E685" s="121">
        <v>77179.161845767725</v>
      </c>
      <c r="F685" s="121">
        <v>15.88389044032562</v>
      </c>
      <c r="G685" s="121">
        <v>-1865.2111540419719</v>
      </c>
      <c r="H685" s="121">
        <v>0.15931525182804229</v>
      </c>
      <c r="N685" s="121"/>
      <c r="O685" s="121"/>
      <c r="P685" s="121"/>
      <c r="R685">
        <v>235.65817494958108</v>
      </c>
      <c r="S685">
        <v>66.396154162245864</v>
      </c>
      <c r="T685">
        <v>237.10800063402942</v>
      </c>
      <c r="U685">
        <v>98.003602097564325</v>
      </c>
      <c r="X685">
        <v>0.85119717920778659</v>
      </c>
      <c r="Y685">
        <v>0.85279507722040304</v>
      </c>
      <c r="Z685">
        <v>0.66597205018375594</v>
      </c>
      <c r="AA685">
        <v>0.80796764717742442</v>
      </c>
      <c r="AB685">
        <v>0.71529596516189697</v>
      </c>
      <c r="AC685">
        <v>0.80564284490842675</v>
      </c>
      <c r="AD685">
        <v>0.79108154796617325</v>
      </c>
      <c r="AE685">
        <v>0.65067995005649248</v>
      </c>
      <c r="AH685">
        <v>0.12870296447027729</v>
      </c>
      <c r="AI685">
        <v>0.17210815665031742</v>
      </c>
      <c r="AJ685">
        <v>7.1364245494767609E-2</v>
      </c>
      <c r="AK685">
        <v>4.3078027360979876E-2</v>
      </c>
      <c r="AL685">
        <v>6.6824308741987082E-2</v>
      </c>
      <c r="AM685">
        <v>8.9693034571908581E-2</v>
      </c>
      <c r="AN685">
        <v>5.0631679667344276E-2</v>
      </c>
      <c r="AO685">
        <v>0.12071445106989742</v>
      </c>
      <c r="AR685">
        <v>8.5883531832508359E-4</v>
      </c>
      <c r="AS685">
        <v>4.4895867253489175E-3</v>
      </c>
      <c r="AT685">
        <v>4.7974608964725211E-3</v>
      </c>
      <c r="AU685">
        <v>2.0900355914881263E-3</v>
      </c>
      <c r="AV685">
        <v>1.9702089828923788E-3</v>
      </c>
      <c r="AW685">
        <v>3.4131272690077763E-3</v>
      </c>
      <c r="AX685">
        <v>3.4812966661881616E-4</v>
      </c>
      <c r="AY685">
        <v>5.5334154950481551E-4</v>
      </c>
      <c r="BB685">
        <v>5.6543013231134531E-2</v>
      </c>
      <c r="BC685">
        <v>4.4455449402033831E-2</v>
      </c>
      <c r="BE685">
        <v>75313.950691725753</v>
      </c>
      <c r="BF685">
        <v>16.043205692153663</v>
      </c>
      <c r="BG685">
        <v>77179.161845767725</v>
      </c>
      <c r="BH685">
        <v>15.88389044032562</v>
      </c>
      <c r="BI685">
        <v>-1865.2111540419719</v>
      </c>
      <c r="BJ685">
        <v>0.15931525182804229</v>
      </c>
    </row>
    <row r="686" spans="3:62" x14ac:dyDescent="0.2">
      <c r="C686" s="121">
        <v>69402.846826498397</v>
      </c>
      <c r="D686" s="121">
        <v>18.122623823194417</v>
      </c>
      <c r="E686" s="121">
        <v>71656.463496504206</v>
      </c>
      <c r="F686" s="121">
        <v>17.993525106353381</v>
      </c>
      <c r="G686" s="121">
        <v>-2253.6166700058093</v>
      </c>
      <c r="H686" s="121">
        <v>0.12909871684103535</v>
      </c>
      <c r="N686" s="121"/>
      <c r="O686" s="121"/>
      <c r="P686" s="121"/>
      <c r="R686">
        <v>167.23811072426145</v>
      </c>
      <c r="S686">
        <v>58.315855021541353</v>
      </c>
      <c r="T686">
        <v>241.93503615077887</v>
      </c>
      <c r="U686">
        <v>94.188332291781293</v>
      </c>
      <c r="X686">
        <v>0.87364228789012088</v>
      </c>
      <c r="Y686">
        <v>0.88058081549049039</v>
      </c>
      <c r="Z686">
        <v>0.74952203950405882</v>
      </c>
      <c r="AA686">
        <v>0.72575712123993508</v>
      </c>
      <c r="AB686">
        <v>0.48519742119483622</v>
      </c>
      <c r="AC686">
        <v>0.73655712075840818</v>
      </c>
      <c r="AD686">
        <v>0.74802439672811094</v>
      </c>
      <c r="AE686">
        <v>0.86984362374785751</v>
      </c>
      <c r="AH686">
        <v>0.11210918370321887</v>
      </c>
      <c r="AI686">
        <v>0.12647247579496601</v>
      </c>
      <c r="AJ686">
        <v>2.8520756157464411E-2</v>
      </c>
      <c r="AK686">
        <v>0.19286452051359659</v>
      </c>
      <c r="AL686">
        <v>9.3802948347909143E-2</v>
      </c>
      <c r="AM686">
        <v>9.5231987779465066E-2</v>
      </c>
      <c r="AN686">
        <v>4.8105580735338105E-2</v>
      </c>
      <c r="AO686">
        <v>3.2648084744945183E-2</v>
      </c>
      <c r="AR686">
        <v>9.1660034829121884E-4</v>
      </c>
      <c r="AS686">
        <v>4.6093154245232526E-3</v>
      </c>
      <c r="AT686">
        <v>5.1127213229349433E-3</v>
      </c>
      <c r="AU686">
        <v>1.754744699421634E-3</v>
      </c>
      <c r="AV686">
        <v>1.8251192883280147E-3</v>
      </c>
      <c r="AW686">
        <v>3.1430555691579929E-3</v>
      </c>
      <c r="AX686">
        <v>4.0267477808186847E-4</v>
      </c>
      <c r="AY686">
        <v>6.0789312201636747E-4</v>
      </c>
      <c r="BB686">
        <v>4.4523564980516128E-2</v>
      </c>
      <c r="BC686">
        <v>3.5288212499077869E-2</v>
      </c>
      <c r="BE686">
        <v>69402.846826498397</v>
      </c>
      <c r="BF686">
        <v>18.122623823194417</v>
      </c>
      <c r="BG686">
        <v>71656.463496504206</v>
      </c>
      <c r="BH686">
        <v>17.993525106353381</v>
      </c>
      <c r="BI686">
        <v>-2253.6166700058093</v>
      </c>
      <c r="BJ686">
        <v>0.12909871684103535</v>
      </c>
    </row>
    <row r="687" spans="3:62" x14ac:dyDescent="0.2">
      <c r="C687" s="121">
        <v>76041.460018994796</v>
      </c>
      <c r="D687" s="121">
        <v>16.270997528380573</v>
      </c>
      <c r="E687" s="121">
        <v>78445.356804314186</v>
      </c>
      <c r="F687" s="121">
        <v>16.09015232234967</v>
      </c>
      <c r="G687" s="121">
        <v>-2403.8967853193899</v>
      </c>
      <c r="H687" s="121">
        <v>0.18084520603090226</v>
      </c>
      <c r="N687" s="121"/>
      <c r="O687" s="121"/>
      <c r="P687" s="121"/>
      <c r="R687">
        <v>315.84746404568705</v>
      </c>
      <c r="S687">
        <v>53.352711349163151</v>
      </c>
      <c r="T687">
        <v>230.72116079321822</v>
      </c>
      <c r="U687">
        <v>86.708132200906874</v>
      </c>
      <c r="X687">
        <v>0.73896640105185241</v>
      </c>
      <c r="Y687">
        <v>0.84795186165444103</v>
      </c>
      <c r="Z687">
        <v>0.60030195280136822</v>
      </c>
      <c r="AA687">
        <v>0.8112235049156733</v>
      </c>
      <c r="AB687">
        <v>0.7922647225699877</v>
      </c>
      <c r="AC687">
        <v>0.76807772454408563</v>
      </c>
      <c r="AD687">
        <v>0.88488921928724595</v>
      </c>
      <c r="AE687">
        <v>0.80217432119159193</v>
      </c>
      <c r="AH687">
        <v>7.8199440287688438E-2</v>
      </c>
      <c r="AI687">
        <v>3.2832407519635676E-2</v>
      </c>
      <c r="AJ687">
        <v>9.4476136892880258E-2</v>
      </c>
      <c r="AK687">
        <v>5.4320709185882388E-2</v>
      </c>
      <c r="AL687">
        <v>0.18470364394765304</v>
      </c>
      <c r="AM687">
        <v>0.21058429530148293</v>
      </c>
      <c r="AN687">
        <v>0.21341457101147621</v>
      </c>
      <c r="AO687">
        <v>8.9329540197718327E-2</v>
      </c>
      <c r="AR687">
        <v>7.8835452969379805E-4</v>
      </c>
      <c r="AS687">
        <v>4.6069321579527145E-3</v>
      </c>
      <c r="AT687">
        <v>5.0795524476446863E-3</v>
      </c>
      <c r="AU687">
        <v>2.096882417536583E-3</v>
      </c>
      <c r="AV687">
        <v>2.1182811519528943E-3</v>
      </c>
      <c r="AW687">
        <v>3.3169529283001518E-3</v>
      </c>
      <c r="AX687">
        <v>3.3798752949740668E-4</v>
      </c>
      <c r="AY687">
        <v>3.774426224754647E-4</v>
      </c>
      <c r="BB687">
        <v>4.301550563915877E-2</v>
      </c>
      <c r="BC687">
        <v>2.9764624703159531E-2</v>
      </c>
      <c r="BE687">
        <v>76041.460018994796</v>
      </c>
      <c r="BF687">
        <v>16.270997528380573</v>
      </c>
      <c r="BG687">
        <v>78445.356804314186</v>
      </c>
      <c r="BH687">
        <v>16.09015232234967</v>
      </c>
      <c r="BI687">
        <v>-2403.8967853193899</v>
      </c>
      <c r="BJ687">
        <v>0.18084520603090226</v>
      </c>
    </row>
    <row r="688" spans="3:62" x14ac:dyDescent="0.2">
      <c r="C688" s="121">
        <v>63945.152723412924</v>
      </c>
      <c r="D688" s="121">
        <v>16.73749053278118</v>
      </c>
      <c r="E688" s="121">
        <v>65418.048593277963</v>
      </c>
      <c r="F688" s="121">
        <v>16.660424046514855</v>
      </c>
      <c r="G688" s="121">
        <v>-1472.8958698650385</v>
      </c>
      <c r="H688" s="121">
        <v>7.7066486266325285E-2</v>
      </c>
      <c r="N688" s="121"/>
      <c r="O688" s="121"/>
      <c r="P688" s="121"/>
      <c r="R688">
        <v>228.66270640671902</v>
      </c>
      <c r="S688">
        <v>57.631916265338276</v>
      </c>
      <c r="T688">
        <v>250.57671618244382</v>
      </c>
      <c r="U688">
        <v>96.069370448742546</v>
      </c>
      <c r="X688">
        <v>0.60145785955238495</v>
      </c>
      <c r="Y688">
        <v>0.78007138187501102</v>
      </c>
      <c r="Z688">
        <v>0.82677169290646901</v>
      </c>
      <c r="AA688">
        <v>0.64914891325264668</v>
      </c>
      <c r="AB688">
        <v>0.91215050080305293</v>
      </c>
      <c r="AC688">
        <v>0.7444001212327872</v>
      </c>
      <c r="AD688">
        <v>0.80551802809523432</v>
      </c>
      <c r="AE688">
        <v>0.70228709881183682</v>
      </c>
      <c r="AH688">
        <v>0.11618548988625599</v>
      </c>
      <c r="AI688">
        <v>0.33030634517613633</v>
      </c>
      <c r="AJ688">
        <v>0.10382482811872817</v>
      </c>
      <c r="AK688">
        <v>0.11902371343357232</v>
      </c>
      <c r="AL688">
        <v>6.8415205002335999E-2</v>
      </c>
      <c r="AM688">
        <v>9.9260781886673755E-2</v>
      </c>
      <c r="AN688">
        <v>0.10928151357666838</v>
      </c>
      <c r="AO688">
        <v>4.0327814845489862E-2</v>
      </c>
      <c r="AR688">
        <v>8.5800613132376515E-4</v>
      </c>
      <c r="AS688">
        <v>4.7804989079168747E-3</v>
      </c>
      <c r="AT688">
        <v>4.8715844725556205E-3</v>
      </c>
      <c r="AU688">
        <v>2.0857661197354327E-3</v>
      </c>
      <c r="AV688">
        <v>1.7737718553588564E-3</v>
      </c>
      <c r="AW688">
        <v>3.5169237788397201E-3</v>
      </c>
      <c r="AX688">
        <v>4.3099964709947258E-4</v>
      </c>
      <c r="AY688">
        <v>4.3774233718710319E-4</v>
      </c>
      <c r="BB688">
        <v>4.5511216074075093E-2</v>
      </c>
      <c r="BC688">
        <v>8.4190578060727272E-2</v>
      </c>
      <c r="BE688">
        <v>63945.152723412924</v>
      </c>
      <c r="BF688">
        <v>16.73749053278118</v>
      </c>
      <c r="BG688">
        <v>65418.048593277963</v>
      </c>
      <c r="BH688">
        <v>16.660424046514855</v>
      </c>
      <c r="BI688">
        <v>-1472.8958698650385</v>
      </c>
      <c r="BJ688">
        <v>7.7066486266325285E-2</v>
      </c>
    </row>
    <row r="689" spans="3:62" x14ac:dyDescent="0.2">
      <c r="C689" s="121">
        <v>67806.56205099629</v>
      </c>
      <c r="D689" s="121">
        <v>16.615313160968793</v>
      </c>
      <c r="E689" s="121">
        <v>69550.455332328187</v>
      </c>
      <c r="F689" s="121">
        <v>16.443142375813867</v>
      </c>
      <c r="G689" s="121">
        <v>-1743.893281331897</v>
      </c>
      <c r="H689" s="121">
        <v>0.17217078515492545</v>
      </c>
      <c r="N689" s="121"/>
      <c r="O689" s="121"/>
      <c r="P689" s="121"/>
      <c r="R689">
        <v>333.44222193325919</v>
      </c>
      <c r="S689">
        <v>69.838544835623409</v>
      </c>
      <c r="T689">
        <v>318.266241273052</v>
      </c>
      <c r="U689">
        <v>94.255125766848522</v>
      </c>
      <c r="X689">
        <v>0.51630555595969718</v>
      </c>
      <c r="Y689">
        <v>0.69421503187598432</v>
      </c>
      <c r="Z689">
        <v>0.89345861098287149</v>
      </c>
      <c r="AA689">
        <v>0.71086356234723347</v>
      </c>
      <c r="AB689">
        <v>0.82145692247818691</v>
      </c>
      <c r="AC689">
        <v>0.85876645817117303</v>
      </c>
      <c r="AD689">
        <v>0.74225457498101244</v>
      </c>
      <c r="AE689">
        <v>0.73397889355410739</v>
      </c>
      <c r="AH689">
        <v>0.27169823400395454</v>
      </c>
      <c r="AI689">
        <v>7.8889277796875046E-2</v>
      </c>
      <c r="AJ689">
        <v>0.38105874416868435</v>
      </c>
      <c r="AK689">
        <v>9.8220761323309036E-2</v>
      </c>
      <c r="AL689">
        <v>0.33563902846484384</v>
      </c>
      <c r="AM689">
        <v>0.14560091340553494</v>
      </c>
      <c r="AN689">
        <v>4.7874636661255354E-2</v>
      </c>
      <c r="AO689">
        <v>0.17150167813009942</v>
      </c>
      <c r="AR689">
        <v>9.7959164952632349E-4</v>
      </c>
      <c r="AS689">
        <v>4.3249092707410824E-3</v>
      </c>
      <c r="AT689">
        <v>5.2892476470656202E-3</v>
      </c>
      <c r="AU689">
        <v>2.0640118216128656E-3</v>
      </c>
      <c r="AV689">
        <v>2.1602713011625863E-3</v>
      </c>
      <c r="AW689">
        <v>3.2394210163716676E-3</v>
      </c>
      <c r="AX689">
        <v>3.3064680564289276E-4</v>
      </c>
      <c r="AY689">
        <v>5.383416337297886E-4</v>
      </c>
      <c r="BB689">
        <v>5.7037088191887242E-2</v>
      </c>
      <c r="BC689">
        <v>9.9338732288644982E-2</v>
      </c>
      <c r="BE689">
        <v>67806.56205099629</v>
      </c>
      <c r="BF689">
        <v>16.615313160968793</v>
      </c>
      <c r="BG689">
        <v>69550.455332328187</v>
      </c>
      <c r="BH689">
        <v>16.443142375813867</v>
      </c>
      <c r="BI689">
        <v>-1743.893281331897</v>
      </c>
      <c r="BJ689">
        <v>0.17217078515492545</v>
      </c>
    </row>
    <row r="690" spans="3:62" x14ac:dyDescent="0.2">
      <c r="C690" s="121">
        <v>81756.042631421267</v>
      </c>
      <c r="D690" s="121">
        <v>13.375456049718373</v>
      </c>
      <c r="E690" s="121">
        <v>83582.292076866273</v>
      </c>
      <c r="F690" s="121">
        <v>13.31281194074918</v>
      </c>
      <c r="G690" s="121">
        <v>-1826.2494454450061</v>
      </c>
      <c r="H690" s="121">
        <v>6.2644108969193368E-2</v>
      </c>
      <c r="N690" s="121"/>
      <c r="O690" s="121"/>
      <c r="P690" s="121"/>
      <c r="R690">
        <v>311.76512972641962</v>
      </c>
      <c r="S690">
        <v>45.546102894048602</v>
      </c>
      <c r="T690">
        <v>255.41866627072545</v>
      </c>
      <c r="U690">
        <v>106.6263668035336</v>
      </c>
      <c r="X690">
        <v>0.71430957164984643</v>
      </c>
      <c r="Y690">
        <v>0.81183068208917952</v>
      </c>
      <c r="Z690">
        <v>0.85301515586240684</v>
      </c>
      <c r="AA690">
        <v>0.80966609283825841</v>
      </c>
      <c r="AB690">
        <v>0.8362429553961106</v>
      </c>
      <c r="AC690">
        <v>0.84523163381589539</v>
      </c>
      <c r="AD690">
        <v>0.92595090515747636</v>
      </c>
      <c r="AE690">
        <v>0.79568659347417592</v>
      </c>
      <c r="AH690">
        <v>0.28090689644527067</v>
      </c>
      <c r="AI690">
        <v>0.10583896128139092</v>
      </c>
      <c r="AJ690">
        <v>2.1407388596968668E-2</v>
      </c>
      <c r="AK690">
        <v>7.9840978418429409E-2</v>
      </c>
      <c r="AL690">
        <v>0.11037677591489625</v>
      </c>
      <c r="AM690">
        <v>0.13958812260166009</v>
      </c>
      <c r="AN690">
        <v>8.3892824749291162E-2</v>
      </c>
      <c r="AO690">
        <v>0.12581595841876136</v>
      </c>
      <c r="AR690">
        <v>8.1452931351721288E-4</v>
      </c>
      <c r="AS690">
        <v>4.8455968696287099E-3</v>
      </c>
      <c r="AT690">
        <v>5.0034533804648174E-3</v>
      </c>
      <c r="AU690">
        <v>2.0583336165709287E-3</v>
      </c>
      <c r="AV690">
        <v>2.0226489978987239E-3</v>
      </c>
      <c r="AW690">
        <v>3.5439081260095762E-3</v>
      </c>
      <c r="AX690">
        <v>4.3767576480913117E-4</v>
      </c>
      <c r="AY690">
        <v>5.0741859337533057E-4</v>
      </c>
      <c r="BB690">
        <v>5.109943635306835E-2</v>
      </c>
      <c r="BC690">
        <v>3.2783837563954393E-2</v>
      </c>
      <c r="BE690">
        <v>81756.042631421267</v>
      </c>
      <c r="BF690">
        <v>13.375456049718373</v>
      </c>
      <c r="BG690">
        <v>83582.292076866273</v>
      </c>
      <c r="BH690">
        <v>13.31281194074918</v>
      </c>
      <c r="BI690">
        <v>-1826.2494454450061</v>
      </c>
      <c r="BJ690">
        <v>6.2644108969193368E-2</v>
      </c>
    </row>
    <row r="691" spans="3:62" x14ac:dyDescent="0.2">
      <c r="C691" s="121">
        <v>62566.411212353851</v>
      </c>
      <c r="D691" s="121">
        <v>19.135850849353098</v>
      </c>
      <c r="E691" s="121">
        <v>64659.122299312468</v>
      </c>
      <c r="F691" s="121">
        <v>19.004646682730087</v>
      </c>
      <c r="G691" s="121">
        <v>-2092.7110869586177</v>
      </c>
      <c r="H691" s="121">
        <v>0.13120416662301082</v>
      </c>
      <c r="N691" s="121"/>
      <c r="O691" s="121"/>
      <c r="P691" s="121"/>
      <c r="R691">
        <v>344.8103168375049</v>
      </c>
      <c r="S691">
        <v>60.693410510099717</v>
      </c>
      <c r="T691">
        <v>245.43647875894524</v>
      </c>
      <c r="U691">
        <v>92.957432313414074</v>
      </c>
      <c r="X691">
        <v>0.87543229003276912</v>
      </c>
      <c r="Y691">
        <v>0.74769177648940188</v>
      </c>
      <c r="Z691">
        <v>0.80596266859668564</v>
      </c>
      <c r="AA691">
        <v>0.58493014748259031</v>
      </c>
      <c r="AB691">
        <v>0.80595875977961406</v>
      </c>
      <c r="AC691">
        <v>0.74693275585036822</v>
      </c>
      <c r="AD691">
        <v>0.9408855506050835</v>
      </c>
      <c r="AE691">
        <v>0.79975843938010971</v>
      </c>
      <c r="AH691">
        <v>0.11611425715710266</v>
      </c>
      <c r="AI691">
        <v>6.977630148515801E-2</v>
      </c>
      <c r="AJ691">
        <v>9.5970412385599446E-2</v>
      </c>
      <c r="AK691">
        <v>0.17298778629529266</v>
      </c>
      <c r="AL691">
        <v>1.6869435241203545E-2</v>
      </c>
      <c r="AM691">
        <v>6.6837010550084064E-2</v>
      </c>
      <c r="AN691">
        <v>0.18895437782069935</v>
      </c>
      <c r="AO691">
        <v>8.5856940120563774E-2</v>
      </c>
      <c r="AR691">
        <v>9.4708988699121477E-4</v>
      </c>
      <c r="AS691">
        <v>4.5870892059343138E-3</v>
      </c>
      <c r="AT691">
        <v>4.6460554587819244E-3</v>
      </c>
      <c r="AU691">
        <v>2.0528236158475766E-3</v>
      </c>
      <c r="AV691">
        <v>1.8283699750029187E-3</v>
      </c>
      <c r="AW691">
        <v>3.4124505490966683E-3</v>
      </c>
      <c r="AX691">
        <v>4.1064219122965984E-4</v>
      </c>
      <c r="AY691">
        <v>3.7837195604402223E-4</v>
      </c>
      <c r="BB691">
        <v>5.5540244313262543E-2</v>
      </c>
      <c r="BC691">
        <v>3.4723995532796127E-2</v>
      </c>
      <c r="BE691">
        <v>62566.411212353851</v>
      </c>
      <c r="BF691">
        <v>19.135850849353098</v>
      </c>
      <c r="BG691">
        <v>64659.122299312468</v>
      </c>
      <c r="BH691">
        <v>19.004646682730087</v>
      </c>
      <c r="BI691">
        <v>-2092.7110869586177</v>
      </c>
      <c r="BJ691">
        <v>0.13120416662301082</v>
      </c>
    </row>
    <row r="692" spans="3:62" x14ac:dyDescent="0.2">
      <c r="C692" s="121">
        <v>69040.401123670526</v>
      </c>
      <c r="D692" s="121">
        <v>16.468868010821218</v>
      </c>
      <c r="E692" s="121">
        <v>70980.676656338779</v>
      </c>
      <c r="F692" s="121">
        <v>16.352525175951751</v>
      </c>
      <c r="G692" s="121">
        <v>-1940.2755326682527</v>
      </c>
      <c r="H692" s="121">
        <v>0.11634283486946728</v>
      </c>
      <c r="N692" s="121"/>
      <c r="O692" s="121"/>
      <c r="P692" s="121"/>
      <c r="R692">
        <v>223.18074221224313</v>
      </c>
      <c r="S692">
        <v>58.546616336202625</v>
      </c>
      <c r="T692">
        <v>248.61381497244108</v>
      </c>
      <c r="U692">
        <v>113.41233665726514</v>
      </c>
      <c r="X692">
        <v>0.97220161394529725</v>
      </c>
      <c r="Y692">
        <v>0.89452526985001912</v>
      </c>
      <c r="Z692">
        <v>0.81547162852553512</v>
      </c>
      <c r="AA692">
        <v>0.71457755233165476</v>
      </c>
      <c r="AB692">
        <v>0.90398363377653124</v>
      </c>
      <c r="AC692">
        <v>0.90453682834660087</v>
      </c>
      <c r="AD692">
        <v>0.63702344951221701</v>
      </c>
      <c r="AE692">
        <v>0.9491007740021481</v>
      </c>
      <c r="AH692">
        <v>7.9053235549166767E-2</v>
      </c>
      <c r="AI692">
        <v>2.7494896178304584E-2</v>
      </c>
      <c r="AJ692">
        <v>2.3909831952523608E-2</v>
      </c>
      <c r="AK692">
        <v>0.16721076385811373</v>
      </c>
      <c r="AL692">
        <v>4.4822255826136526E-2</v>
      </c>
      <c r="AM692">
        <v>2.9284504523981125E-2</v>
      </c>
      <c r="AN692">
        <v>0.14622596885392236</v>
      </c>
      <c r="AO692">
        <v>2.8566961111231803E-2</v>
      </c>
      <c r="AR692">
        <v>9.1314626731653359E-4</v>
      </c>
      <c r="AS692">
        <v>4.6203797128886448E-3</v>
      </c>
      <c r="AT692">
        <v>4.7506345376996323E-3</v>
      </c>
      <c r="AU692">
        <v>2.0488423295150771E-3</v>
      </c>
      <c r="AV692">
        <v>1.9235270973543619E-3</v>
      </c>
      <c r="AW692">
        <v>3.5263316864735383E-3</v>
      </c>
      <c r="AX692">
        <v>4.1358769101984549E-4</v>
      </c>
      <c r="AY692">
        <v>4.9071739554096272E-4</v>
      </c>
      <c r="BB692">
        <v>5.1022739359235181E-2</v>
      </c>
      <c r="BC692">
        <v>2.9149874470247562E-2</v>
      </c>
      <c r="BE692">
        <v>69040.401123670526</v>
      </c>
      <c r="BF692">
        <v>16.468868010821218</v>
      </c>
      <c r="BG692">
        <v>70980.676656338779</v>
      </c>
      <c r="BH692">
        <v>16.352525175951751</v>
      </c>
      <c r="BI692">
        <v>-1940.2755326682527</v>
      </c>
      <c r="BJ692">
        <v>0.11634283486946728</v>
      </c>
    </row>
    <row r="693" spans="3:62" x14ac:dyDescent="0.2">
      <c r="C693" s="121">
        <v>81117.886424577024</v>
      </c>
      <c r="D693" s="121">
        <v>16.743602753894987</v>
      </c>
      <c r="E693" s="121">
        <v>81030.766629810416</v>
      </c>
      <c r="F693" s="121">
        <v>16.685694036893331</v>
      </c>
      <c r="G693" s="121">
        <v>87.119794766607811</v>
      </c>
      <c r="H693" s="121">
        <v>5.7908717001655674E-2</v>
      </c>
      <c r="N693" s="121"/>
      <c r="O693" s="121"/>
      <c r="P693" s="121"/>
      <c r="R693">
        <v>280.83309315287892</v>
      </c>
      <c r="S693">
        <v>71.493312728849219</v>
      </c>
      <c r="T693">
        <v>274.28717431534017</v>
      </c>
      <c r="U693">
        <v>100.20298391988399</v>
      </c>
      <c r="X693">
        <v>0.73097738891835096</v>
      </c>
      <c r="Y693">
        <v>0.56016795998584135</v>
      </c>
      <c r="Z693">
        <v>0.80172644958127948</v>
      </c>
      <c r="AA693">
        <v>0.89386672538060852</v>
      </c>
      <c r="AB693">
        <v>0.77154638835423472</v>
      </c>
      <c r="AC693">
        <v>0.77677464246758898</v>
      </c>
      <c r="AD693">
        <v>0.8976993601406551</v>
      </c>
      <c r="AE693">
        <v>0.85989230928177207</v>
      </c>
      <c r="AH693">
        <v>4.9070985772924569E-2</v>
      </c>
      <c r="AI693">
        <v>0.17717298035687323</v>
      </c>
      <c r="AJ693">
        <v>0.25545358961455245</v>
      </c>
      <c r="AK693">
        <v>4.0052959411128297E-2</v>
      </c>
      <c r="AL693">
        <v>5.6430323955958928E-2</v>
      </c>
      <c r="AM693">
        <v>0.18850380727846783</v>
      </c>
      <c r="AN693">
        <v>0.20412519863272338</v>
      </c>
      <c r="AO693">
        <v>0.22462634133143144</v>
      </c>
      <c r="AR693">
        <v>9.5901522495966951E-4</v>
      </c>
      <c r="AS693">
        <v>4.3328305266192579E-3</v>
      </c>
      <c r="AT693">
        <v>4.9593796440328131E-3</v>
      </c>
      <c r="AU693">
        <v>1.7505559552975323E-3</v>
      </c>
      <c r="AV693">
        <v>1.7144187997585854E-3</v>
      </c>
      <c r="AW693">
        <v>3.2443061935025345E-3</v>
      </c>
      <c r="AX693">
        <v>3.9107391588015077E-4</v>
      </c>
      <c r="AY693">
        <v>4.4916678608519778E-4</v>
      </c>
      <c r="BB693">
        <v>5.0782556027430981E-2</v>
      </c>
      <c r="BC693">
        <v>4.0999166725148105E-2</v>
      </c>
      <c r="BE693">
        <v>81117.886424577024</v>
      </c>
      <c r="BF693">
        <v>16.743602753894987</v>
      </c>
      <c r="BG693">
        <v>81030.766629810416</v>
      </c>
      <c r="BH693">
        <v>16.685694036893331</v>
      </c>
      <c r="BI693">
        <v>87.119794766607811</v>
      </c>
      <c r="BJ693">
        <v>5.7908717001655674E-2</v>
      </c>
    </row>
    <row r="694" spans="3:62" x14ac:dyDescent="0.2">
      <c r="C694" s="121">
        <v>73278.330028436656</v>
      </c>
      <c r="D694" s="121">
        <v>15.261266538897045</v>
      </c>
      <c r="E694" s="121">
        <v>74489.317504835781</v>
      </c>
      <c r="F694" s="121">
        <v>15.148557225556061</v>
      </c>
      <c r="G694" s="121">
        <v>-1210.9874763991247</v>
      </c>
      <c r="H694" s="121">
        <v>0.112709313340984</v>
      </c>
      <c r="N694" s="121"/>
      <c r="O694" s="121"/>
      <c r="P694" s="121"/>
      <c r="R694">
        <v>109.63909720468877</v>
      </c>
      <c r="S694">
        <v>66.428357094748989</v>
      </c>
      <c r="T694">
        <v>236.56152435225266</v>
      </c>
      <c r="U694">
        <v>96.488438382941538</v>
      </c>
      <c r="X694">
        <v>0.78091535565284942</v>
      </c>
      <c r="Y694">
        <v>0.83281540568856827</v>
      </c>
      <c r="Z694">
        <v>0.82876366753770792</v>
      </c>
      <c r="AA694">
        <v>0.9344021544936425</v>
      </c>
      <c r="AB694">
        <v>0.70518471367606972</v>
      </c>
      <c r="AC694">
        <v>0.93412098234556862</v>
      </c>
      <c r="AD694">
        <v>0.91429695512814879</v>
      </c>
      <c r="AE694">
        <v>0.78475163108701351</v>
      </c>
      <c r="AH694">
        <v>0.20565934156676535</v>
      </c>
      <c r="AI694">
        <v>0.33300903374686142</v>
      </c>
      <c r="AJ694">
        <v>0.16313892475518932</v>
      </c>
      <c r="AK694">
        <v>0.11270146648608348</v>
      </c>
      <c r="AL694">
        <v>0.15893108273525425</v>
      </c>
      <c r="AM694">
        <v>0.16644355362730867</v>
      </c>
      <c r="AN694">
        <v>0.20075403113540013</v>
      </c>
      <c r="AO694">
        <v>0.12413745226530604</v>
      </c>
      <c r="AR694">
        <v>8.0523168569064424E-4</v>
      </c>
      <c r="AS694">
        <v>4.5340815446274219E-3</v>
      </c>
      <c r="AT694">
        <v>4.9297156042144999E-3</v>
      </c>
      <c r="AU694">
        <v>2.0440818217474233E-3</v>
      </c>
      <c r="AV694">
        <v>2.0688607845491536E-3</v>
      </c>
      <c r="AW694">
        <v>3.5234300448626632E-3</v>
      </c>
      <c r="AX694">
        <v>5.0288867352343836E-4</v>
      </c>
      <c r="AY694">
        <v>5.9742399471318652E-4</v>
      </c>
      <c r="BB694">
        <v>5.2005276825940694E-2</v>
      </c>
      <c r="BC694">
        <v>6.0704332780415871E-2</v>
      </c>
      <c r="BE694">
        <v>73278.330028436656</v>
      </c>
      <c r="BF694">
        <v>15.261266538897045</v>
      </c>
      <c r="BG694">
        <v>74489.317504835781</v>
      </c>
      <c r="BH694">
        <v>15.148557225556061</v>
      </c>
      <c r="BI694">
        <v>-1210.9874763991247</v>
      </c>
      <c r="BJ694">
        <v>0.112709313340984</v>
      </c>
    </row>
    <row r="695" spans="3:62" x14ac:dyDescent="0.2">
      <c r="C695" s="121">
        <v>67217.982188854265</v>
      </c>
      <c r="D695" s="121">
        <v>14.562110753906206</v>
      </c>
      <c r="E695" s="121">
        <v>69118.04272541104</v>
      </c>
      <c r="F695" s="121">
        <v>14.397512002821891</v>
      </c>
      <c r="G695" s="121">
        <v>-1900.0605365567753</v>
      </c>
      <c r="H695" s="121">
        <v>0.16459875108431454</v>
      </c>
      <c r="N695" s="121"/>
      <c r="O695" s="121"/>
      <c r="P695" s="121"/>
      <c r="R695">
        <v>429.237357675618</v>
      </c>
      <c r="S695">
        <v>66.785038033628169</v>
      </c>
      <c r="T695">
        <v>238.42682157585983</v>
      </c>
      <c r="U695">
        <v>95.129383908453079</v>
      </c>
      <c r="X695">
        <v>0.47845988287473185</v>
      </c>
      <c r="Y695">
        <v>0.86340325993939238</v>
      </c>
      <c r="Z695">
        <v>0.85231715573071432</v>
      </c>
      <c r="AA695">
        <v>0.71253916510654924</v>
      </c>
      <c r="AB695">
        <v>0.44903479652973916</v>
      </c>
      <c r="AC695">
        <v>0.70976616442369411</v>
      </c>
      <c r="AD695">
        <v>0.92329526863530709</v>
      </c>
      <c r="AE695">
        <v>0.80144679911402839</v>
      </c>
      <c r="AH695">
        <v>8.371652338504465E-2</v>
      </c>
      <c r="AI695">
        <v>0.23598511768716424</v>
      </c>
      <c r="AJ695">
        <v>0.18415965262639278</v>
      </c>
      <c r="AK695">
        <v>0.10164050066926056</v>
      </c>
      <c r="AL695">
        <v>6.7758966893723072E-2</v>
      </c>
      <c r="AM695">
        <v>2.3145148988364728E-2</v>
      </c>
      <c r="AN695">
        <v>0.19054647186791118</v>
      </c>
      <c r="AO695">
        <v>0.35066325827384248</v>
      </c>
      <c r="AR695">
        <v>8.3491273397485024E-4</v>
      </c>
      <c r="AS695">
        <v>4.3952847221165195E-3</v>
      </c>
      <c r="AT695">
        <v>4.8303970456961033E-3</v>
      </c>
      <c r="AU695">
        <v>1.8364020435617553E-3</v>
      </c>
      <c r="AV695">
        <v>1.9657502752159538E-3</v>
      </c>
      <c r="AW695">
        <v>3.513621206668871E-3</v>
      </c>
      <c r="AX695">
        <v>3.853572682463634E-4</v>
      </c>
      <c r="AY695">
        <v>4.853790057003371E-4</v>
      </c>
      <c r="BB695">
        <v>4.6599502906733786E-2</v>
      </c>
      <c r="BC695">
        <v>2.8215546052206896E-2</v>
      </c>
      <c r="BE695">
        <v>67217.982188854265</v>
      </c>
      <c r="BF695">
        <v>14.562110753906206</v>
      </c>
      <c r="BG695">
        <v>69118.04272541104</v>
      </c>
      <c r="BH695">
        <v>14.397512002821891</v>
      </c>
      <c r="BI695">
        <v>-1900.0605365567753</v>
      </c>
      <c r="BJ695">
        <v>0.16459875108431454</v>
      </c>
    </row>
    <row r="696" spans="3:62" x14ac:dyDescent="0.2">
      <c r="C696" s="121">
        <v>70277.147277539189</v>
      </c>
      <c r="D696" s="121">
        <v>18.207620844831482</v>
      </c>
      <c r="E696" s="121">
        <v>72772.469711595186</v>
      </c>
      <c r="F696" s="121">
        <v>18.077103314559892</v>
      </c>
      <c r="G696" s="121">
        <v>-2495.3224340559973</v>
      </c>
      <c r="H696" s="121">
        <v>0.13051753027158952</v>
      </c>
      <c r="N696" s="121"/>
      <c r="O696" s="121"/>
      <c r="P696" s="121"/>
      <c r="R696">
        <v>477.89676544903261</v>
      </c>
      <c r="S696">
        <v>59.173003796192447</v>
      </c>
      <c r="T696">
        <v>262.73031334932801</v>
      </c>
      <c r="U696">
        <v>96.286999410306862</v>
      </c>
      <c r="X696">
        <v>0.84402462060435091</v>
      </c>
      <c r="Y696">
        <v>0.74270473659030567</v>
      </c>
      <c r="Z696">
        <v>0.77160429755793036</v>
      </c>
      <c r="AA696">
        <v>0.68734718050780752</v>
      </c>
      <c r="AB696">
        <v>0.67726412496796862</v>
      </c>
      <c r="AC696">
        <v>0.78931327328277912</v>
      </c>
      <c r="AD696">
        <v>0.92352630548298875</v>
      </c>
      <c r="AE696">
        <v>0.68266916633725516</v>
      </c>
      <c r="AH696">
        <v>0.25975394815709285</v>
      </c>
      <c r="AI696">
        <v>0.30195398425135545</v>
      </c>
      <c r="AJ696">
        <v>0.14631849096915206</v>
      </c>
      <c r="AK696">
        <v>0.21259877084136314</v>
      </c>
      <c r="AL696">
        <v>0.2105552006631457</v>
      </c>
      <c r="AM696">
        <v>0.26191602411488124</v>
      </c>
      <c r="AN696">
        <v>6.8263857524115679E-2</v>
      </c>
      <c r="AO696">
        <v>7.1546766173867127E-2</v>
      </c>
      <c r="AR696">
        <v>9.0962245175141287E-4</v>
      </c>
      <c r="AS696">
        <v>4.1313146334442359E-3</v>
      </c>
      <c r="AT696">
        <v>4.5100217430005946E-3</v>
      </c>
      <c r="AU696">
        <v>1.7512507184065692E-3</v>
      </c>
      <c r="AV696">
        <v>1.9892596767435555E-3</v>
      </c>
      <c r="AW696">
        <v>3.288423063929949E-3</v>
      </c>
      <c r="AX696">
        <v>4.5981319014387623E-4</v>
      </c>
      <c r="AY696">
        <v>4.402289228425401E-4</v>
      </c>
      <c r="BB696">
        <v>5.4056113072477596E-2</v>
      </c>
      <c r="BC696">
        <v>6.6920298472100126E-2</v>
      </c>
      <c r="BE696">
        <v>70277.147277539189</v>
      </c>
      <c r="BF696">
        <v>18.207620844831482</v>
      </c>
      <c r="BG696">
        <v>72772.469711595186</v>
      </c>
      <c r="BH696">
        <v>18.077103314559892</v>
      </c>
      <c r="BI696">
        <v>-2495.3224340559973</v>
      </c>
      <c r="BJ696">
        <v>0.13051753027158952</v>
      </c>
    </row>
    <row r="697" spans="3:62" x14ac:dyDescent="0.2">
      <c r="C697" s="121">
        <v>71795.090909212988</v>
      </c>
      <c r="D697" s="121">
        <v>16.897519577082345</v>
      </c>
      <c r="E697" s="121">
        <v>73523.983580485641</v>
      </c>
      <c r="F697" s="121">
        <v>16.779614002737652</v>
      </c>
      <c r="G697" s="121">
        <v>-1728.8926712726534</v>
      </c>
      <c r="H697" s="121">
        <v>0.11790557434469306</v>
      </c>
      <c r="N697" s="121"/>
      <c r="O697" s="121"/>
      <c r="P697" s="121"/>
      <c r="R697">
        <v>177.25955478166838</v>
      </c>
      <c r="S697">
        <v>56.414746024033164</v>
      </c>
      <c r="T697">
        <v>291.6916834894468</v>
      </c>
      <c r="U697">
        <v>103.51399644599597</v>
      </c>
      <c r="X697">
        <v>0.5882365182381758</v>
      </c>
      <c r="Y697">
        <v>0.83476414582234826</v>
      </c>
      <c r="Z697">
        <v>0.9391781264105602</v>
      </c>
      <c r="AA697">
        <v>0.65288528006126156</v>
      </c>
      <c r="AB697">
        <v>0.72403921319131626</v>
      </c>
      <c r="AC697">
        <v>0.75728965355550859</v>
      </c>
      <c r="AD697">
        <v>0.66626700858098253</v>
      </c>
      <c r="AE697">
        <v>0.9394569159161098</v>
      </c>
      <c r="AH697">
        <v>9.1293204643883352E-2</v>
      </c>
      <c r="AI697">
        <v>8.8069107298340721E-2</v>
      </c>
      <c r="AJ697">
        <v>0.10056935399360711</v>
      </c>
      <c r="AK697">
        <v>0.38438208593603285</v>
      </c>
      <c r="AL697">
        <v>3.8182528459828946E-2</v>
      </c>
      <c r="AM697">
        <v>0.11097620377000217</v>
      </c>
      <c r="AN697">
        <v>0.16636148124991901</v>
      </c>
      <c r="AO697">
        <v>0.13004774288428844</v>
      </c>
      <c r="AR697">
        <v>9.153038256924928E-4</v>
      </c>
      <c r="AS697">
        <v>4.4742064023341188E-3</v>
      </c>
      <c r="AT697">
        <v>4.8450199633537153E-3</v>
      </c>
      <c r="AU697">
        <v>1.9715866160375031E-3</v>
      </c>
      <c r="AV697">
        <v>1.9267513865070932E-3</v>
      </c>
      <c r="AW697">
        <v>3.6126168604181386E-3</v>
      </c>
      <c r="AX697">
        <v>2.8727737396867261E-4</v>
      </c>
      <c r="AY697">
        <v>4.2172642882662339E-4</v>
      </c>
      <c r="BB697">
        <v>4.9329211405069476E-2</v>
      </c>
      <c r="BC697">
        <v>2.9187646235523699E-2</v>
      </c>
      <c r="BE697">
        <v>71795.090909212988</v>
      </c>
      <c r="BF697">
        <v>16.897519577082345</v>
      </c>
      <c r="BG697">
        <v>73523.983580485641</v>
      </c>
      <c r="BH697">
        <v>16.779614002737652</v>
      </c>
      <c r="BI697">
        <v>-1728.8926712726534</v>
      </c>
      <c r="BJ697">
        <v>0.11790557434469306</v>
      </c>
    </row>
    <row r="698" spans="3:62" x14ac:dyDescent="0.2">
      <c r="C698" s="121">
        <v>72278.03666282128</v>
      </c>
      <c r="D698" s="121">
        <v>15.203624610135069</v>
      </c>
      <c r="E698" s="121">
        <v>74785.244386544713</v>
      </c>
      <c r="F698" s="121">
        <v>14.986350159805898</v>
      </c>
      <c r="G698" s="121">
        <v>-2507.2077237234334</v>
      </c>
      <c r="H698" s="121">
        <v>0.21727445032917103</v>
      </c>
      <c r="N698" s="121"/>
      <c r="O698" s="121"/>
      <c r="P698" s="121"/>
      <c r="R698">
        <v>344.07357772319341</v>
      </c>
      <c r="S698">
        <v>66.004522315782836</v>
      </c>
      <c r="T698">
        <v>260.70032766732862</v>
      </c>
      <c r="U698">
        <v>84.748650441503798</v>
      </c>
      <c r="X698">
        <v>0.71494249622499539</v>
      </c>
      <c r="Y698">
        <v>0.72825754141626142</v>
      </c>
      <c r="Z698">
        <v>0.76771641433525473</v>
      </c>
      <c r="AA698">
        <v>0.71821795038480374</v>
      </c>
      <c r="AB698">
        <v>0.80733134632365311</v>
      </c>
      <c r="AC698">
        <v>0.65833005649631704</v>
      </c>
      <c r="AD698">
        <v>0.97424983385858455</v>
      </c>
      <c r="AE698">
        <v>0.82420252755546719</v>
      </c>
      <c r="AH698">
        <v>2.6924937141629357E-2</v>
      </c>
      <c r="AI698">
        <v>8.4909638550396682E-3</v>
      </c>
      <c r="AJ698">
        <v>9.3892334079282547E-2</v>
      </c>
      <c r="AK698">
        <v>0.11948389416466376</v>
      </c>
      <c r="AL698">
        <v>0.26114332026522546</v>
      </c>
      <c r="AM698">
        <v>0.11252902995651803</v>
      </c>
      <c r="AN698">
        <v>0.19532353588220208</v>
      </c>
      <c r="AO698">
        <v>0.34713093643187631</v>
      </c>
      <c r="AR698">
        <v>8.8264134423007433E-4</v>
      </c>
      <c r="AS698">
        <v>4.5669735091384833E-3</v>
      </c>
      <c r="AT698">
        <v>4.7301429706965922E-3</v>
      </c>
      <c r="AU698">
        <v>2.15631045130249E-3</v>
      </c>
      <c r="AV698">
        <v>1.9096839908260446E-3</v>
      </c>
      <c r="AW698">
        <v>3.5207293071808365E-3</v>
      </c>
      <c r="AX698">
        <v>4.6858966699037108E-4</v>
      </c>
      <c r="AY698">
        <v>4.9503701748210283E-4</v>
      </c>
      <c r="BB698">
        <v>5.1632543644365425E-2</v>
      </c>
      <c r="BC698">
        <v>5.9330805146266319E-2</v>
      </c>
      <c r="BE698">
        <v>72278.03666282128</v>
      </c>
      <c r="BF698">
        <v>15.203624610135069</v>
      </c>
      <c r="BG698">
        <v>74785.244386544713</v>
      </c>
      <c r="BH698">
        <v>14.986350159805898</v>
      </c>
      <c r="BI698">
        <v>-2507.2077237234334</v>
      </c>
      <c r="BJ698">
        <v>0.21727445032917103</v>
      </c>
    </row>
    <row r="699" spans="3:62" x14ac:dyDescent="0.2">
      <c r="C699" s="121">
        <v>66919.899144360257</v>
      </c>
      <c r="D699" s="121">
        <v>15.332029440797232</v>
      </c>
      <c r="E699" s="121">
        <v>67714.325530838818</v>
      </c>
      <c r="F699" s="121">
        <v>15.299169527763436</v>
      </c>
      <c r="G699" s="121">
        <v>-794.42638647856074</v>
      </c>
      <c r="H699" s="121">
        <v>3.2859913033796317E-2</v>
      </c>
      <c r="N699" s="121"/>
      <c r="O699" s="121"/>
      <c r="P699" s="121"/>
      <c r="R699">
        <v>207.53297383583805</v>
      </c>
      <c r="S699">
        <v>60.221874233922406</v>
      </c>
      <c r="T699">
        <v>248.96575843007315</v>
      </c>
      <c r="U699">
        <v>91.627181986822166</v>
      </c>
      <c r="X699">
        <v>0.92457939520905641</v>
      </c>
      <c r="Y699">
        <v>0.94909899329593284</v>
      </c>
      <c r="Z699">
        <v>0.83615871173299805</v>
      </c>
      <c r="AA699">
        <v>0.67488562354492221</v>
      </c>
      <c r="AB699">
        <v>0.91519873910584693</v>
      </c>
      <c r="AC699">
        <v>0.81968942108215093</v>
      </c>
      <c r="AD699">
        <v>0.73383917737401483</v>
      </c>
      <c r="AE699">
        <v>0.79603942348916457</v>
      </c>
      <c r="AH699">
        <v>0.26223070695667772</v>
      </c>
      <c r="AI699">
        <v>4.8856551713087226E-2</v>
      </c>
      <c r="AJ699">
        <v>0.12824018770157553</v>
      </c>
      <c r="AK699">
        <v>0.12812016973319196</v>
      </c>
      <c r="AL699">
        <v>0.15744576901129548</v>
      </c>
      <c r="AM699">
        <v>2.3624239742384923E-2</v>
      </c>
      <c r="AN699">
        <v>0.13417614067445105</v>
      </c>
      <c r="AO699">
        <v>0.11995141112548258</v>
      </c>
      <c r="AR699">
        <v>8.1135685606495303E-4</v>
      </c>
      <c r="AS699">
        <v>3.8949002602369537E-3</v>
      </c>
      <c r="AT699">
        <v>4.9168657423652503E-3</v>
      </c>
      <c r="AU699">
        <v>1.9503554732204047E-3</v>
      </c>
      <c r="AV699">
        <v>2.2525634520988991E-3</v>
      </c>
      <c r="AW699">
        <v>3.7781709511705008E-3</v>
      </c>
      <c r="AX699">
        <v>3.9951566131835037E-4</v>
      </c>
      <c r="AY699">
        <v>4.3044504630970548E-4</v>
      </c>
      <c r="BB699">
        <v>5.3076154317598379E-2</v>
      </c>
      <c r="BC699">
        <v>4.9968252513509781E-2</v>
      </c>
      <c r="BE699">
        <v>66919.899144360257</v>
      </c>
      <c r="BF699">
        <v>15.332029440797232</v>
      </c>
      <c r="BG699">
        <v>67714.325530838818</v>
      </c>
      <c r="BH699">
        <v>15.299169527763436</v>
      </c>
      <c r="BI699">
        <v>-794.42638647856074</v>
      </c>
      <c r="BJ699">
        <v>3.2859913033796317E-2</v>
      </c>
    </row>
    <row r="700" spans="3:62" x14ac:dyDescent="0.2">
      <c r="C700" s="121">
        <v>71365.432776349422</v>
      </c>
      <c r="D700" s="121">
        <v>16.739762404899629</v>
      </c>
      <c r="E700" s="121">
        <v>73668.88803799673</v>
      </c>
      <c r="F700" s="121">
        <v>16.561394814421671</v>
      </c>
      <c r="G700" s="121">
        <v>-2303.4552616473084</v>
      </c>
      <c r="H700" s="121">
        <v>0.1783675904779578</v>
      </c>
      <c r="N700" s="121"/>
      <c r="O700" s="121"/>
      <c r="P700" s="121"/>
      <c r="R700">
        <v>184.53600115759966</v>
      </c>
      <c r="S700">
        <v>72.286325906681242</v>
      </c>
      <c r="T700">
        <v>295.63861342160675</v>
      </c>
      <c r="U700">
        <v>103.63664328950431</v>
      </c>
      <c r="X700">
        <v>0.76927121502257967</v>
      </c>
      <c r="Y700">
        <v>0.77193806429438638</v>
      </c>
      <c r="Z700">
        <v>0.4753552895658395</v>
      </c>
      <c r="AA700">
        <v>0.9282467454651725</v>
      </c>
      <c r="AB700">
        <v>0.82472231692920339</v>
      </c>
      <c r="AC700">
        <v>0.93123571132016103</v>
      </c>
      <c r="AD700">
        <v>0.71881744725650309</v>
      </c>
      <c r="AE700">
        <v>0.6438298251395399</v>
      </c>
      <c r="AH700">
        <v>0.14687584678153409</v>
      </c>
      <c r="AI700">
        <v>0.12280963645781107</v>
      </c>
      <c r="AJ700">
        <v>9.410402171289356E-2</v>
      </c>
      <c r="AK700">
        <v>0.32764949364835838</v>
      </c>
      <c r="AL700">
        <v>0.19208097632303089</v>
      </c>
      <c r="AM700">
        <v>0.12191992362901494</v>
      </c>
      <c r="AN700">
        <v>0.17461143758475384</v>
      </c>
      <c r="AO700">
        <v>0.10304616156227997</v>
      </c>
      <c r="AR700">
        <v>9.6071300627775802E-4</v>
      </c>
      <c r="AS700">
        <v>4.3141385635365936E-3</v>
      </c>
      <c r="AT700">
        <v>4.6086185147679861E-3</v>
      </c>
      <c r="AU700">
        <v>1.9932456425776242E-3</v>
      </c>
      <c r="AV700">
        <v>2.0015071370721449E-3</v>
      </c>
      <c r="AW700">
        <v>3.4541602630270285E-3</v>
      </c>
      <c r="AX700">
        <v>4.5902420155596868E-4</v>
      </c>
      <c r="AY700">
        <v>3.9220222634689248E-4</v>
      </c>
      <c r="BB700">
        <v>5.5695200817070134E-2</v>
      </c>
      <c r="BC700">
        <v>7.0918184499712988E-2</v>
      </c>
      <c r="BE700">
        <v>71365.432776349422</v>
      </c>
      <c r="BF700">
        <v>16.739762404899629</v>
      </c>
      <c r="BG700">
        <v>73668.88803799673</v>
      </c>
      <c r="BH700">
        <v>16.561394814421671</v>
      </c>
      <c r="BI700">
        <v>-2303.4552616473084</v>
      </c>
      <c r="BJ700">
        <v>0.1783675904779578</v>
      </c>
    </row>
    <row r="701" spans="3:62" x14ac:dyDescent="0.2">
      <c r="C701" s="121">
        <v>75125.554803624211</v>
      </c>
      <c r="D701" s="121">
        <v>17.571098693618627</v>
      </c>
      <c r="E701" s="121">
        <v>76773.029025566648</v>
      </c>
      <c r="F701" s="121">
        <v>17.47076540174648</v>
      </c>
      <c r="G701" s="121">
        <v>-1647.474221942437</v>
      </c>
      <c r="H701" s="121">
        <v>0.1003332918721469</v>
      </c>
      <c r="N701" s="121"/>
      <c r="O701" s="121"/>
      <c r="P701" s="121"/>
      <c r="R701">
        <v>202.05264524351031</v>
      </c>
      <c r="S701">
        <v>51.328367827657395</v>
      </c>
      <c r="T701">
        <v>236.32817187209423</v>
      </c>
      <c r="U701">
        <v>102.80182404944317</v>
      </c>
      <c r="X701">
        <v>0.9043101684752799</v>
      </c>
      <c r="Y701">
        <v>0.73911766037980897</v>
      </c>
      <c r="Z701">
        <v>0.8670399793968826</v>
      </c>
      <c r="AA701">
        <v>0.61411257333089209</v>
      </c>
      <c r="AB701">
        <v>0.53294586169461389</v>
      </c>
      <c r="AC701">
        <v>0.7309350185670852</v>
      </c>
      <c r="AD701">
        <v>0.69356615983793424</v>
      </c>
      <c r="AE701">
        <v>0.8158902461272779</v>
      </c>
      <c r="AH701">
        <v>4.6952032342774674E-2</v>
      </c>
      <c r="AI701">
        <v>2.5204469290059928E-2</v>
      </c>
      <c r="AJ701">
        <v>8.4248164266769399E-2</v>
      </c>
      <c r="AK701">
        <v>9.4177928525980614E-2</v>
      </c>
      <c r="AL701">
        <v>0.39816336803854957</v>
      </c>
      <c r="AM701">
        <v>2.2529266543605209E-2</v>
      </c>
      <c r="AN701">
        <v>0.13908721996118278</v>
      </c>
      <c r="AO701">
        <v>1.457119357079284E-2</v>
      </c>
      <c r="AR701">
        <v>8.8193215307186496E-4</v>
      </c>
      <c r="AS701">
        <v>4.3784726541055445E-3</v>
      </c>
      <c r="AT701">
        <v>4.6599273304656075E-3</v>
      </c>
      <c r="AU701">
        <v>2.163014145731057E-3</v>
      </c>
      <c r="AV701">
        <v>1.6834399093814702E-3</v>
      </c>
      <c r="AW701">
        <v>3.6556674334370376E-3</v>
      </c>
      <c r="AX701">
        <v>5.2482954190846698E-4</v>
      </c>
      <c r="AY701">
        <v>5.4151357173903847E-4</v>
      </c>
      <c r="BB701">
        <v>5.8233703445666252E-2</v>
      </c>
      <c r="BC701">
        <v>4.1893441257603962E-2</v>
      </c>
      <c r="BE701">
        <v>75125.554803624211</v>
      </c>
      <c r="BF701">
        <v>17.571098693618627</v>
      </c>
      <c r="BG701">
        <v>76773.029025566648</v>
      </c>
      <c r="BH701">
        <v>17.47076540174648</v>
      </c>
      <c r="BI701">
        <v>-1647.474221942437</v>
      </c>
      <c r="BJ701">
        <v>0.1003332918721469</v>
      </c>
    </row>
    <row r="702" spans="3:62" x14ac:dyDescent="0.2">
      <c r="C702" s="121">
        <v>72526.038624762237</v>
      </c>
      <c r="D702" s="121">
        <v>14.90792757547475</v>
      </c>
      <c r="E702" s="121">
        <v>75038.923326347503</v>
      </c>
      <c r="F702" s="121">
        <v>14.715627537902684</v>
      </c>
      <c r="G702" s="121">
        <v>-2512.8847015852662</v>
      </c>
      <c r="H702" s="121">
        <v>0.19230003757206582</v>
      </c>
      <c r="N702" s="121"/>
      <c r="O702" s="121"/>
      <c r="P702" s="121"/>
      <c r="R702">
        <v>45.932959215245916</v>
      </c>
      <c r="S702">
        <v>57.198563888159136</v>
      </c>
      <c r="T702">
        <v>248.72397550811027</v>
      </c>
      <c r="U702">
        <v>101.82809724844955</v>
      </c>
      <c r="X702">
        <v>0.62517668918767422</v>
      </c>
      <c r="Y702">
        <v>0.81737549220757111</v>
      </c>
      <c r="Z702">
        <v>0.85598215240015607</v>
      </c>
      <c r="AA702">
        <v>0.76893398786753187</v>
      </c>
      <c r="AB702">
        <v>0.76646298594120055</v>
      </c>
      <c r="AC702">
        <v>0.87443850669690915</v>
      </c>
      <c r="AD702">
        <v>0.67801741253638248</v>
      </c>
      <c r="AE702">
        <v>0.71094894739533687</v>
      </c>
      <c r="AH702">
        <v>0.2029306111117759</v>
      </c>
      <c r="AI702">
        <v>7.1874908141196903E-2</v>
      </c>
      <c r="AJ702">
        <v>0.20766307556624675</v>
      </c>
      <c r="AK702">
        <v>0.21361610149399846</v>
      </c>
      <c r="AL702">
        <v>0.18880925555252714</v>
      </c>
      <c r="AM702">
        <v>8.1419026349243029E-2</v>
      </c>
      <c r="AN702">
        <v>0.16278594839880589</v>
      </c>
      <c r="AO702">
        <v>0.32264736999199961</v>
      </c>
      <c r="AR702">
        <v>8.9796691465982015E-4</v>
      </c>
      <c r="AS702">
        <v>4.3952158414090397E-3</v>
      </c>
      <c r="AT702">
        <v>5.2311797113177017E-3</v>
      </c>
      <c r="AU702">
        <v>2.1218585670316203E-3</v>
      </c>
      <c r="AV702">
        <v>1.9338819863489662E-3</v>
      </c>
      <c r="AW702">
        <v>3.399194202817347E-3</v>
      </c>
      <c r="AX702">
        <v>3.4942232989491033E-4</v>
      </c>
      <c r="AY702">
        <v>4.4485196917677943E-4</v>
      </c>
      <c r="BB702">
        <v>4.4834792344736266E-2</v>
      </c>
      <c r="BC702">
        <v>5.724616546210104E-2</v>
      </c>
      <c r="BE702">
        <v>72526.038624762237</v>
      </c>
      <c r="BF702">
        <v>14.90792757547475</v>
      </c>
      <c r="BG702">
        <v>75038.923326347503</v>
      </c>
      <c r="BH702">
        <v>14.715627537902684</v>
      </c>
      <c r="BI702">
        <v>-2512.8847015852662</v>
      </c>
      <c r="BJ702">
        <v>0.19230003757206582</v>
      </c>
    </row>
    <row r="703" spans="3:62" x14ac:dyDescent="0.2">
      <c r="C703" s="121">
        <v>70679.993905560186</v>
      </c>
      <c r="D703" s="121">
        <v>17.6311452386628</v>
      </c>
      <c r="E703" s="121">
        <v>72064.245355553008</v>
      </c>
      <c r="F703" s="121">
        <v>17.512698222825133</v>
      </c>
      <c r="G703" s="121">
        <v>-1384.251449992822</v>
      </c>
      <c r="H703" s="121">
        <v>0.11844701583766692</v>
      </c>
      <c r="N703" s="121"/>
      <c r="O703" s="121"/>
      <c r="P703" s="121"/>
      <c r="R703">
        <v>388.09010157157292</v>
      </c>
      <c r="S703">
        <v>51.865931530926119</v>
      </c>
      <c r="T703">
        <v>221.92350696912885</v>
      </c>
      <c r="U703">
        <v>94.81080917995601</v>
      </c>
      <c r="X703">
        <v>0.5343969410463062</v>
      </c>
      <c r="Y703">
        <v>0.74340440052084045</v>
      </c>
      <c r="Z703">
        <v>0.87305400906563269</v>
      </c>
      <c r="AA703">
        <v>0.85298829079844751</v>
      </c>
      <c r="AB703">
        <v>0.68449933702888532</v>
      </c>
      <c r="AC703">
        <v>0.73883225634863192</v>
      </c>
      <c r="AD703">
        <v>0.66531476869323181</v>
      </c>
      <c r="AE703">
        <v>0.84352963694022154</v>
      </c>
      <c r="AH703">
        <v>4.7645109878471037E-2</v>
      </c>
      <c r="AI703">
        <v>0.18023033697393542</v>
      </c>
      <c r="AJ703">
        <v>0.2364308138676583</v>
      </c>
      <c r="AK703">
        <v>0.20144672185603174</v>
      </c>
      <c r="AL703">
        <v>9.1004470646646407E-2</v>
      </c>
      <c r="AM703">
        <v>0.12422184371273604</v>
      </c>
      <c r="AN703">
        <v>0.21991556763568443</v>
      </c>
      <c r="AO703">
        <v>0.12832803289845229</v>
      </c>
      <c r="AR703">
        <v>1.0168668853776097E-3</v>
      </c>
      <c r="AS703">
        <v>4.6599843730914525E-3</v>
      </c>
      <c r="AT703">
        <v>4.6961885874008263E-3</v>
      </c>
      <c r="AU703">
        <v>2.2115355410973203E-3</v>
      </c>
      <c r="AV703">
        <v>2.1653208523187972E-3</v>
      </c>
      <c r="AW703">
        <v>3.4110084419969322E-3</v>
      </c>
      <c r="AX703">
        <v>4.3157503781932061E-4</v>
      </c>
      <c r="AY703">
        <v>4.2273417649399517E-4</v>
      </c>
      <c r="BB703">
        <v>4.6768084236975781E-2</v>
      </c>
      <c r="BC703">
        <v>3.5597332278536342E-2</v>
      </c>
      <c r="BE703">
        <v>70679.993905560186</v>
      </c>
      <c r="BF703">
        <v>17.6311452386628</v>
      </c>
      <c r="BG703">
        <v>72064.245355553008</v>
      </c>
      <c r="BH703">
        <v>17.512698222825133</v>
      </c>
      <c r="BI703">
        <v>-1384.251449992822</v>
      </c>
      <c r="BJ703">
        <v>0.11844701583766692</v>
      </c>
    </row>
    <row r="704" spans="3:62" x14ac:dyDescent="0.2">
      <c r="C704" s="121">
        <v>64339.76465819298</v>
      </c>
      <c r="D704" s="121">
        <v>17.365756271208522</v>
      </c>
      <c r="E704" s="121">
        <v>66256.05819574483</v>
      </c>
      <c r="F704" s="121">
        <v>17.211483585032255</v>
      </c>
      <c r="G704" s="121">
        <v>-1916.29353755185</v>
      </c>
      <c r="H704" s="121">
        <v>0.15427268617626666</v>
      </c>
      <c r="N704" s="121"/>
      <c r="O704" s="121"/>
      <c r="P704" s="121"/>
      <c r="R704">
        <v>230.512168049374</v>
      </c>
      <c r="S704">
        <v>62.253190064816813</v>
      </c>
      <c r="T704">
        <v>273.26916102950344</v>
      </c>
      <c r="U704">
        <v>107.64584638532193</v>
      </c>
      <c r="X704">
        <v>0.70908116490208506</v>
      </c>
      <c r="Y704">
        <v>0.93373288874984861</v>
      </c>
      <c r="Z704">
        <v>0.63974112295839458</v>
      </c>
      <c r="AA704">
        <v>0.85530383203590588</v>
      </c>
      <c r="AB704">
        <v>0.79792749099368421</v>
      </c>
      <c r="AC704">
        <v>0.7546232100665351</v>
      </c>
      <c r="AD704">
        <v>0.91982360870088886</v>
      </c>
      <c r="AE704">
        <v>0.56633675418875318</v>
      </c>
      <c r="AH704">
        <v>0.1369131021118587</v>
      </c>
      <c r="AI704">
        <v>2.7188954084093497E-2</v>
      </c>
      <c r="AJ704">
        <v>0.25202065086178216</v>
      </c>
      <c r="AK704">
        <v>0.12302397306571167</v>
      </c>
      <c r="AL704">
        <v>0.10134553190615803</v>
      </c>
      <c r="AM704">
        <v>6.8241408350214749E-2</v>
      </c>
      <c r="AN704">
        <v>7.7524538584336167E-2</v>
      </c>
      <c r="AO704">
        <v>0.10504160404412155</v>
      </c>
      <c r="AR704">
        <v>8.8065453544798643E-4</v>
      </c>
      <c r="AS704">
        <v>4.3072785245188575E-3</v>
      </c>
      <c r="AT704">
        <v>4.8858962207101618E-3</v>
      </c>
      <c r="AU704">
        <v>2.0756531456829208E-3</v>
      </c>
      <c r="AV704">
        <v>1.8333395886076991E-3</v>
      </c>
      <c r="AW704">
        <v>2.9282001604172734E-3</v>
      </c>
      <c r="AX704">
        <v>3.3412320913121519E-4</v>
      </c>
      <c r="AY704">
        <v>4.281348008709982E-4</v>
      </c>
      <c r="BB704">
        <v>4.9000290788474558E-2</v>
      </c>
      <c r="BC704">
        <v>3.6705436136165129E-2</v>
      </c>
      <c r="BE704">
        <v>64339.76465819298</v>
      </c>
      <c r="BF704">
        <v>17.365756271208522</v>
      </c>
      <c r="BG704">
        <v>66256.05819574483</v>
      </c>
      <c r="BH704">
        <v>17.211483585032255</v>
      </c>
      <c r="BI704">
        <v>-1916.29353755185</v>
      </c>
      <c r="BJ704">
        <v>0.15427268617626666</v>
      </c>
    </row>
    <row r="705" spans="3:62" x14ac:dyDescent="0.2">
      <c r="C705" s="121">
        <v>65580.753237162731</v>
      </c>
      <c r="D705" s="121">
        <v>17.236326902050358</v>
      </c>
      <c r="E705" s="121">
        <v>66799.101062896181</v>
      </c>
      <c r="F705" s="121">
        <v>17.117703935589613</v>
      </c>
      <c r="G705" s="121">
        <v>-1218.34782573345</v>
      </c>
      <c r="H705" s="121">
        <v>0.11862296646074455</v>
      </c>
      <c r="N705" s="121"/>
      <c r="O705" s="121"/>
      <c r="P705" s="121"/>
      <c r="R705">
        <v>352.34137484084175</v>
      </c>
      <c r="S705">
        <v>61.155757381500429</v>
      </c>
      <c r="T705">
        <v>288.31911581687166</v>
      </c>
      <c r="U705">
        <v>92.465461988207863</v>
      </c>
      <c r="X705">
        <v>0.53488341108259319</v>
      </c>
      <c r="Y705">
        <v>0.63829821798341402</v>
      </c>
      <c r="Z705">
        <v>0.79335126287357127</v>
      </c>
      <c r="AA705">
        <v>0.6988841321668533</v>
      </c>
      <c r="AB705">
        <v>0.56580748523138358</v>
      </c>
      <c r="AC705">
        <v>0.74770875192960162</v>
      </c>
      <c r="AD705">
        <v>0.84483340242687299</v>
      </c>
      <c r="AE705">
        <v>0.65938599288216515</v>
      </c>
      <c r="AH705">
        <v>5.112456150699185E-2</v>
      </c>
      <c r="AI705">
        <v>8.2845271745617843E-2</v>
      </c>
      <c r="AJ705">
        <v>0.14859514986134303</v>
      </c>
      <c r="AK705">
        <v>0.16909212235736093</v>
      </c>
      <c r="AL705">
        <v>7.3164723376133889E-2</v>
      </c>
      <c r="AM705">
        <v>9.6083462630765837E-2</v>
      </c>
      <c r="AN705">
        <v>7.2033362983848992E-2</v>
      </c>
      <c r="AO705">
        <v>0.14237042935800648</v>
      </c>
      <c r="AR705">
        <v>9.5152863411007704E-4</v>
      </c>
      <c r="AS705">
        <v>4.5383258948715754E-3</v>
      </c>
      <c r="AT705">
        <v>4.9435211074442724E-3</v>
      </c>
      <c r="AU705">
        <v>2.0662033857473672E-3</v>
      </c>
      <c r="AV705">
        <v>2.0055280731728908E-3</v>
      </c>
      <c r="AW705">
        <v>3.8998068826988641E-3</v>
      </c>
      <c r="AX705">
        <v>4.3736721795328837E-4</v>
      </c>
      <c r="AY705">
        <v>4.8040644879299155E-4</v>
      </c>
      <c r="BB705">
        <v>5.1770778941903073E-2</v>
      </c>
      <c r="BC705">
        <v>5.7372533500522405E-2</v>
      </c>
      <c r="BE705">
        <v>65580.753237162731</v>
      </c>
      <c r="BF705">
        <v>17.236326902050358</v>
      </c>
      <c r="BG705">
        <v>66799.101062896181</v>
      </c>
      <c r="BH705">
        <v>17.117703935589613</v>
      </c>
      <c r="BI705">
        <v>-1218.34782573345</v>
      </c>
      <c r="BJ705">
        <v>0.11862296646074455</v>
      </c>
    </row>
    <row r="706" spans="3:62" x14ac:dyDescent="0.2">
      <c r="C706" s="121">
        <v>67762.962710348031</v>
      </c>
      <c r="D706" s="121">
        <v>16.866347375265839</v>
      </c>
      <c r="E706" s="121">
        <v>69604.385024128511</v>
      </c>
      <c r="F706" s="121">
        <v>16.716772861291695</v>
      </c>
      <c r="G706" s="121">
        <v>-1841.4223137804802</v>
      </c>
      <c r="H706" s="121">
        <v>0.14957451397414445</v>
      </c>
      <c r="N706" s="121"/>
      <c r="O706" s="121"/>
      <c r="P706" s="121"/>
      <c r="R706">
        <v>356.32796348131058</v>
      </c>
      <c r="S706">
        <v>55.418834522295818</v>
      </c>
      <c r="T706">
        <v>274.85332675641951</v>
      </c>
      <c r="U706">
        <v>99.412239044680263</v>
      </c>
      <c r="X706">
        <v>0.66768658018525417</v>
      </c>
      <c r="Y706">
        <v>0.38552537807263715</v>
      </c>
      <c r="Z706">
        <v>0.63057692919511021</v>
      </c>
      <c r="AA706">
        <v>0.88421956406140823</v>
      </c>
      <c r="AB706">
        <v>0.59430008454826522</v>
      </c>
      <c r="AC706">
        <v>0.7903960593617223</v>
      </c>
      <c r="AD706">
        <v>0.90217626516986116</v>
      </c>
      <c r="AE706">
        <v>0.49666173168838135</v>
      </c>
      <c r="AH706">
        <v>0.17298045920018434</v>
      </c>
      <c r="AI706">
        <v>5.4457128408342381E-2</v>
      </c>
      <c r="AJ706">
        <v>7.0457930270257929E-3</v>
      </c>
      <c r="AK706">
        <v>0.27996192605955361</v>
      </c>
      <c r="AL706">
        <v>0.10485968981722782</v>
      </c>
      <c r="AM706">
        <v>7.4850466580717256E-2</v>
      </c>
      <c r="AN706">
        <v>0.41340329078693383</v>
      </c>
      <c r="AO706">
        <v>0.14935068047277245</v>
      </c>
      <c r="AR706">
        <v>8.0691474134843364E-4</v>
      </c>
      <c r="AS706">
        <v>4.2157564311254255E-3</v>
      </c>
      <c r="AT706">
        <v>4.7989808048454477E-3</v>
      </c>
      <c r="AU706">
        <v>2.0024958658063641E-3</v>
      </c>
      <c r="AV706">
        <v>2.2502499879786253E-3</v>
      </c>
      <c r="AW706">
        <v>3.3469926939759895E-3</v>
      </c>
      <c r="AX706">
        <v>4.7445584448457812E-4</v>
      </c>
      <c r="AY706">
        <v>4.5637532039799478E-4</v>
      </c>
      <c r="BB706">
        <v>5.4671149942743136E-2</v>
      </c>
      <c r="BC706">
        <v>3.9577953301879652E-2</v>
      </c>
      <c r="BE706">
        <v>67762.962710348031</v>
      </c>
      <c r="BF706">
        <v>16.866347375265839</v>
      </c>
      <c r="BG706">
        <v>69604.385024128511</v>
      </c>
      <c r="BH706">
        <v>16.716772861291695</v>
      </c>
      <c r="BI706">
        <v>-1841.4223137804802</v>
      </c>
      <c r="BJ706">
        <v>0.14957451397414445</v>
      </c>
    </row>
    <row r="707" spans="3:62" x14ac:dyDescent="0.2">
      <c r="C707" s="121">
        <v>71778.734358108646</v>
      </c>
      <c r="D707" s="121">
        <v>15.522807562284719</v>
      </c>
      <c r="E707" s="121">
        <v>74040.960423932396</v>
      </c>
      <c r="F707" s="121">
        <v>15.331159675336073</v>
      </c>
      <c r="G707" s="121">
        <v>-2262.2260658237501</v>
      </c>
      <c r="H707" s="121">
        <v>0.19164788694864576</v>
      </c>
      <c r="N707" s="121"/>
      <c r="O707" s="121"/>
      <c r="P707" s="121"/>
      <c r="R707">
        <v>187.10683436384141</v>
      </c>
      <c r="S707">
        <v>54.430171377222614</v>
      </c>
      <c r="T707">
        <v>223.45150351179126</v>
      </c>
      <c r="U707">
        <v>115.48982737954321</v>
      </c>
      <c r="X707">
        <v>0.94145475469437878</v>
      </c>
      <c r="Y707">
        <v>0.65534771534150948</v>
      </c>
      <c r="Z707">
        <v>0.862097240013878</v>
      </c>
      <c r="AA707">
        <v>0.52503530512093388</v>
      </c>
      <c r="AB707">
        <v>0.69490548715398903</v>
      </c>
      <c r="AC707">
        <v>0.77760072012681769</v>
      </c>
      <c r="AD707">
        <v>0.71641353017671772</v>
      </c>
      <c r="AE707">
        <v>0.65171033890528141</v>
      </c>
      <c r="AH707">
        <v>0.30371748556352551</v>
      </c>
      <c r="AI707">
        <v>4.1161505366795414E-2</v>
      </c>
      <c r="AJ707">
        <v>0.24450776457540768</v>
      </c>
      <c r="AK707">
        <v>6.226147213769484E-2</v>
      </c>
      <c r="AL707">
        <v>0.1260537315740301</v>
      </c>
      <c r="AM707">
        <v>1.3603268917103062E-2</v>
      </c>
      <c r="AN707">
        <v>0.26464038474338769</v>
      </c>
      <c r="AO707">
        <v>0.15637987455042068</v>
      </c>
      <c r="AR707">
        <v>8.353998571848935E-4</v>
      </c>
      <c r="AS707">
        <v>4.2618352641101524E-3</v>
      </c>
      <c r="AT707">
        <v>4.7871470753304479E-3</v>
      </c>
      <c r="AU707">
        <v>2.1101194057063788E-3</v>
      </c>
      <c r="AV707">
        <v>2.0299059999757674E-3</v>
      </c>
      <c r="AW707">
        <v>3.5040435169904072E-3</v>
      </c>
      <c r="AX707">
        <v>3.5153492342446425E-4</v>
      </c>
      <c r="AY707">
        <v>3.9349771662330847E-4</v>
      </c>
      <c r="BB707">
        <v>4.9947417750014433E-2</v>
      </c>
      <c r="BC707">
        <v>3.8985826946545725E-2</v>
      </c>
      <c r="BE707">
        <v>71778.734358108646</v>
      </c>
      <c r="BF707">
        <v>15.522807562284719</v>
      </c>
      <c r="BG707">
        <v>74040.960423932396</v>
      </c>
      <c r="BH707">
        <v>15.331159675336073</v>
      </c>
      <c r="BI707">
        <v>-2262.2260658237501</v>
      </c>
      <c r="BJ707">
        <v>0.19164788694864576</v>
      </c>
    </row>
    <row r="708" spans="3:62" x14ac:dyDescent="0.2">
      <c r="C708" s="121">
        <v>64935.496467073492</v>
      </c>
      <c r="D708" s="121">
        <v>17.119493851061968</v>
      </c>
      <c r="E708" s="121">
        <v>66116.283500833029</v>
      </c>
      <c r="F708" s="121">
        <v>17.039586076063802</v>
      </c>
      <c r="G708" s="121">
        <v>-1180.7870337595377</v>
      </c>
      <c r="H708" s="121">
        <v>7.9907774998165593E-2</v>
      </c>
      <c r="N708" s="121"/>
      <c r="O708" s="121"/>
      <c r="P708" s="121"/>
      <c r="R708">
        <v>261.91954638965956</v>
      </c>
      <c r="S708">
        <v>63.98261622651836</v>
      </c>
      <c r="T708">
        <v>237.44352157887795</v>
      </c>
      <c r="U708">
        <v>89.686469989525648</v>
      </c>
      <c r="X708">
        <v>0.91378182753052462</v>
      </c>
      <c r="Y708">
        <v>0.82723036631464453</v>
      </c>
      <c r="Z708">
        <v>0.80403483153894617</v>
      </c>
      <c r="AA708">
        <v>0.92645427114806633</v>
      </c>
      <c r="AB708">
        <v>0.74006763989934277</v>
      </c>
      <c r="AC708">
        <v>0.82522548991839284</v>
      </c>
      <c r="AD708">
        <v>0.73159629751856581</v>
      </c>
      <c r="AE708">
        <v>0.91870584758436435</v>
      </c>
      <c r="AH708">
        <v>8.8076266386820423E-2</v>
      </c>
      <c r="AI708">
        <v>5.6643977774487264E-2</v>
      </c>
      <c r="AJ708">
        <v>4.342359482478142E-2</v>
      </c>
      <c r="AK708">
        <v>8.5251334819250957E-2</v>
      </c>
      <c r="AL708">
        <v>0.34518217659481265</v>
      </c>
      <c r="AM708">
        <v>0.172663841886185</v>
      </c>
      <c r="AN708">
        <v>0.11747359630082632</v>
      </c>
      <c r="AO708">
        <v>0.14558374123288309</v>
      </c>
      <c r="AR708">
        <v>8.801527098851661E-4</v>
      </c>
      <c r="AS708">
        <v>4.5312216844022313E-3</v>
      </c>
      <c r="AT708">
        <v>5.0149160666205228E-3</v>
      </c>
      <c r="AU708">
        <v>1.9410511951046482E-3</v>
      </c>
      <c r="AV708">
        <v>1.8965603700915161E-3</v>
      </c>
      <c r="AW708">
        <v>3.2290941474129179E-3</v>
      </c>
      <c r="AX708">
        <v>3.9053269827043612E-4</v>
      </c>
      <c r="AY708">
        <v>5.0621081642354682E-4</v>
      </c>
      <c r="BB708">
        <v>4.6730472446680021E-2</v>
      </c>
      <c r="BC708">
        <v>8.0340764961759681E-2</v>
      </c>
      <c r="BE708">
        <v>64935.496467073492</v>
      </c>
      <c r="BF708">
        <v>17.119493851061968</v>
      </c>
      <c r="BG708">
        <v>66116.283500833029</v>
      </c>
      <c r="BH708">
        <v>17.039586076063802</v>
      </c>
      <c r="BI708">
        <v>-1180.7870337595377</v>
      </c>
      <c r="BJ708">
        <v>7.9907774998165593E-2</v>
      </c>
    </row>
    <row r="709" spans="3:62" x14ac:dyDescent="0.2">
      <c r="C709" s="121">
        <v>81118.100085121958</v>
      </c>
      <c r="D709" s="121">
        <v>15.758036920783683</v>
      </c>
      <c r="E709" s="121">
        <v>82447.286857072089</v>
      </c>
      <c r="F709" s="121">
        <v>15.646113466177251</v>
      </c>
      <c r="G709" s="121">
        <v>-1329.1867719501315</v>
      </c>
      <c r="H709" s="121">
        <v>0.1119234546064316</v>
      </c>
      <c r="N709" s="121"/>
      <c r="O709" s="121"/>
      <c r="P709" s="121"/>
      <c r="R709">
        <v>157.8819086978632</v>
      </c>
      <c r="S709">
        <v>60.054759494791902</v>
      </c>
      <c r="T709">
        <v>281.60205306090751</v>
      </c>
      <c r="U709">
        <v>97.825764078311906</v>
      </c>
      <c r="X709">
        <v>0.6444573538213948</v>
      </c>
      <c r="Y709">
        <v>0.82246842742505288</v>
      </c>
      <c r="Z709">
        <v>0.78861060856856746</v>
      </c>
      <c r="AA709">
        <v>0.88607086603295004</v>
      </c>
      <c r="AB709">
        <v>0.77995539073719033</v>
      </c>
      <c r="AC709">
        <v>0.90445641457143577</v>
      </c>
      <c r="AD709">
        <v>0.9351361246158435</v>
      </c>
      <c r="AE709">
        <v>0.68688251139006262</v>
      </c>
      <c r="AH709">
        <v>3.4920253138662871E-2</v>
      </c>
      <c r="AI709">
        <v>7.1795835579440137E-3</v>
      </c>
      <c r="AJ709">
        <v>0.15954462473145059</v>
      </c>
      <c r="AK709">
        <v>3.4215382744889555E-2</v>
      </c>
      <c r="AL709">
        <v>0.1056528284771292</v>
      </c>
      <c r="AM709">
        <v>5.6766863639446719E-2</v>
      </c>
      <c r="AN709">
        <v>6.078179536119277E-2</v>
      </c>
      <c r="AO709">
        <v>5.6441352680972612E-2</v>
      </c>
      <c r="AR709">
        <v>9.0001515751469974E-4</v>
      </c>
      <c r="AS709">
        <v>4.5524616163464815E-3</v>
      </c>
      <c r="AT709">
        <v>4.7142358012558011E-3</v>
      </c>
      <c r="AU709">
        <v>2.0126789817770385E-3</v>
      </c>
      <c r="AV709">
        <v>1.988104876391904E-3</v>
      </c>
      <c r="AW709">
        <v>3.4089572037452331E-3</v>
      </c>
      <c r="AX709">
        <v>4.1053093038867505E-4</v>
      </c>
      <c r="AY709">
        <v>5.1815808608401959E-4</v>
      </c>
      <c r="BB709">
        <v>4.4261770961159748E-2</v>
      </c>
      <c r="BC709">
        <v>4.0193336390410214E-2</v>
      </c>
      <c r="BE709">
        <v>81118.100085121958</v>
      </c>
      <c r="BF709">
        <v>15.758036920783683</v>
      </c>
      <c r="BG709">
        <v>82447.286857072089</v>
      </c>
      <c r="BH709">
        <v>15.646113466177251</v>
      </c>
      <c r="BI709">
        <v>-1329.1867719501315</v>
      </c>
      <c r="BJ709">
        <v>0.1119234546064316</v>
      </c>
    </row>
    <row r="710" spans="3:62" x14ac:dyDescent="0.2">
      <c r="C710" s="121">
        <v>66698.662526524859</v>
      </c>
      <c r="D710" s="121">
        <v>16.143872223381223</v>
      </c>
      <c r="E710" s="121">
        <v>67941.719045761187</v>
      </c>
      <c r="F710" s="121">
        <v>16.065867883437789</v>
      </c>
      <c r="G710" s="121">
        <v>-1243.0565192363283</v>
      </c>
      <c r="H710" s="121">
        <v>7.8004339943433365E-2</v>
      </c>
      <c r="N710" s="121"/>
      <c r="O710" s="121"/>
      <c r="P710" s="121"/>
      <c r="R710">
        <v>168.61597714524851</v>
      </c>
      <c r="S710">
        <v>56.422030446048076</v>
      </c>
      <c r="T710">
        <v>238.65694292391146</v>
      </c>
      <c r="U710">
        <v>94.026888268990461</v>
      </c>
      <c r="X710">
        <v>0.6982931241029241</v>
      </c>
      <c r="Y710">
        <v>0.92871688283779408</v>
      </c>
      <c r="Z710">
        <v>0.94032874083530205</v>
      </c>
      <c r="AA710">
        <v>0.5456565091347807</v>
      </c>
      <c r="AB710">
        <v>0.72214130854941394</v>
      </c>
      <c r="AC710">
        <v>0.90176656489691176</v>
      </c>
      <c r="AD710">
        <v>0.4625143145930109</v>
      </c>
      <c r="AE710">
        <v>0.87271642192637833</v>
      </c>
      <c r="AH710">
        <v>0.10980506312977056</v>
      </c>
      <c r="AI710">
        <v>9.9656654209239415E-2</v>
      </c>
      <c r="AJ710">
        <v>9.5033043679355944E-2</v>
      </c>
      <c r="AK710">
        <v>6.0086965340555909E-2</v>
      </c>
      <c r="AL710">
        <v>0.10453791817772529</v>
      </c>
      <c r="AM710">
        <v>0.11431731310627702</v>
      </c>
      <c r="AN710">
        <v>0.12387141772936805</v>
      </c>
      <c r="AO710">
        <v>0.1662299450620871</v>
      </c>
      <c r="AR710">
        <v>7.9608825210394213E-4</v>
      </c>
      <c r="AS710">
        <v>4.2838463364115635E-3</v>
      </c>
      <c r="AT710">
        <v>5.1959989473908674E-3</v>
      </c>
      <c r="AU710">
        <v>1.8963027596711269E-3</v>
      </c>
      <c r="AV710">
        <v>1.7338015884943365E-3</v>
      </c>
      <c r="AW710">
        <v>3.4207088180588929E-3</v>
      </c>
      <c r="AX710">
        <v>3.6246080095744256E-4</v>
      </c>
      <c r="AY710">
        <v>4.8393304338190113E-4</v>
      </c>
      <c r="BB710">
        <v>4.4603206748525859E-2</v>
      </c>
      <c r="BC710">
        <v>7.6007159958573212E-2</v>
      </c>
      <c r="BE710">
        <v>66698.662526524859</v>
      </c>
      <c r="BF710">
        <v>16.143872223381223</v>
      </c>
      <c r="BG710">
        <v>67941.719045761187</v>
      </c>
      <c r="BH710">
        <v>16.065867883437789</v>
      </c>
      <c r="BI710">
        <v>-1243.0565192363283</v>
      </c>
      <c r="BJ710">
        <v>7.8004339943433365E-2</v>
      </c>
    </row>
    <row r="711" spans="3:62" x14ac:dyDescent="0.2">
      <c r="C711" s="121">
        <v>65036.428056678407</v>
      </c>
      <c r="D711" s="121">
        <v>15.711967974938112</v>
      </c>
      <c r="E711" s="121">
        <v>66006.984845495943</v>
      </c>
      <c r="F711" s="121">
        <v>15.659974014338591</v>
      </c>
      <c r="G711" s="121">
        <v>-970.55678881753556</v>
      </c>
      <c r="H711" s="121">
        <v>5.1993960599521216E-2</v>
      </c>
      <c r="N711" s="121"/>
      <c r="O711" s="121"/>
      <c r="P711" s="121"/>
      <c r="R711">
        <v>157.40023744751554</v>
      </c>
      <c r="S711">
        <v>60.940079317157561</v>
      </c>
      <c r="T711">
        <v>219.31526248548579</v>
      </c>
      <c r="U711">
        <v>98.304328615347657</v>
      </c>
      <c r="X711">
        <v>0.70936176608826862</v>
      </c>
      <c r="Y711">
        <v>0.88410172922580121</v>
      </c>
      <c r="Z711">
        <v>0.84260462435436345</v>
      </c>
      <c r="AA711">
        <v>0.4457713698888896</v>
      </c>
      <c r="AB711">
        <v>0.63910188475080043</v>
      </c>
      <c r="AC711">
        <v>0.55810593218010596</v>
      </c>
      <c r="AD711">
        <v>0.63910750853000564</v>
      </c>
      <c r="AE711">
        <v>0.78122404431461634</v>
      </c>
      <c r="AH711">
        <v>0.14701496151412741</v>
      </c>
      <c r="AI711">
        <v>0.20909432853420407</v>
      </c>
      <c r="AJ711">
        <v>0.15446226528109341</v>
      </c>
      <c r="AK711">
        <v>0.18589821172505561</v>
      </c>
      <c r="AL711">
        <v>3.528554065017675E-2</v>
      </c>
      <c r="AM711">
        <v>4.2096181705930658E-2</v>
      </c>
      <c r="AN711">
        <v>7.9423192017941791E-2</v>
      </c>
      <c r="AO711">
        <v>0.40590529644485773</v>
      </c>
      <c r="AR711">
        <v>8.6155510013145051E-4</v>
      </c>
      <c r="AS711">
        <v>4.4616725916594374E-3</v>
      </c>
      <c r="AT711">
        <v>5.0779054276397506E-3</v>
      </c>
      <c r="AU711">
        <v>1.67002409132863E-3</v>
      </c>
      <c r="AV711">
        <v>2.0344265041426501E-3</v>
      </c>
      <c r="AW711">
        <v>3.015462761065668E-3</v>
      </c>
      <c r="AX711">
        <v>4.7384503443947956E-4</v>
      </c>
      <c r="AY711">
        <v>4.1515161849667146E-4</v>
      </c>
      <c r="BB711">
        <v>5.0565499048398688E-2</v>
      </c>
      <c r="BC711">
        <v>4.5799188768460508E-2</v>
      </c>
      <c r="BE711">
        <v>65036.428056678407</v>
      </c>
      <c r="BF711">
        <v>15.711967974938112</v>
      </c>
      <c r="BG711">
        <v>66006.984845495943</v>
      </c>
      <c r="BH711">
        <v>15.659974014338591</v>
      </c>
      <c r="BI711">
        <v>-970.55678881753556</v>
      </c>
      <c r="BJ711">
        <v>5.1993960599521216E-2</v>
      </c>
    </row>
    <row r="712" spans="3:62" x14ac:dyDescent="0.2">
      <c r="C712" s="121">
        <v>76027.630417333232</v>
      </c>
      <c r="D712" s="121">
        <v>15.066025634506776</v>
      </c>
      <c r="E712" s="121">
        <v>77159.119763445633</v>
      </c>
      <c r="F712" s="121">
        <v>15.003685594898236</v>
      </c>
      <c r="G712" s="121">
        <v>-1131.4893461124011</v>
      </c>
      <c r="H712" s="121">
        <v>6.2340039608539399E-2</v>
      </c>
      <c r="N712" s="121"/>
      <c r="O712" s="121"/>
      <c r="P712" s="121"/>
      <c r="R712">
        <v>361.67053766915012</v>
      </c>
      <c r="S712">
        <v>73.969732808142552</v>
      </c>
      <c r="T712">
        <v>251.0680012729668</v>
      </c>
      <c r="U712">
        <v>90.996604812446662</v>
      </c>
      <c r="X712">
        <v>0.71727475891476544</v>
      </c>
      <c r="Y712">
        <v>0.83602134170072939</v>
      </c>
      <c r="Z712">
        <v>0.60795565347157343</v>
      </c>
      <c r="AA712">
        <v>0.60804543914969822</v>
      </c>
      <c r="AB712">
        <v>0.69392107575377782</v>
      </c>
      <c r="AC712">
        <v>0.85484644626190387</v>
      </c>
      <c r="AD712">
        <v>0.66078074495697858</v>
      </c>
      <c r="AE712">
        <v>0.67587737952637605</v>
      </c>
      <c r="AH712">
        <v>1.0551743163495386E-2</v>
      </c>
      <c r="AI712">
        <v>0.16271285638174493</v>
      </c>
      <c r="AJ712">
        <v>0.19799285792035592</v>
      </c>
      <c r="AK712">
        <v>0.14566363727086529</v>
      </c>
      <c r="AL712">
        <v>0.12919472671175991</v>
      </c>
      <c r="AM712">
        <v>0.2380110917184306</v>
      </c>
      <c r="AN712">
        <v>4.6998910934933136E-2</v>
      </c>
      <c r="AO712">
        <v>3.6902483290486066E-2</v>
      </c>
      <c r="AR712">
        <v>9.4015740562980454E-4</v>
      </c>
      <c r="AS712">
        <v>4.611337405128646E-3</v>
      </c>
      <c r="AT712">
        <v>4.8687514848662601E-3</v>
      </c>
      <c r="AU712">
        <v>2.1715978758626298E-3</v>
      </c>
      <c r="AV712">
        <v>1.7822895372331261E-3</v>
      </c>
      <c r="AW712">
        <v>3.0849880940888416E-3</v>
      </c>
      <c r="AX712">
        <v>3.1775002276354544E-4</v>
      </c>
      <c r="AY712">
        <v>5.8631195675307168E-4</v>
      </c>
      <c r="BB712">
        <v>4.905166441987175E-2</v>
      </c>
      <c r="BC712">
        <v>2.8923158895084095E-2</v>
      </c>
      <c r="BE712">
        <v>76027.630417333232</v>
      </c>
      <c r="BF712">
        <v>15.066025634506776</v>
      </c>
      <c r="BG712">
        <v>77159.119763445633</v>
      </c>
      <c r="BH712">
        <v>15.003685594898236</v>
      </c>
      <c r="BI712">
        <v>-1131.4893461124011</v>
      </c>
      <c r="BJ712">
        <v>6.2340039608539399E-2</v>
      </c>
    </row>
    <row r="713" spans="3:62" x14ac:dyDescent="0.2">
      <c r="C713" s="121">
        <v>65270.376119628199</v>
      </c>
      <c r="D713" s="121">
        <v>16.641023108211048</v>
      </c>
      <c r="E713" s="121">
        <v>66847.910284578567</v>
      </c>
      <c r="F713" s="121">
        <v>16.513540219020751</v>
      </c>
      <c r="G713" s="121">
        <v>-1577.534164950368</v>
      </c>
      <c r="H713" s="121">
        <v>0.12748288919029704</v>
      </c>
      <c r="N713" s="121"/>
      <c r="O713" s="121"/>
      <c r="P713" s="121"/>
      <c r="R713">
        <v>215.16640717536671</v>
      </c>
      <c r="S713">
        <v>67.040584145526608</v>
      </c>
      <c r="T713">
        <v>212.63130755487518</v>
      </c>
      <c r="U713">
        <v>106.05037600776112</v>
      </c>
      <c r="X713">
        <v>0.81214466783656514</v>
      </c>
      <c r="Y713">
        <v>0.68066769217618239</v>
      </c>
      <c r="Z713">
        <v>0.87150452355124186</v>
      </c>
      <c r="AA713">
        <v>0.57374510958506764</v>
      </c>
      <c r="AB713">
        <v>0.67005547053218095</v>
      </c>
      <c r="AC713">
        <v>0.52186522162828175</v>
      </c>
      <c r="AD713">
        <v>0.86153843834962496</v>
      </c>
      <c r="AE713">
        <v>0.86556320272954923</v>
      </c>
      <c r="AH713">
        <v>2.306824398909213E-2</v>
      </c>
      <c r="AI713">
        <v>0.10495175096160092</v>
      </c>
      <c r="AJ713">
        <v>0.14323477474124102</v>
      </c>
      <c r="AK713">
        <v>0.1520377399728704</v>
      </c>
      <c r="AL713">
        <v>0.2415269279323955</v>
      </c>
      <c r="AM713">
        <v>0.27754858367487256</v>
      </c>
      <c r="AN713">
        <v>0.15715220910084404</v>
      </c>
      <c r="AO713">
        <v>0.16281586172911067</v>
      </c>
      <c r="AR713">
        <v>9.3584013919378872E-4</v>
      </c>
      <c r="AS713">
        <v>4.4708348343958397E-3</v>
      </c>
      <c r="AT713">
        <v>5.1415119760134242E-3</v>
      </c>
      <c r="AU713">
        <v>1.8225223706568401E-3</v>
      </c>
      <c r="AV713">
        <v>1.8613031483895124E-3</v>
      </c>
      <c r="AW713">
        <v>3.2695935973295182E-3</v>
      </c>
      <c r="AX713">
        <v>4.1343839851004649E-4</v>
      </c>
      <c r="AY713">
        <v>3.6224580907355969E-4</v>
      </c>
      <c r="BB713">
        <v>5.0579274807969643E-2</v>
      </c>
      <c r="BC713">
        <v>5.8798079299353545E-2</v>
      </c>
      <c r="BE713">
        <v>65270.376119628199</v>
      </c>
      <c r="BF713">
        <v>16.641023108211048</v>
      </c>
      <c r="BG713">
        <v>66847.910284578567</v>
      </c>
      <c r="BH713">
        <v>16.513540219020751</v>
      </c>
      <c r="BI713">
        <v>-1577.534164950368</v>
      </c>
      <c r="BJ713">
        <v>0.12748288919029704</v>
      </c>
    </row>
    <row r="714" spans="3:62" x14ac:dyDescent="0.2">
      <c r="C714" s="121">
        <v>69787.925248785265</v>
      </c>
      <c r="D714" s="121">
        <v>17.160626372262385</v>
      </c>
      <c r="E714" s="121">
        <v>71967.503693948674</v>
      </c>
      <c r="F714" s="121">
        <v>17.006682489515338</v>
      </c>
      <c r="G714" s="121">
        <v>-2179.5784451634099</v>
      </c>
      <c r="H714" s="121">
        <v>0.15394388274704696</v>
      </c>
      <c r="N714" s="121"/>
      <c r="O714" s="121"/>
      <c r="P714" s="121"/>
      <c r="R714">
        <v>201.8997295501859</v>
      </c>
      <c r="S714">
        <v>60.932979151104085</v>
      </c>
      <c r="T714">
        <v>257.7406582705047</v>
      </c>
      <c r="U714">
        <v>85.314063492622239</v>
      </c>
      <c r="X714">
        <v>0.52836754987738788</v>
      </c>
      <c r="Y714">
        <v>0.67676608691903539</v>
      </c>
      <c r="Z714">
        <v>0.87203778107311236</v>
      </c>
      <c r="AA714">
        <v>0.61871526331840165</v>
      </c>
      <c r="AB714">
        <v>0.79259744209303917</v>
      </c>
      <c r="AC714">
        <v>0.8098355080820665</v>
      </c>
      <c r="AD714">
        <v>0.37639907302192632</v>
      </c>
      <c r="AE714">
        <v>0.67800510914511736</v>
      </c>
      <c r="AH714">
        <v>2.1097882447513205E-2</v>
      </c>
      <c r="AI714">
        <v>0.25118482627464467</v>
      </c>
      <c r="AJ714">
        <v>5.7116047934970604E-2</v>
      </c>
      <c r="AK714">
        <v>3.3321276371271136E-2</v>
      </c>
      <c r="AL714">
        <v>7.0881533769741933E-2</v>
      </c>
      <c r="AM714">
        <v>0.16526060194406689</v>
      </c>
      <c r="AN714">
        <v>0.19693846474692023</v>
      </c>
      <c r="AO714">
        <v>0.11255785617597891</v>
      </c>
      <c r="AR714">
        <v>9.8713075145906437E-4</v>
      </c>
      <c r="AS714">
        <v>4.2658821697939761E-3</v>
      </c>
      <c r="AT714">
        <v>4.7096814428676578E-3</v>
      </c>
      <c r="AU714">
        <v>2.1628302262801657E-3</v>
      </c>
      <c r="AV714">
        <v>1.6947593926658492E-3</v>
      </c>
      <c r="AW714">
        <v>3.4932432165222238E-3</v>
      </c>
      <c r="AX714">
        <v>4.145343483249464E-4</v>
      </c>
      <c r="AY714">
        <v>4.2241732463670588E-4</v>
      </c>
      <c r="BB714">
        <v>5.284374514700485E-2</v>
      </c>
      <c r="BC714">
        <v>5.957178437609123E-2</v>
      </c>
      <c r="BE714">
        <v>69787.925248785265</v>
      </c>
      <c r="BF714">
        <v>17.160626372262385</v>
      </c>
      <c r="BG714">
        <v>71967.503693948674</v>
      </c>
      <c r="BH714">
        <v>17.006682489515338</v>
      </c>
      <c r="BI714">
        <v>-2179.5784451634099</v>
      </c>
      <c r="BJ714">
        <v>0.15394388274704696</v>
      </c>
    </row>
    <row r="715" spans="3:62" x14ac:dyDescent="0.2">
      <c r="C715" s="121">
        <v>70155.167175273629</v>
      </c>
      <c r="D715" s="121">
        <v>16.592067561633922</v>
      </c>
      <c r="E715" s="121">
        <v>71822.518236540855</v>
      </c>
      <c r="F715" s="121">
        <v>16.464762833289228</v>
      </c>
      <c r="G715" s="121">
        <v>-1667.3510612672253</v>
      </c>
      <c r="H715" s="121">
        <v>0.12730472834469353</v>
      </c>
      <c r="N715" s="121"/>
      <c r="O715" s="121"/>
      <c r="P715" s="121"/>
      <c r="R715">
        <v>297.25045971555221</v>
      </c>
      <c r="S715">
        <v>51.31622009557605</v>
      </c>
      <c r="T715">
        <v>198.68037259323714</v>
      </c>
      <c r="U715">
        <v>75.081669667648157</v>
      </c>
      <c r="X715">
        <v>0.78870056957234791</v>
      </c>
      <c r="Y715">
        <v>0.61587989744011928</v>
      </c>
      <c r="Z715">
        <v>0.87156483771543658</v>
      </c>
      <c r="AA715">
        <v>0.91522753067676066</v>
      </c>
      <c r="AB715">
        <v>0.82827527666222567</v>
      </c>
      <c r="AC715">
        <v>0.86669067841597069</v>
      </c>
      <c r="AD715">
        <v>0.8128614189777813</v>
      </c>
      <c r="AE715">
        <v>0.86343278831062353</v>
      </c>
      <c r="AH715">
        <v>0.26341962660557527</v>
      </c>
      <c r="AI715">
        <v>2.7111135834147926E-2</v>
      </c>
      <c r="AJ715">
        <v>5.1005669341058324E-2</v>
      </c>
      <c r="AK715">
        <v>0.11563425576978248</v>
      </c>
      <c r="AL715">
        <v>0.12639577071101538</v>
      </c>
      <c r="AM715">
        <v>0.25013664497174104</v>
      </c>
      <c r="AN715">
        <v>5.4729525598167683E-2</v>
      </c>
      <c r="AO715">
        <v>0.34785806123538432</v>
      </c>
      <c r="AR715">
        <v>8.1932130565872915E-4</v>
      </c>
      <c r="AS715">
        <v>4.8667406758946541E-3</v>
      </c>
      <c r="AT715">
        <v>4.8879386387278897E-3</v>
      </c>
      <c r="AU715">
        <v>1.8633228588876647E-3</v>
      </c>
      <c r="AV715">
        <v>2.1019238373656268E-3</v>
      </c>
      <c r="AW715">
        <v>3.0796794808405636E-3</v>
      </c>
      <c r="AX715">
        <v>4.0711531563009107E-4</v>
      </c>
      <c r="AY715">
        <v>3.826647084936811E-4</v>
      </c>
      <c r="BB715">
        <v>5.0663568510999957E-2</v>
      </c>
      <c r="BC715">
        <v>5.0410456585051278E-2</v>
      </c>
      <c r="BE715">
        <v>70155.167175273629</v>
      </c>
      <c r="BF715">
        <v>16.592067561633922</v>
      </c>
      <c r="BG715">
        <v>71822.518236540855</v>
      </c>
      <c r="BH715">
        <v>16.464762833289228</v>
      </c>
      <c r="BI715">
        <v>-1667.3510612672253</v>
      </c>
      <c r="BJ715">
        <v>0.12730472834469353</v>
      </c>
    </row>
    <row r="716" spans="3:62" x14ac:dyDescent="0.2">
      <c r="C716" s="121">
        <v>69311.10694607468</v>
      </c>
      <c r="D716" s="121">
        <v>17.139531767949656</v>
      </c>
      <c r="E716" s="121">
        <v>70980.952674335422</v>
      </c>
      <c r="F716" s="121">
        <v>17.036288617668237</v>
      </c>
      <c r="G716" s="121">
        <v>-1669.8457282607415</v>
      </c>
      <c r="H716" s="121">
        <v>0.10324315028141839</v>
      </c>
      <c r="N716" s="121"/>
      <c r="O716" s="121"/>
      <c r="P716" s="121"/>
      <c r="R716">
        <v>234.97559793593271</v>
      </c>
      <c r="S716">
        <v>69.328063332757296</v>
      </c>
      <c r="T716">
        <v>215.60535058963922</v>
      </c>
      <c r="U716">
        <v>93.520592522168727</v>
      </c>
      <c r="X716">
        <v>0.8939614672049343</v>
      </c>
      <c r="Y716">
        <v>0.82375993130083613</v>
      </c>
      <c r="Z716">
        <v>0.72116915353238642</v>
      </c>
      <c r="AA716">
        <v>0.56083056553884258</v>
      </c>
      <c r="AB716">
        <v>0.85132947248947588</v>
      </c>
      <c r="AC716">
        <v>0.73370121125363874</v>
      </c>
      <c r="AD716">
        <v>0.91478864023007556</v>
      </c>
      <c r="AE716">
        <v>0.86361922307681649</v>
      </c>
      <c r="AH716">
        <v>0.11664129321246675</v>
      </c>
      <c r="AI716">
        <v>0.30142663652823687</v>
      </c>
      <c r="AJ716">
        <v>0.11224174346140214</v>
      </c>
      <c r="AK716">
        <v>5.9826364378892771E-2</v>
      </c>
      <c r="AL716">
        <v>4.5850249692648948E-2</v>
      </c>
      <c r="AM716">
        <v>0.26439482772886502</v>
      </c>
      <c r="AN716">
        <v>3.0021055690971021E-2</v>
      </c>
      <c r="AO716">
        <v>7.8311658761642811E-3</v>
      </c>
      <c r="AR716">
        <v>9.5359785337523206E-4</v>
      </c>
      <c r="AS716">
        <v>4.427579774152637E-3</v>
      </c>
      <c r="AT716">
        <v>5.00939893199015E-3</v>
      </c>
      <c r="AU716">
        <v>2.0289781958110487E-3</v>
      </c>
      <c r="AV716">
        <v>1.8422573021993115E-3</v>
      </c>
      <c r="AW716">
        <v>3.7278365298442084E-3</v>
      </c>
      <c r="AX716">
        <v>3.6132209436007809E-4</v>
      </c>
      <c r="AY716">
        <v>3.7590378716653006E-4</v>
      </c>
      <c r="BB716">
        <v>5.3850457062060708E-2</v>
      </c>
      <c r="BC716">
        <v>5.68857181541087E-2</v>
      </c>
      <c r="BE716">
        <v>69311.10694607468</v>
      </c>
      <c r="BF716">
        <v>17.139531767949656</v>
      </c>
      <c r="BG716">
        <v>70980.952674335422</v>
      </c>
      <c r="BH716">
        <v>17.036288617668237</v>
      </c>
      <c r="BI716">
        <v>-1669.8457282607415</v>
      </c>
      <c r="BJ716">
        <v>0.10324315028141839</v>
      </c>
    </row>
    <row r="717" spans="3:62" x14ac:dyDescent="0.2">
      <c r="C717" s="121">
        <v>75755.104737690956</v>
      </c>
      <c r="D717" s="121">
        <v>15.291056792333427</v>
      </c>
      <c r="E717" s="121">
        <v>77605.442303102798</v>
      </c>
      <c r="F717" s="121">
        <v>15.13990123501789</v>
      </c>
      <c r="G717" s="121">
        <v>-1850.3375654118427</v>
      </c>
      <c r="H717" s="121">
        <v>0.15115555731553698</v>
      </c>
      <c r="N717" s="121"/>
      <c r="O717" s="121"/>
      <c r="P717" s="121"/>
      <c r="R717">
        <v>146.02378643682647</v>
      </c>
      <c r="S717">
        <v>63.024637108977565</v>
      </c>
      <c r="T717">
        <v>262.54469672640323</v>
      </c>
      <c r="U717">
        <v>84.014556578716878</v>
      </c>
      <c r="X717">
        <v>0.64761684520129847</v>
      </c>
      <c r="Y717">
        <v>0.86618155813228404</v>
      </c>
      <c r="Z717">
        <v>0.69534212104990789</v>
      </c>
      <c r="AA717">
        <v>0.83351114485459088</v>
      </c>
      <c r="AB717">
        <v>0.79095017121916267</v>
      </c>
      <c r="AC717">
        <v>0.821096047224676</v>
      </c>
      <c r="AD717">
        <v>0.74006925094490605</v>
      </c>
      <c r="AE717">
        <v>0.89886361839171536</v>
      </c>
      <c r="AH717">
        <v>0.18737462098115965</v>
      </c>
      <c r="AI717">
        <v>5.7184558419385745E-2</v>
      </c>
      <c r="AJ717">
        <v>5.7327799840077409E-2</v>
      </c>
      <c r="AK717">
        <v>4.211370989695018E-2</v>
      </c>
      <c r="AL717">
        <v>0.30637640917852105</v>
      </c>
      <c r="AM717">
        <v>0.14641197723927701</v>
      </c>
      <c r="AN717">
        <v>9.0460566517098218E-2</v>
      </c>
      <c r="AO717">
        <v>0.16986327457718431</v>
      </c>
      <c r="AR717">
        <v>7.5485392090216409E-4</v>
      </c>
      <c r="AS717">
        <v>4.6517061316200259E-3</v>
      </c>
      <c r="AT717">
        <v>4.9676657002200031E-3</v>
      </c>
      <c r="AU717">
        <v>2.0344740806909067E-3</v>
      </c>
      <c r="AV717">
        <v>1.8953394187363336E-3</v>
      </c>
      <c r="AW717">
        <v>3.2734752403940038E-3</v>
      </c>
      <c r="AX717">
        <v>4.2085892284460247E-4</v>
      </c>
      <c r="AY717">
        <v>3.5288892935679696E-4</v>
      </c>
      <c r="BB717">
        <v>5.0997581698610128E-2</v>
      </c>
      <c r="BC717">
        <v>6.1486857864546329E-2</v>
      </c>
      <c r="BE717">
        <v>75755.104737690956</v>
      </c>
      <c r="BF717">
        <v>15.291056792333427</v>
      </c>
      <c r="BG717">
        <v>77605.442303102798</v>
      </c>
      <c r="BH717">
        <v>15.13990123501789</v>
      </c>
      <c r="BI717">
        <v>-1850.3375654118427</v>
      </c>
      <c r="BJ717">
        <v>0.15115555731553698</v>
      </c>
    </row>
    <row r="718" spans="3:62" x14ac:dyDescent="0.2">
      <c r="C718" s="121">
        <v>68768.416220442392</v>
      </c>
      <c r="D718" s="121">
        <v>14.901119601667741</v>
      </c>
      <c r="E718" s="121">
        <v>70739.48568567817</v>
      </c>
      <c r="F718" s="121">
        <v>14.772175389400894</v>
      </c>
      <c r="G718" s="121">
        <v>-1971.0694652357779</v>
      </c>
      <c r="H718" s="121">
        <v>0.12894421226684649</v>
      </c>
      <c r="N718" s="121"/>
      <c r="O718" s="121"/>
      <c r="P718" s="121"/>
      <c r="R718">
        <v>177.14369011056721</v>
      </c>
      <c r="S718">
        <v>61.750539902991363</v>
      </c>
      <c r="T718">
        <v>223.36871017031353</v>
      </c>
      <c r="U718">
        <v>74.177911705209354</v>
      </c>
      <c r="X718">
        <v>0.91764464619821007</v>
      </c>
      <c r="Y718">
        <v>0.92621993226160282</v>
      </c>
      <c r="Z718">
        <v>0.54492966957582867</v>
      </c>
      <c r="AA718">
        <v>0.69804090615516701</v>
      </c>
      <c r="AB718">
        <v>0.83437159864675614</v>
      </c>
      <c r="AC718">
        <v>0.76300386959599897</v>
      </c>
      <c r="AD718">
        <v>0.66608359220612956</v>
      </c>
      <c r="AE718">
        <v>0.49720363811518969</v>
      </c>
      <c r="AH718">
        <v>9.6721200469374824E-2</v>
      </c>
      <c r="AI718">
        <v>0.16492562892500062</v>
      </c>
      <c r="AJ718">
        <v>0.16863333491098309</v>
      </c>
      <c r="AK718">
        <v>9.4995196699969919E-2</v>
      </c>
      <c r="AL718">
        <v>0.19512364926700143</v>
      </c>
      <c r="AM718">
        <v>7.2883671930115135E-2</v>
      </c>
      <c r="AN718">
        <v>0.11952196358333356</v>
      </c>
      <c r="AO718">
        <v>0.18070544388812182</v>
      </c>
      <c r="AR718">
        <v>8.342626141568712E-4</v>
      </c>
      <c r="AS718">
        <v>4.6449969747158759E-3</v>
      </c>
      <c r="AT718">
        <v>4.4720735148477825E-3</v>
      </c>
      <c r="AU718">
        <v>2.1473965051844734E-3</v>
      </c>
      <c r="AV718">
        <v>2.1875225221453798E-3</v>
      </c>
      <c r="AW718">
        <v>3.4385722026826215E-3</v>
      </c>
      <c r="AX718">
        <v>4.4326948980055736E-4</v>
      </c>
      <c r="AY718">
        <v>4.4074487337633314E-4</v>
      </c>
      <c r="BB718">
        <v>4.9012603423625747E-2</v>
      </c>
      <c r="BC718">
        <v>4.1546963110140667E-2</v>
      </c>
      <c r="BE718">
        <v>68768.416220442392</v>
      </c>
      <c r="BF718">
        <v>14.901119601667741</v>
      </c>
      <c r="BG718">
        <v>70739.48568567817</v>
      </c>
      <c r="BH718">
        <v>14.772175389400894</v>
      </c>
      <c r="BI718">
        <v>-1971.0694652357779</v>
      </c>
      <c r="BJ718">
        <v>0.12894421226684649</v>
      </c>
    </row>
    <row r="719" spans="3:62" x14ac:dyDescent="0.2">
      <c r="C719" s="121">
        <v>70132.986804934219</v>
      </c>
      <c r="D719" s="121">
        <v>17.300959293162411</v>
      </c>
      <c r="E719" s="121">
        <v>71188.729266688359</v>
      </c>
      <c r="F719" s="121">
        <v>17.227562249375779</v>
      </c>
      <c r="G719" s="121">
        <v>-1055.7424617541401</v>
      </c>
      <c r="H719" s="121">
        <v>7.3397043786631144E-2</v>
      </c>
      <c r="N719" s="121"/>
      <c r="O719" s="121"/>
      <c r="P719" s="121"/>
      <c r="R719">
        <v>197.7137027691748</v>
      </c>
      <c r="S719">
        <v>71.460455969664366</v>
      </c>
      <c r="T719">
        <v>276.70659374615116</v>
      </c>
      <c r="U719">
        <v>111.28177658905425</v>
      </c>
      <c r="X719">
        <v>0.78200663363551404</v>
      </c>
      <c r="Y719">
        <v>0.92236820647500206</v>
      </c>
      <c r="Z719">
        <v>0.78352569264183003</v>
      </c>
      <c r="AA719">
        <v>0.73919494345273906</v>
      </c>
      <c r="AB719">
        <v>0.89497041113562981</v>
      </c>
      <c r="AC719">
        <v>0.72281804892605905</v>
      </c>
      <c r="AD719">
        <v>0.79077238704057795</v>
      </c>
      <c r="AE719">
        <v>0.84440585990300276</v>
      </c>
      <c r="AH719">
        <v>0.2316106305221417</v>
      </c>
      <c r="AI719">
        <v>4.6369009387756899E-2</v>
      </c>
      <c r="AJ719">
        <v>0.1893729409862176</v>
      </c>
      <c r="AK719">
        <v>1.9090555233684969E-2</v>
      </c>
      <c r="AL719">
        <v>0.11401267493976253</v>
      </c>
      <c r="AM719">
        <v>0.14810919200070594</v>
      </c>
      <c r="AN719">
        <v>0.10374508846339392</v>
      </c>
      <c r="AO719">
        <v>4.1095129750345238E-2</v>
      </c>
      <c r="AR719">
        <v>1.0073227559938003E-3</v>
      </c>
      <c r="AS719">
        <v>4.3895381734238527E-3</v>
      </c>
      <c r="AT719">
        <v>4.9723439707265449E-3</v>
      </c>
      <c r="AU719">
        <v>1.969123624509204E-3</v>
      </c>
      <c r="AV719">
        <v>2.1305065241497001E-3</v>
      </c>
      <c r="AW719">
        <v>3.2923143223683436E-3</v>
      </c>
      <c r="AX719">
        <v>4.6234425868574291E-4</v>
      </c>
      <c r="AY719">
        <v>3.9195230924161278E-4</v>
      </c>
      <c r="BB719">
        <v>5.8702682773585368E-2</v>
      </c>
      <c r="BC719">
        <v>6.191153511132419E-2</v>
      </c>
      <c r="BE719">
        <v>70132.986804934219</v>
      </c>
      <c r="BF719">
        <v>17.300959293162411</v>
      </c>
      <c r="BG719">
        <v>71188.729266688359</v>
      </c>
      <c r="BH719">
        <v>17.227562249375779</v>
      </c>
      <c r="BI719">
        <v>-1055.7424617541401</v>
      </c>
      <c r="BJ719">
        <v>7.3397043786631144E-2</v>
      </c>
    </row>
    <row r="720" spans="3:62" x14ac:dyDescent="0.2">
      <c r="C720" s="121">
        <v>72171.579243768821</v>
      </c>
      <c r="D720">
        <v>16.530868499781779</v>
      </c>
      <c r="E720" s="121">
        <v>74117.862189193766</v>
      </c>
      <c r="F720" s="121">
        <v>16.413580230909904</v>
      </c>
      <c r="G720" s="121">
        <v>-1946.282945424944</v>
      </c>
      <c r="H720" s="121">
        <v>0.11728826887187438</v>
      </c>
      <c r="N720" s="121"/>
      <c r="O720" s="121"/>
      <c r="P720" s="121"/>
      <c r="R720">
        <v>292.08828126990437</v>
      </c>
      <c r="S720">
        <v>76.320549777197797</v>
      </c>
      <c r="T720">
        <v>238.93435367493115</v>
      </c>
      <c r="U720">
        <v>90.700084014834573</v>
      </c>
      <c r="X720">
        <v>0.88770501538461777</v>
      </c>
      <c r="Y720">
        <v>0.67603204403011097</v>
      </c>
      <c r="Z720">
        <v>0.65756868582255323</v>
      </c>
      <c r="AA720">
        <v>0.67985335808677005</v>
      </c>
      <c r="AB720">
        <v>0.67751429543380992</v>
      </c>
      <c r="AC720">
        <v>0.79664033104059229</v>
      </c>
      <c r="AD720">
        <v>0.27136590563135177</v>
      </c>
      <c r="AE720">
        <v>0.73259094736821839</v>
      </c>
      <c r="AH720">
        <v>0.11588706649459568</v>
      </c>
      <c r="AI720">
        <v>4.1701418707860149E-2</v>
      </c>
      <c r="AJ720">
        <v>0.21171121554758199</v>
      </c>
      <c r="AK720">
        <v>7.9584588862649186E-2</v>
      </c>
      <c r="AL720">
        <v>0.18175670874563699</v>
      </c>
      <c r="AM720">
        <v>7.3292595214830336E-2</v>
      </c>
      <c r="AN720">
        <v>0.12151263387750899</v>
      </c>
      <c r="AO720">
        <v>7.2372759860488856E-2</v>
      </c>
      <c r="AR720">
        <v>1.053699110016959E-3</v>
      </c>
      <c r="AS720">
        <v>4.6090185695977226E-3</v>
      </c>
      <c r="AT720">
        <v>4.8618650768428254E-3</v>
      </c>
      <c r="AU720">
        <v>1.676410431045245E-3</v>
      </c>
      <c r="AV720">
        <v>1.9145424380186905E-3</v>
      </c>
      <c r="AW720">
        <v>3.3112247016823422E-3</v>
      </c>
      <c r="AX720">
        <v>3.7037382636993945E-4</v>
      </c>
      <c r="AY720">
        <v>5.1719071471345579E-4</v>
      </c>
      <c r="BB720">
        <v>5.0068873564104277E-2</v>
      </c>
      <c r="BC720">
        <v>6.1918127834072911E-2</v>
      </c>
      <c r="BE720">
        <v>72171.579243768821</v>
      </c>
      <c r="BF720">
        <v>16.530868499781779</v>
      </c>
      <c r="BG720">
        <v>74117.862189193766</v>
      </c>
      <c r="BH720">
        <v>16.413580230909904</v>
      </c>
      <c r="BI720">
        <v>-1946.282945424944</v>
      </c>
      <c r="BJ720">
        <v>0.11728826887187438</v>
      </c>
    </row>
    <row r="721" spans="3:62" x14ac:dyDescent="0.2">
      <c r="C721" s="121">
        <v>78424.522459574946</v>
      </c>
      <c r="D721">
        <v>16.38484250333029</v>
      </c>
      <c r="E721" s="121">
        <v>80272.014305907505</v>
      </c>
      <c r="F721" s="121">
        <v>16.266049524793502</v>
      </c>
      <c r="G721" s="121">
        <v>-1847.4918463325594</v>
      </c>
      <c r="H721" s="121">
        <v>0.1187929785367885</v>
      </c>
      <c r="N721" s="121"/>
      <c r="O721" s="121"/>
      <c r="P721" s="121"/>
      <c r="R721">
        <v>424.41722310610169</v>
      </c>
      <c r="S721">
        <v>60.832271255011591</v>
      </c>
      <c r="T721">
        <v>244.31046650339241</v>
      </c>
      <c r="U721">
        <v>95.23428434930733</v>
      </c>
      <c r="X721">
        <v>0.68303047264772032</v>
      </c>
      <c r="Y721">
        <v>0.66847568375422983</v>
      </c>
      <c r="Z721">
        <v>0.7503210321428857</v>
      </c>
      <c r="AA721">
        <v>0.72845034531027464</v>
      </c>
      <c r="AB721">
        <v>0.8324741058395887</v>
      </c>
      <c r="AC721">
        <v>0.92538087719475293</v>
      </c>
      <c r="AD721">
        <v>0.8565001093917558</v>
      </c>
      <c r="AE721">
        <v>0.94587317918976221</v>
      </c>
      <c r="AH721">
        <v>9.2689934603989554E-2</v>
      </c>
      <c r="AI721">
        <v>0.36135911603803683</v>
      </c>
      <c r="AJ721">
        <v>5.8470958029329889E-2</v>
      </c>
      <c r="AK721">
        <v>0.18019170253395123</v>
      </c>
      <c r="AL721">
        <v>0.27579388244028358</v>
      </c>
      <c r="AM721">
        <v>6.0123622213268835E-2</v>
      </c>
      <c r="AN721">
        <v>0.22488807254427967</v>
      </c>
      <c r="AO721">
        <v>6.2722089140959891E-2</v>
      </c>
      <c r="AR721">
        <v>9.5111183382046161E-4</v>
      </c>
      <c r="AS721">
        <v>4.4889581530158356E-3</v>
      </c>
      <c r="AT721">
        <v>5.0116741166054135E-3</v>
      </c>
      <c r="AU721">
        <v>2.0718411729573338E-3</v>
      </c>
      <c r="AV721">
        <v>1.853103281987358E-3</v>
      </c>
      <c r="AW721">
        <v>3.4742007267457575E-3</v>
      </c>
      <c r="AX721">
        <v>3.5152127358710857E-4</v>
      </c>
      <c r="AY721">
        <v>3.7551613531288655E-4</v>
      </c>
      <c r="BB721">
        <v>4.8438331532911286E-2</v>
      </c>
      <c r="BC721">
        <v>6.3790380897901899E-2</v>
      </c>
      <c r="BE721">
        <v>78424.522459574946</v>
      </c>
      <c r="BF721">
        <v>16.38484250333029</v>
      </c>
      <c r="BG721">
        <v>80272.014305907505</v>
      </c>
      <c r="BH721">
        <v>16.266049524793502</v>
      </c>
      <c r="BI721">
        <v>-1847.4918463325594</v>
      </c>
      <c r="BJ721">
        <v>0.1187929785367885</v>
      </c>
    </row>
    <row r="722" spans="3:62" x14ac:dyDescent="0.2">
      <c r="C722" s="121">
        <v>67126.748523600807</v>
      </c>
      <c r="D722">
        <v>16.786462545746868</v>
      </c>
      <c r="E722" s="121">
        <v>68994.152640535976</v>
      </c>
      <c r="F722" s="121">
        <v>16.65002875664613</v>
      </c>
      <c r="G722" s="121">
        <v>-1867.4041169351694</v>
      </c>
      <c r="H722" s="121">
        <v>0.13643378910073878</v>
      </c>
      <c r="N722" s="121"/>
      <c r="O722" s="121"/>
      <c r="P722" s="121"/>
      <c r="R722">
        <v>323.38296185289533</v>
      </c>
      <c r="S722">
        <v>70.69289780388074</v>
      </c>
      <c r="T722">
        <v>278.27981759344539</v>
      </c>
      <c r="U722">
        <v>73.068882175378718</v>
      </c>
      <c r="X722">
        <v>0.53107601111070679</v>
      </c>
      <c r="Y722">
        <v>0.78938093723370539</v>
      </c>
      <c r="Z722">
        <v>0.8261266881315763</v>
      </c>
      <c r="AA722">
        <v>0.80516126018044032</v>
      </c>
      <c r="AB722">
        <v>0.70169853731397713</v>
      </c>
      <c r="AC722">
        <v>0.7890861731246358</v>
      </c>
      <c r="AD722">
        <v>0.7405654749004118</v>
      </c>
      <c r="AE722">
        <v>0.69362834216669544</v>
      </c>
      <c r="AH722">
        <v>9.2603014989758758E-2</v>
      </c>
      <c r="AI722">
        <v>0.13712579468800024</v>
      </c>
      <c r="AJ722">
        <v>0.19730274062469255</v>
      </c>
      <c r="AK722">
        <v>0.1285950609851092</v>
      </c>
      <c r="AL722">
        <v>0.12397010974619582</v>
      </c>
      <c r="AM722">
        <v>2.5861793426844693E-2</v>
      </c>
      <c r="AN722">
        <v>5.5626663895743222E-2</v>
      </c>
      <c r="AO722">
        <v>8.6224879633670426E-2</v>
      </c>
      <c r="AR722">
        <v>9.4889629535743758E-4</v>
      </c>
      <c r="AS722">
        <v>4.5510460514915918E-3</v>
      </c>
      <c r="AT722">
        <v>5.176215720903099E-3</v>
      </c>
      <c r="AU722">
        <v>2.0099115731215811E-3</v>
      </c>
      <c r="AV722">
        <v>1.8494369084631301E-3</v>
      </c>
      <c r="AW722">
        <v>3.5744777380030124E-3</v>
      </c>
      <c r="AX722">
        <v>3.7126915356954675E-4</v>
      </c>
      <c r="AY722">
        <v>5.4436017437176076E-4</v>
      </c>
      <c r="BB722">
        <v>4.6328096427025435E-2</v>
      </c>
      <c r="BC722">
        <v>4.0648963768881045E-2</v>
      </c>
      <c r="BE722">
        <v>67126.748523600807</v>
      </c>
      <c r="BF722">
        <v>16.786462545746868</v>
      </c>
      <c r="BG722">
        <v>68994.152640535976</v>
      </c>
      <c r="BH722">
        <v>16.65002875664613</v>
      </c>
      <c r="BI722">
        <v>-1867.4041169351694</v>
      </c>
      <c r="BJ722">
        <v>0.13643378910073878</v>
      </c>
    </row>
    <row r="723" spans="3:62" x14ac:dyDescent="0.2">
      <c r="C723" s="121">
        <v>71065.674895001721</v>
      </c>
      <c r="D723">
        <v>16.640931590380923</v>
      </c>
      <c r="E723" s="121">
        <v>73765.850795394217</v>
      </c>
      <c r="F723" s="121">
        <v>16.469964374444118</v>
      </c>
      <c r="G723" s="121">
        <v>-2700.1759003924963</v>
      </c>
      <c r="H723" s="121">
        <v>0.17096721593680542</v>
      </c>
      <c r="N723" s="121"/>
      <c r="O723" s="121"/>
      <c r="P723" s="121"/>
      <c r="R723">
        <v>43.097055065566906</v>
      </c>
      <c r="S723">
        <v>67.6892160527524</v>
      </c>
      <c r="T723">
        <v>230.51470459293935</v>
      </c>
      <c r="U723">
        <v>82.750629827102472</v>
      </c>
      <c r="X723">
        <v>0.69720002049788132</v>
      </c>
      <c r="Y723">
        <v>0.78799396954748724</v>
      </c>
      <c r="Z723">
        <v>0.72741146376961996</v>
      </c>
      <c r="AA723">
        <v>0.81568609934540059</v>
      </c>
      <c r="AB723">
        <v>0.50598884333749483</v>
      </c>
      <c r="AC723">
        <v>0.68101858973883711</v>
      </c>
      <c r="AD723">
        <v>0.67381413279159219</v>
      </c>
      <c r="AE723">
        <v>0.56916422234677788</v>
      </c>
      <c r="AH723">
        <v>0.16338880561196878</v>
      </c>
      <c r="AI723">
        <v>0.23942318562593212</v>
      </c>
      <c r="AJ723">
        <v>0.22576994002758954</v>
      </c>
      <c r="AK723">
        <v>0.13824398026301066</v>
      </c>
      <c r="AL723">
        <v>0.12074395508405644</v>
      </c>
      <c r="AM723">
        <v>0.11599604080070991</v>
      </c>
      <c r="AN723">
        <v>6.2651446960519608E-2</v>
      </c>
      <c r="AO723">
        <v>2.623731472258739E-2</v>
      </c>
      <c r="AR723">
        <v>8.2955121688293011E-4</v>
      </c>
      <c r="AS723">
        <v>4.6704185924911767E-3</v>
      </c>
      <c r="AT723">
        <v>4.7793239180222383E-3</v>
      </c>
      <c r="AU723">
        <v>1.977998127703402E-3</v>
      </c>
      <c r="AV723">
        <v>1.9123776239681806E-3</v>
      </c>
      <c r="AW723">
        <v>3.141366146993545E-3</v>
      </c>
      <c r="AX723">
        <v>4.0619841773592569E-4</v>
      </c>
      <c r="AY723">
        <v>4.4550844941921073E-4</v>
      </c>
      <c r="BB723">
        <v>4.6932543384164964E-2</v>
      </c>
      <c r="BC723">
        <v>3.4853616405933825E-2</v>
      </c>
      <c r="BE723">
        <v>71065.674895001721</v>
      </c>
      <c r="BF723">
        <v>16.640931590380923</v>
      </c>
      <c r="BG723">
        <v>73765.850795394217</v>
      </c>
      <c r="BH723">
        <v>16.469964374444118</v>
      </c>
      <c r="BI723">
        <v>-2700.1759003924963</v>
      </c>
      <c r="BJ723">
        <v>0.17096721593680542</v>
      </c>
    </row>
    <row r="724" spans="3:62" x14ac:dyDescent="0.2">
      <c r="C724" s="121">
        <v>71138.191887745546</v>
      </c>
      <c r="D724">
        <v>17.621830333254</v>
      </c>
      <c r="E724" s="121">
        <v>72920.576063070708</v>
      </c>
      <c r="F724" s="121">
        <v>17.502391660064838</v>
      </c>
      <c r="G724" s="121">
        <v>-1782.3841753251618</v>
      </c>
      <c r="H724" s="121">
        <v>0.1194386731891619</v>
      </c>
      <c r="N724" s="121"/>
      <c r="O724" s="121"/>
      <c r="P724" s="121"/>
      <c r="R724">
        <v>284.10651680009238</v>
      </c>
      <c r="S724">
        <v>70.672287443220554</v>
      </c>
      <c r="T724">
        <v>246.06760595528323</v>
      </c>
      <c r="U724">
        <v>93.52029647501945</v>
      </c>
      <c r="X724">
        <v>0.65139679320116639</v>
      </c>
      <c r="Y724">
        <v>0.61772566190568257</v>
      </c>
      <c r="Z724">
        <v>0.7601238814520952</v>
      </c>
      <c r="AA724">
        <v>0.77384497630984361</v>
      </c>
      <c r="AB724">
        <v>0.71881947078421926</v>
      </c>
      <c r="AC724">
        <v>0.74214984157788122</v>
      </c>
      <c r="AD724">
        <v>0.7777261613651375</v>
      </c>
      <c r="AE724">
        <v>0.6338785781517986</v>
      </c>
      <c r="AH724">
        <v>4.3704355962103869E-2</v>
      </c>
      <c r="AI724">
        <v>9.9767568720662059E-2</v>
      </c>
      <c r="AJ724">
        <v>9.6186429567648668E-2</v>
      </c>
      <c r="AK724">
        <v>0.12722160141840921</v>
      </c>
      <c r="AL724">
        <v>0.10120372772930331</v>
      </c>
      <c r="AM724">
        <v>0.26410459023205501</v>
      </c>
      <c r="AN724">
        <v>8.2296935984071062E-2</v>
      </c>
      <c r="AO724">
        <v>0.11020017974647578</v>
      </c>
      <c r="AR724">
        <v>7.8579223976377025E-4</v>
      </c>
      <c r="AS724">
        <v>4.5867549857562251E-3</v>
      </c>
      <c r="AT724">
        <v>5.1457283195154302E-3</v>
      </c>
      <c r="AU724">
        <v>1.7489312906581779E-3</v>
      </c>
      <c r="AV724">
        <v>1.8140789062884271E-3</v>
      </c>
      <c r="AW724">
        <v>3.378947660683594E-3</v>
      </c>
      <c r="AX724">
        <v>4.8082767556434369E-4</v>
      </c>
      <c r="AY724">
        <v>4.5038929862040167E-4</v>
      </c>
      <c r="BB724">
        <v>5.3738084216211846E-2</v>
      </c>
      <c r="BC724">
        <v>4.2334958341366032E-2</v>
      </c>
      <c r="BE724">
        <v>71138.191887745546</v>
      </c>
      <c r="BF724">
        <v>17.621830333254</v>
      </c>
      <c r="BG724">
        <v>72920.576063070708</v>
      </c>
      <c r="BH724">
        <v>17.502391660064838</v>
      </c>
      <c r="BI724">
        <v>-1782.3841753251618</v>
      </c>
      <c r="BJ724">
        <v>0.1194386731891619</v>
      </c>
    </row>
    <row r="725" spans="3:62" x14ac:dyDescent="0.2">
      <c r="C725" s="121">
        <v>72689.274681393916</v>
      </c>
      <c r="D725">
        <v>16.772295953017345</v>
      </c>
      <c r="E725" s="121">
        <v>74644.019679444726</v>
      </c>
      <c r="F725" s="121">
        <v>16.679017381567363</v>
      </c>
      <c r="G725" s="121">
        <v>-1954.74499805081</v>
      </c>
      <c r="H725" s="121">
        <v>9.3278571449982195E-2</v>
      </c>
      <c r="N725" s="121"/>
      <c r="O725" s="121"/>
      <c r="P725" s="121"/>
      <c r="R725">
        <v>69.664632531185958</v>
      </c>
      <c r="S725">
        <v>64.769298679188211</v>
      </c>
      <c r="T725">
        <v>201.26149682833156</v>
      </c>
      <c r="U725">
        <v>97.181838935051289</v>
      </c>
      <c r="X725">
        <v>0.85903958957048765</v>
      </c>
      <c r="Y725">
        <v>0.77726506323752187</v>
      </c>
      <c r="Z725">
        <v>0.29384705548016132</v>
      </c>
      <c r="AA725">
        <v>0.77701385830061143</v>
      </c>
      <c r="AB725">
        <v>0.80619742976914155</v>
      </c>
      <c r="AC725">
        <v>0.74037130848204402</v>
      </c>
      <c r="AD725">
        <v>0.72566646423371817</v>
      </c>
      <c r="AE725">
        <v>0.94279151779962445</v>
      </c>
      <c r="AH725">
        <v>0.28250418132522304</v>
      </c>
      <c r="AI725">
        <v>7.1961000728181013E-2</v>
      </c>
      <c r="AJ725">
        <v>0.18663977882818239</v>
      </c>
      <c r="AK725">
        <v>3.619295166584624E-2</v>
      </c>
      <c r="AL725">
        <v>0.14628415321499977</v>
      </c>
      <c r="AM725">
        <v>0.10651241951855239</v>
      </c>
      <c r="AN725">
        <v>0.12172031916242543</v>
      </c>
      <c r="AO725">
        <v>0.16027642902189554</v>
      </c>
      <c r="AR725">
        <v>8.5368980604709791E-4</v>
      </c>
      <c r="AS725">
        <v>4.2865311343432124E-3</v>
      </c>
      <c r="AT725">
        <v>4.6000232387447019E-3</v>
      </c>
      <c r="AU725">
        <v>2.0610855900531355E-3</v>
      </c>
      <c r="AV725">
        <v>1.7696826657739371E-3</v>
      </c>
      <c r="AW725">
        <v>3.2983408608231184E-3</v>
      </c>
      <c r="AX725">
        <v>3.8313037906870598E-4</v>
      </c>
      <c r="AY725">
        <v>3.6396538078366751E-4</v>
      </c>
      <c r="BB725">
        <v>5.3959629556305844E-2</v>
      </c>
      <c r="BC725">
        <v>4.1283739547617805E-2</v>
      </c>
      <c r="BE725">
        <v>72689.274681393916</v>
      </c>
      <c r="BF725">
        <v>16.772295953017345</v>
      </c>
      <c r="BG725">
        <v>74644.019679444726</v>
      </c>
      <c r="BH725">
        <v>16.679017381567363</v>
      </c>
      <c r="BI725">
        <v>-1954.74499805081</v>
      </c>
      <c r="BJ725">
        <v>9.3278571449982195E-2</v>
      </c>
    </row>
    <row r="726" spans="3:62" x14ac:dyDescent="0.2">
      <c r="C726" s="121">
        <v>74635.866862722542</v>
      </c>
      <c r="D726">
        <v>16.813780150575916</v>
      </c>
      <c r="E726" s="121">
        <v>77013.767926284403</v>
      </c>
      <c r="F726" s="121">
        <v>16.658384984774447</v>
      </c>
      <c r="G726" s="121">
        <v>-2377.9010635618615</v>
      </c>
      <c r="H726" s="121">
        <v>0.15539516580146895</v>
      </c>
      <c r="N726" s="121"/>
      <c r="O726" s="121"/>
      <c r="P726" s="121"/>
      <c r="R726">
        <v>249.56252086691649</v>
      </c>
      <c r="S726">
        <v>56.60573370358491</v>
      </c>
      <c r="T726">
        <v>217.02624435184015</v>
      </c>
      <c r="U726">
        <v>94.25727076274417</v>
      </c>
      <c r="X726">
        <v>0.84223986997355826</v>
      </c>
      <c r="Y726">
        <v>0.77098750800359994</v>
      </c>
      <c r="Z726">
        <v>0.49797566553447609</v>
      </c>
      <c r="AA726">
        <v>0.77813041460894383</v>
      </c>
      <c r="AB726">
        <v>0.79522239183140042</v>
      </c>
      <c r="AC726">
        <v>0.72937901508438752</v>
      </c>
      <c r="AD726">
        <v>0.63548900864364455</v>
      </c>
      <c r="AE726">
        <v>0.68829433625195835</v>
      </c>
      <c r="AH726">
        <v>0.23154799449598218</v>
      </c>
      <c r="AI726">
        <v>9.9120523431625918E-2</v>
      </c>
      <c r="AJ726">
        <v>0.20008398264380467</v>
      </c>
      <c r="AK726">
        <v>6.1965319285938847E-2</v>
      </c>
      <c r="AL726">
        <v>0.12114804386045464</v>
      </c>
      <c r="AM726">
        <v>4.3911454123637839E-2</v>
      </c>
      <c r="AN726">
        <v>4.7874282817458536E-2</v>
      </c>
      <c r="AO726">
        <v>8.2342789018200357E-2</v>
      </c>
      <c r="AR726">
        <v>8.4520893516839223E-4</v>
      </c>
      <c r="AS726">
        <v>4.7366851151544598E-3</v>
      </c>
      <c r="AT726">
        <v>5.0641166184323128E-3</v>
      </c>
      <c r="AU726">
        <v>1.8164156315510641E-3</v>
      </c>
      <c r="AV726">
        <v>2.1089014127414485E-3</v>
      </c>
      <c r="AW726">
        <v>3.5780344269349396E-3</v>
      </c>
      <c r="AX726">
        <v>4.1316536578517304E-4</v>
      </c>
      <c r="AY726">
        <v>4.3788135896175311E-4</v>
      </c>
      <c r="BB726">
        <v>3.8965051887789599E-2</v>
      </c>
      <c r="BC726">
        <v>5.8099255339748801E-2</v>
      </c>
      <c r="BE726">
        <v>74635.866862722542</v>
      </c>
      <c r="BF726">
        <v>16.813780150575916</v>
      </c>
      <c r="BG726">
        <v>77013.767926284403</v>
      </c>
      <c r="BH726">
        <v>16.658384984774447</v>
      </c>
      <c r="BI726">
        <v>-2377.9010635618615</v>
      </c>
      <c r="BJ726">
        <v>0.15539516580146895</v>
      </c>
    </row>
    <row r="727" spans="3:62" x14ac:dyDescent="0.2">
      <c r="C727" s="121">
        <v>75598.683707672099</v>
      </c>
      <c r="D727">
        <v>16.570209617230159</v>
      </c>
      <c r="E727" s="121">
        <v>77647.704413014711</v>
      </c>
      <c r="F727" s="121">
        <v>16.417022516198561</v>
      </c>
      <c r="G727" s="121">
        <v>-2049.0207053426129</v>
      </c>
      <c r="H727" s="121">
        <v>0.15318710103159816</v>
      </c>
      <c r="N727" s="121"/>
      <c r="O727" s="121"/>
      <c r="P727" s="121"/>
      <c r="R727">
        <v>258.30903042818028</v>
      </c>
      <c r="S727">
        <v>72.249923323413071</v>
      </c>
      <c r="T727">
        <v>282.51671039850362</v>
      </c>
      <c r="U727">
        <v>109.22785713401447</v>
      </c>
      <c r="X727">
        <v>0.94970766940815277</v>
      </c>
      <c r="Y727">
        <v>0.39829612856037061</v>
      </c>
      <c r="Z727">
        <v>0.53879187682591434</v>
      </c>
      <c r="AA727">
        <v>0.63830498567954752</v>
      </c>
      <c r="AB727">
        <v>0.76156126740904184</v>
      </c>
      <c r="AC727">
        <v>0.90419375915753353</v>
      </c>
      <c r="AD727">
        <v>0.7203427110572922</v>
      </c>
      <c r="AE727">
        <v>0.74250697023377821</v>
      </c>
      <c r="AH727">
        <v>6.5311746204472332E-2</v>
      </c>
      <c r="AI727">
        <v>5.0443565367061738E-2</v>
      </c>
      <c r="AJ727">
        <v>8.0460183965055276E-2</v>
      </c>
      <c r="AK727">
        <v>0.28741794628542738</v>
      </c>
      <c r="AL727">
        <v>3.7232723007744051E-2</v>
      </c>
      <c r="AM727">
        <v>7.0772029243714618E-2</v>
      </c>
      <c r="AN727">
        <v>8.499389277668723E-2</v>
      </c>
      <c r="AO727">
        <v>1.0912112432072796E-2</v>
      </c>
      <c r="AR727">
        <v>9.2221919450108381E-4</v>
      </c>
      <c r="AS727">
        <v>4.5499185634728656E-3</v>
      </c>
      <c r="AT727">
        <v>4.8296298070273037E-3</v>
      </c>
      <c r="AU727">
        <v>1.869681012302434E-3</v>
      </c>
      <c r="AV727">
        <v>2.0606952094481823E-3</v>
      </c>
      <c r="AW727">
        <v>3.1103650810995927E-3</v>
      </c>
      <c r="AX727">
        <v>3.9701889906795795E-4</v>
      </c>
      <c r="AY727">
        <v>4.7559161291477192E-4</v>
      </c>
      <c r="BB727">
        <v>4.7785315339883186E-2</v>
      </c>
      <c r="BC727">
        <v>7.1725988249037309E-2</v>
      </c>
      <c r="BE727">
        <v>75598.683707672099</v>
      </c>
      <c r="BF727">
        <v>16.570209617230159</v>
      </c>
      <c r="BG727">
        <v>77647.704413014711</v>
      </c>
      <c r="BH727">
        <v>16.417022516198561</v>
      </c>
      <c r="BI727">
        <v>-2049.0207053426129</v>
      </c>
      <c r="BJ727">
        <v>0.15318710103159816</v>
      </c>
    </row>
    <row r="728" spans="3:62" x14ac:dyDescent="0.2">
      <c r="C728" s="121">
        <v>67703.548079877204</v>
      </c>
      <c r="D728">
        <v>16.136690003655744</v>
      </c>
      <c r="E728" s="121">
        <v>69389.043956131689</v>
      </c>
      <c r="F728" s="121">
        <v>15.991422863491927</v>
      </c>
      <c r="G728" s="121">
        <v>-1685.4958762544848</v>
      </c>
      <c r="H728" s="121">
        <v>0.14526714016381703</v>
      </c>
      <c r="N728" s="121"/>
      <c r="O728" s="121"/>
      <c r="P728" s="121"/>
      <c r="R728">
        <v>407.34718135570029</v>
      </c>
      <c r="S728">
        <v>62.675214258026884</v>
      </c>
      <c r="T728">
        <v>226.70746716595215</v>
      </c>
      <c r="U728">
        <v>87.754807900707064</v>
      </c>
      <c r="X728">
        <v>0.68799058910265809</v>
      </c>
      <c r="Y728">
        <v>0.67356636225502975</v>
      </c>
      <c r="Z728">
        <v>0.71345035510120691</v>
      </c>
      <c r="AA728">
        <v>0.93503897154968862</v>
      </c>
      <c r="AB728">
        <v>0.66321372527662326</v>
      </c>
      <c r="AC728">
        <v>0.94231517765472272</v>
      </c>
      <c r="AD728">
        <v>0.84974096843242375</v>
      </c>
      <c r="AE728">
        <v>0.63776186626350728</v>
      </c>
      <c r="AH728">
        <v>0.33943582964695673</v>
      </c>
      <c r="AI728">
        <v>4.2082729936060104E-2</v>
      </c>
      <c r="AJ728">
        <v>9.0287829120767382E-2</v>
      </c>
      <c r="AK728">
        <v>6.4633300811157923E-2</v>
      </c>
      <c r="AL728">
        <v>1.8855436643718249E-2</v>
      </c>
      <c r="AM728">
        <v>9.8019856812849415E-2</v>
      </c>
      <c r="AN728">
        <v>0.15995170551485582</v>
      </c>
      <c r="AO728">
        <v>0.12057635809950895</v>
      </c>
      <c r="AR728">
        <v>7.7831452957208844E-4</v>
      </c>
      <c r="AS728">
        <v>4.7401748142229527E-3</v>
      </c>
      <c r="AT728">
        <v>5.0153143339507489E-3</v>
      </c>
      <c r="AU728">
        <v>1.7696333898730779E-3</v>
      </c>
      <c r="AV728">
        <v>1.951457344312315E-3</v>
      </c>
      <c r="AW728">
        <v>3.5146430935817374E-3</v>
      </c>
      <c r="AX728">
        <v>2.9207314649631888E-4</v>
      </c>
      <c r="AY728">
        <v>5.0154342675334807E-4</v>
      </c>
      <c r="BB728">
        <v>4.1267415661900911E-2</v>
      </c>
      <c r="BC728">
        <v>6.1211608154058683E-2</v>
      </c>
      <c r="BE728">
        <v>67703.548079877204</v>
      </c>
      <c r="BF728">
        <v>16.136690003655744</v>
      </c>
      <c r="BG728">
        <v>69389.043956131689</v>
      </c>
      <c r="BH728">
        <v>15.991422863491927</v>
      </c>
      <c r="BI728">
        <v>-1685.4958762544848</v>
      </c>
      <c r="BJ728">
        <v>0.14526714016381703</v>
      </c>
    </row>
    <row r="729" spans="3:62" x14ac:dyDescent="0.2">
      <c r="C729" s="121">
        <v>74502.510318718196</v>
      </c>
      <c r="D729">
        <v>14.996363521828089</v>
      </c>
      <c r="E729" s="121">
        <v>76441.832349454737</v>
      </c>
      <c r="F729" s="121">
        <v>14.828138558803753</v>
      </c>
      <c r="G729" s="121">
        <v>-1939.3220307365409</v>
      </c>
      <c r="H729" s="121">
        <v>0.1682249630243362</v>
      </c>
      <c r="N729" s="121"/>
      <c r="O729" s="121"/>
      <c r="P729" s="121"/>
      <c r="R729">
        <v>326.04994581522431</v>
      </c>
      <c r="S729">
        <v>64.274284809800434</v>
      </c>
      <c r="T729">
        <v>284.1348884164068</v>
      </c>
      <c r="U729">
        <v>90.467628493066968</v>
      </c>
      <c r="X729">
        <v>0.86792356154390138</v>
      </c>
      <c r="Y729">
        <v>0.71205985291075446</v>
      </c>
      <c r="Z729">
        <v>0.88067620508134314</v>
      </c>
      <c r="AA729">
        <v>0.58560596654779329</v>
      </c>
      <c r="AB729">
        <v>0.8031052086114473</v>
      </c>
      <c r="AC729">
        <v>0.79070600845599115</v>
      </c>
      <c r="AD729">
        <v>0.54567030264116267</v>
      </c>
      <c r="AE729">
        <v>0.89739010917848927</v>
      </c>
      <c r="AH729">
        <v>0.12989948541550567</v>
      </c>
      <c r="AI729">
        <v>7.0822333341241106E-2</v>
      </c>
      <c r="AJ729">
        <v>0.15512600912295249</v>
      </c>
      <c r="AK729">
        <v>7.4664950355125548E-2</v>
      </c>
      <c r="AL729">
        <v>0.20646097360169646</v>
      </c>
      <c r="AM729">
        <v>0.2129995131787521</v>
      </c>
      <c r="AN729">
        <v>0.15560086295414899</v>
      </c>
      <c r="AO729">
        <v>0.2397576743696801</v>
      </c>
      <c r="AR729">
        <v>8.7439563333838307E-4</v>
      </c>
      <c r="AS729">
        <v>4.2860684103209791E-3</v>
      </c>
      <c r="AT729">
        <v>4.7518044011982249E-3</v>
      </c>
      <c r="AU729">
        <v>1.8388324828523175E-3</v>
      </c>
      <c r="AV729">
        <v>2.0328578483882476E-3</v>
      </c>
      <c r="AW729">
        <v>3.3100817819124708E-3</v>
      </c>
      <c r="AX729">
        <v>3.6758872022322456E-4</v>
      </c>
      <c r="AY729">
        <v>4.7923208914357751E-4</v>
      </c>
      <c r="BB729">
        <v>4.2922460374349096E-2</v>
      </c>
      <c r="BC729">
        <v>5.3052343095222554E-2</v>
      </c>
      <c r="BE729">
        <v>74502.510318718196</v>
      </c>
      <c r="BF729">
        <v>14.996363521828089</v>
      </c>
      <c r="BG729">
        <v>76441.832349454737</v>
      </c>
      <c r="BH729">
        <v>14.828138558803753</v>
      </c>
      <c r="BI729">
        <v>-1939.3220307365409</v>
      </c>
      <c r="BJ729">
        <v>0.1682249630243362</v>
      </c>
    </row>
    <row r="730" spans="3:62" x14ac:dyDescent="0.2">
      <c r="C730" s="121">
        <v>70649.393381318456</v>
      </c>
      <c r="D730">
        <v>15.575220618683659</v>
      </c>
      <c r="E730" s="121">
        <v>72235.971538301907</v>
      </c>
      <c r="F730" s="121">
        <v>15.437384675451332</v>
      </c>
      <c r="G730" s="121">
        <v>-1586.5781569834508</v>
      </c>
      <c r="H730" s="121">
        <v>0.13783594323232684</v>
      </c>
      <c r="N730" s="121"/>
      <c r="O730" s="121"/>
      <c r="P730" s="121"/>
      <c r="R730">
        <v>313.04346331497931</v>
      </c>
      <c r="S730">
        <v>60.739895067694682</v>
      </c>
      <c r="T730">
        <v>265.75994113603576</v>
      </c>
      <c r="U730">
        <v>92.979247144171978</v>
      </c>
      <c r="X730">
        <v>0.64591950931142328</v>
      </c>
      <c r="Y730">
        <v>0.53208015505341721</v>
      </c>
      <c r="Z730">
        <v>0.83256642133415348</v>
      </c>
      <c r="AA730">
        <v>0.71135503002543421</v>
      </c>
      <c r="AB730">
        <v>0.83417164279396894</v>
      </c>
      <c r="AC730">
        <v>0.69666310064501713</v>
      </c>
      <c r="AD730">
        <v>0.87296472780527368</v>
      </c>
      <c r="AE730">
        <v>0.8331272041487634</v>
      </c>
      <c r="AH730">
        <v>0.24725019726179798</v>
      </c>
      <c r="AI730">
        <v>0.14709148875444533</v>
      </c>
      <c r="AJ730">
        <v>7.6403422742691962E-2</v>
      </c>
      <c r="AK730">
        <v>0.12777251327226602</v>
      </c>
      <c r="AL730">
        <v>7.483612215496116E-2</v>
      </c>
      <c r="AM730">
        <v>0.14738704741310527</v>
      </c>
      <c r="AN730">
        <v>9.5240405292618568E-2</v>
      </c>
      <c r="AO730">
        <v>6.2855380898001689E-2</v>
      </c>
      <c r="AR730">
        <v>7.6101461293975263E-4</v>
      </c>
      <c r="AS730">
        <v>4.3277810195302795E-3</v>
      </c>
      <c r="AT730">
        <v>5.0741631234174633E-3</v>
      </c>
      <c r="AU730">
        <v>1.8914572951621432E-3</v>
      </c>
      <c r="AV730">
        <v>1.9472961837826252E-3</v>
      </c>
      <c r="AW730">
        <v>3.4569827726962377E-3</v>
      </c>
      <c r="AX730">
        <v>3.2390026730705704E-4</v>
      </c>
      <c r="AY730">
        <v>5.0382014204952696E-4</v>
      </c>
      <c r="BB730">
        <v>5.8200127765060339E-2</v>
      </c>
      <c r="BC730">
        <v>4.4160985679317269E-2</v>
      </c>
      <c r="BE730">
        <v>70649.393381318456</v>
      </c>
      <c r="BF730">
        <v>15.575220618683659</v>
      </c>
      <c r="BG730">
        <v>72235.971538301907</v>
      </c>
      <c r="BH730">
        <v>15.437384675451332</v>
      </c>
      <c r="BI730">
        <v>-1586.5781569834508</v>
      </c>
      <c r="BJ730">
        <v>0.13783594323232684</v>
      </c>
    </row>
    <row r="731" spans="3:62" x14ac:dyDescent="0.2">
      <c r="C731" s="121">
        <v>73038.71943113966</v>
      </c>
      <c r="D731">
        <v>16.034871591061503</v>
      </c>
      <c r="E731" s="121">
        <v>74781.882766031893</v>
      </c>
      <c r="F731" s="121">
        <v>15.867098518403857</v>
      </c>
      <c r="G731" s="121">
        <v>-1743.1633348922333</v>
      </c>
      <c r="H731" s="121">
        <v>0.16777307265764563</v>
      </c>
      <c r="N731" s="121"/>
      <c r="O731" s="121"/>
      <c r="P731" s="121"/>
      <c r="R731">
        <v>326.11419070493554</v>
      </c>
      <c r="S731">
        <v>60.258161890940926</v>
      </c>
      <c r="T731">
        <v>248.7316101675294</v>
      </c>
      <c r="U731">
        <v>111.31276023229378</v>
      </c>
      <c r="X731">
        <v>0.67250767898927277</v>
      </c>
      <c r="Y731">
        <v>0.77256585452092374</v>
      </c>
      <c r="Z731">
        <v>0.82273756822507915</v>
      </c>
      <c r="AA731">
        <v>0.74722525243596105</v>
      </c>
      <c r="AB731">
        <v>0.89821290568862233</v>
      </c>
      <c r="AC731">
        <v>0.79074753998848413</v>
      </c>
      <c r="AD731">
        <v>0.82482416045768359</v>
      </c>
      <c r="AE731">
        <v>0.76595962269289553</v>
      </c>
      <c r="AH731">
        <v>2.2028911731593936E-2</v>
      </c>
      <c r="AI731">
        <v>0.10326055625109709</v>
      </c>
      <c r="AJ731">
        <v>8.4595955677981061E-2</v>
      </c>
      <c r="AK731">
        <v>0.29906113663661427</v>
      </c>
      <c r="AL731">
        <v>0.25127747362653385</v>
      </c>
      <c r="AM731">
        <v>3.5670046907083197E-2</v>
      </c>
      <c r="AN731">
        <v>0.17758605037986996</v>
      </c>
      <c r="AO731">
        <v>0.15664693163416576</v>
      </c>
      <c r="AR731">
        <v>9.1334446334656594E-4</v>
      </c>
      <c r="AS731">
        <v>4.6013633952637356E-3</v>
      </c>
      <c r="AT731">
        <v>4.9690497959020696E-3</v>
      </c>
      <c r="AU731">
        <v>2.060752132290955E-3</v>
      </c>
      <c r="AV731">
        <v>2.1923212702703587E-3</v>
      </c>
      <c r="AW731">
        <v>3.3143014494192813E-3</v>
      </c>
      <c r="AX731">
        <v>3.3174560050306875E-4</v>
      </c>
      <c r="AY731">
        <v>4.3048298954240027E-4</v>
      </c>
      <c r="BB731">
        <v>5.0498786517338301E-2</v>
      </c>
      <c r="BC731">
        <v>3.2655614779477461E-2</v>
      </c>
      <c r="BE731">
        <v>73038.71943113966</v>
      </c>
      <c r="BF731">
        <v>16.034871591061503</v>
      </c>
      <c r="BG731">
        <v>74781.882766031893</v>
      </c>
      <c r="BH731">
        <v>15.867098518403857</v>
      </c>
      <c r="BI731">
        <v>-1743.1633348922333</v>
      </c>
      <c r="BJ731">
        <v>0.16777307265764563</v>
      </c>
    </row>
    <row r="732" spans="3:62" x14ac:dyDescent="0.2">
      <c r="C732" s="121">
        <v>74726.17325351639</v>
      </c>
      <c r="D732">
        <v>17.312785371570197</v>
      </c>
      <c r="E732" s="121">
        <v>75777.155088716405</v>
      </c>
      <c r="F732" s="121">
        <v>17.207687045497757</v>
      </c>
      <c r="G732" s="121">
        <v>-1050.9818352000148</v>
      </c>
      <c r="H732" s="121">
        <v>0.10509832607244007</v>
      </c>
      <c r="N732" s="121"/>
      <c r="O732" s="121"/>
      <c r="P732" s="121"/>
      <c r="R732">
        <v>415.5192811552958</v>
      </c>
      <c r="S732">
        <v>54.698502985170826</v>
      </c>
      <c r="T732">
        <v>261.39313626741045</v>
      </c>
      <c r="U732">
        <v>107.39869106450958</v>
      </c>
      <c r="X732">
        <v>0.84420123781702472</v>
      </c>
      <c r="Y732">
        <v>0.54304089377249665</v>
      </c>
      <c r="Z732">
        <v>0.65252909671929871</v>
      </c>
      <c r="AA732">
        <v>0.86751579993011019</v>
      </c>
      <c r="AB732">
        <v>0.77037230406964197</v>
      </c>
      <c r="AC732">
        <v>0.67549327661267244</v>
      </c>
      <c r="AD732">
        <v>0.89230076736937114</v>
      </c>
      <c r="AE732">
        <v>0.86813511991130365</v>
      </c>
      <c r="AH732">
        <v>8.0791096882991686E-2</v>
      </c>
      <c r="AI732">
        <v>0.10831920486117108</v>
      </c>
      <c r="AJ732">
        <v>0.28071205642694241</v>
      </c>
      <c r="AK732">
        <v>0.33825243289041629</v>
      </c>
      <c r="AL732">
        <v>0.10902187288111254</v>
      </c>
      <c r="AM732">
        <v>0.1421092145264935</v>
      </c>
      <c r="AN732">
        <v>8.2512490281169804E-2</v>
      </c>
      <c r="AO732">
        <v>0.27162335426279716</v>
      </c>
      <c r="AR732">
        <v>9.8127902086231344E-4</v>
      </c>
      <c r="AS732">
        <v>4.3695823656663335E-3</v>
      </c>
      <c r="AT732">
        <v>5.1577810642359223E-3</v>
      </c>
      <c r="AU732">
        <v>1.9214399237363065E-3</v>
      </c>
      <c r="AV732">
        <v>1.9485265203227269E-3</v>
      </c>
      <c r="AW732">
        <v>3.3765975726193359E-3</v>
      </c>
      <c r="AX732">
        <v>3.9939926919285718E-4</v>
      </c>
      <c r="AY732">
        <v>4.7811184294554998E-4</v>
      </c>
      <c r="BB732">
        <v>4.3867194704442503E-2</v>
      </c>
      <c r="BC732">
        <v>2.7425113128859546E-2</v>
      </c>
      <c r="BE732">
        <v>74726.17325351639</v>
      </c>
      <c r="BF732">
        <v>17.312785371570197</v>
      </c>
      <c r="BG732">
        <v>75777.155088716405</v>
      </c>
      <c r="BH732">
        <v>17.207687045497757</v>
      </c>
      <c r="BI732">
        <v>-1050.9818352000148</v>
      </c>
      <c r="BJ732">
        <v>0.10509832607244007</v>
      </c>
    </row>
    <row r="733" spans="3:62" x14ac:dyDescent="0.2">
      <c r="C733" s="121">
        <v>62284.156703833673</v>
      </c>
      <c r="D733">
        <v>16.966052296937253</v>
      </c>
      <c r="E733" s="121">
        <v>63360.150231242333</v>
      </c>
      <c r="F733" s="121">
        <v>16.883255915410921</v>
      </c>
      <c r="G733" s="121">
        <v>-1075.9935274086602</v>
      </c>
      <c r="H733" s="121">
        <v>8.2796381526332397E-2</v>
      </c>
      <c r="N733" s="121"/>
      <c r="O733" s="121"/>
      <c r="P733" s="121"/>
      <c r="R733">
        <v>414.86168818226389</v>
      </c>
      <c r="S733">
        <v>58.339702447626337</v>
      </c>
      <c r="T733">
        <v>266.4488660693163</v>
      </c>
      <c r="U733">
        <v>83.711133954888396</v>
      </c>
      <c r="X733">
        <v>0.79790610099109405</v>
      </c>
      <c r="Y733">
        <v>0.82651172936613027</v>
      </c>
      <c r="Z733">
        <v>0.8232170107375294</v>
      </c>
      <c r="AA733">
        <v>0.88784882867383452</v>
      </c>
      <c r="AB733">
        <v>0.73486741693742974</v>
      </c>
      <c r="AC733">
        <v>0.80045003404216375</v>
      </c>
      <c r="AD733">
        <v>0.69738054877131339</v>
      </c>
      <c r="AE733">
        <v>0.83343126089523523</v>
      </c>
      <c r="AH733">
        <v>0.10594614688078841</v>
      </c>
      <c r="AI733">
        <v>0.12712870087120676</v>
      </c>
      <c r="AJ733">
        <v>3.2783762818918705E-2</v>
      </c>
      <c r="AK733">
        <v>0.12842889972546789</v>
      </c>
      <c r="AL733">
        <v>3.8590594460187533E-2</v>
      </c>
      <c r="AM733">
        <v>7.7884235728538087E-2</v>
      </c>
      <c r="AN733">
        <v>0.17993375792348809</v>
      </c>
      <c r="AO733">
        <v>0.20451098053931516</v>
      </c>
      <c r="AR733">
        <v>8.2176443185990569E-4</v>
      </c>
      <c r="AS733">
        <v>4.5237841937239009E-3</v>
      </c>
      <c r="AT733">
        <v>5.1118179274524111E-3</v>
      </c>
      <c r="AU733">
        <v>1.7450611466638751E-3</v>
      </c>
      <c r="AV733">
        <v>2.1836729006433631E-3</v>
      </c>
      <c r="AW733">
        <v>3.2651457743395748E-3</v>
      </c>
      <c r="AX733">
        <v>4.3649582924187857E-4</v>
      </c>
      <c r="AY733">
        <v>5.7032281139068886E-4</v>
      </c>
      <c r="BB733">
        <v>4.4945513012750689E-2</v>
      </c>
      <c r="BC733">
        <v>3.4671948201991917E-2</v>
      </c>
      <c r="BE733">
        <v>62284.156703833673</v>
      </c>
      <c r="BF733">
        <v>16.966052296937253</v>
      </c>
      <c r="BG733">
        <v>63360.150231242333</v>
      </c>
      <c r="BH733">
        <v>16.883255915410921</v>
      </c>
      <c r="BI733">
        <v>-1075.9935274086602</v>
      </c>
      <c r="BJ733">
        <v>8.2796381526332397E-2</v>
      </c>
    </row>
    <row r="734" spans="3:62" x14ac:dyDescent="0.2">
      <c r="C734" s="121">
        <v>70074.420116178953</v>
      </c>
      <c r="D734">
        <v>15.503690133171112</v>
      </c>
      <c r="E734" s="121">
        <v>71511.961274885645</v>
      </c>
      <c r="F734" s="121">
        <v>15.438997240499507</v>
      </c>
      <c r="G734" s="121">
        <v>-1437.5411587066919</v>
      </c>
      <c r="H734" s="121">
        <v>6.4692892671605051E-2</v>
      </c>
      <c r="N734" s="121"/>
      <c r="O734" s="121"/>
      <c r="P734" s="121"/>
      <c r="R734">
        <v>386.25050082786396</v>
      </c>
      <c r="S734">
        <v>57.213910343988672</v>
      </c>
      <c r="T734">
        <v>264.49195612555036</v>
      </c>
      <c r="U734">
        <v>93.781413424481542</v>
      </c>
      <c r="X734">
        <v>0.73783423611495969</v>
      </c>
      <c r="Y734">
        <v>0.75634487504217018</v>
      </c>
      <c r="Z734">
        <v>0.65225930850388325</v>
      </c>
      <c r="AA734">
        <v>0.6985936124596227</v>
      </c>
      <c r="AB734">
        <v>0.49932465856462571</v>
      </c>
      <c r="AC734">
        <v>0.63707123148945199</v>
      </c>
      <c r="AD734">
        <v>0.65911521789812277</v>
      </c>
      <c r="AE734">
        <v>0.92593938185878488</v>
      </c>
      <c r="AH734">
        <v>8.8200746732345237E-2</v>
      </c>
      <c r="AI734">
        <v>7.7103816454871077E-2</v>
      </c>
      <c r="AJ734">
        <v>1.0540351272612103E-3</v>
      </c>
      <c r="AK734">
        <v>2.1883455457779588E-2</v>
      </c>
      <c r="AL734">
        <v>2.0347296890809163E-2</v>
      </c>
      <c r="AM734">
        <v>3.5572741743413738E-2</v>
      </c>
      <c r="AN734">
        <v>9.9671141474716118E-2</v>
      </c>
      <c r="AO734">
        <v>9.7157785833502319E-2</v>
      </c>
      <c r="AR734">
        <v>8.7018065873305499E-4</v>
      </c>
      <c r="AS734">
        <v>4.6569149143715904E-3</v>
      </c>
      <c r="AT734">
        <v>5.0416950588954013E-3</v>
      </c>
      <c r="AU734">
        <v>1.9020705744972641E-3</v>
      </c>
      <c r="AV734">
        <v>2.305432714560296E-3</v>
      </c>
      <c r="AW734">
        <v>3.4997512403344144E-3</v>
      </c>
      <c r="AX734">
        <v>3.0017339086095177E-4</v>
      </c>
      <c r="AY734">
        <v>3.6418471136891601E-4</v>
      </c>
      <c r="BB734">
        <v>5.7577523646005435E-2</v>
      </c>
      <c r="BC734">
        <v>6.615500734125046E-2</v>
      </c>
      <c r="BE734">
        <v>70074.420116178953</v>
      </c>
      <c r="BF734">
        <v>15.503690133171112</v>
      </c>
      <c r="BG734">
        <v>71511.961274885645</v>
      </c>
      <c r="BH734">
        <v>15.438997240499507</v>
      </c>
      <c r="BI734">
        <v>-1437.5411587066919</v>
      </c>
      <c r="BJ734">
        <v>6.4692892671605051E-2</v>
      </c>
    </row>
    <row r="735" spans="3:62" x14ac:dyDescent="0.2">
      <c r="C735" s="121">
        <v>69181.233602441964</v>
      </c>
      <c r="D735">
        <v>17.101172298890059</v>
      </c>
      <c r="E735" s="121">
        <v>70568.78930655471</v>
      </c>
      <c r="F735" s="121">
        <v>16.974841293224422</v>
      </c>
      <c r="G735" s="121">
        <v>-1387.5557041127468</v>
      </c>
      <c r="H735" s="121">
        <v>0.12633100566563726</v>
      </c>
      <c r="N735" s="121"/>
      <c r="O735" s="121"/>
      <c r="P735" s="121"/>
      <c r="R735">
        <v>274.29497233540087</v>
      </c>
      <c r="S735">
        <v>50.624716570194281</v>
      </c>
      <c r="T735">
        <v>258.21803885167293</v>
      </c>
      <c r="U735">
        <v>86.186223445794553</v>
      </c>
      <c r="X735">
        <v>0.7344767404109187</v>
      </c>
      <c r="Y735">
        <v>0.71129252927987097</v>
      </c>
      <c r="Z735">
        <v>0.87026725353019507</v>
      </c>
      <c r="AA735">
        <v>0.90798377508831896</v>
      </c>
      <c r="AB735">
        <v>0.80866486124702686</v>
      </c>
      <c r="AC735">
        <v>0.59657310494673399</v>
      </c>
      <c r="AD735">
        <v>0.68724832367077859</v>
      </c>
      <c r="AE735">
        <v>0.88935535275037325</v>
      </c>
      <c r="AH735">
        <v>0.24996681199387949</v>
      </c>
      <c r="AI735">
        <v>3.7917722671367837E-3</v>
      </c>
      <c r="AJ735">
        <v>0.316502812626553</v>
      </c>
      <c r="AK735">
        <v>0.13477208980338495</v>
      </c>
      <c r="AL735">
        <v>0.1036810611231751</v>
      </c>
      <c r="AM735">
        <v>0.23419517191751094</v>
      </c>
      <c r="AN735">
        <v>0.21250227548901546</v>
      </c>
      <c r="AO735">
        <v>0.21762851474174061</v>
      </c>
      <c r="AR735">
        <v>7.7468934224086809E-4</v>
      </c>
      <c r="AS735">
        <v>4.6038382817018553E-3</v>
      </c>
      <c r="AT735">
        <v>4.7604677384997102E-3</v>
      </c>
      <c r="AU735">
        <v>1.8985718813832656E-3</v>
      </c>
      <c r="AV735">
        <v>2.0794302730400283E-3</v>
      </c>
      <c r="AW735">
        <v>3.3217925870459267E-3</v>
      </c>
      <c r="AX735">
        <v>4.024157263297079E-4</v>
      </c>
      <c r="AY735">
        <v>4.8544921794146934E-4</v>
      </c>
      <c r="BB735">
        <v>4.6122683169244144E-2</v>
      </c>
      <c r="BC735">
        <v>4.1416343658756828E-2</v>
      </c>
      <c r="BE735">
        <v>69181.233602441964</v>
      </c>
      <c r="BF735">
        <v>17.101172298890059</v>
      </c>
      <c r="BG735">
        <v>70568.78930655471</v>
      </c>
      <c r="BH735">
        <v>16.974841293224422</v>
      </c>
      <c r="BI735">
        <v>-1387.5557041127468</v>
      </c>
      <c r="BJ735">
        <v>0.12633100566563726</v>
      </c>
    </row>
    <row r="736" spans="3:62" x14ac:dyDescent="0.2">
      <c r="C736" s="121">
        <v>71972.551297701328</v>
      </c>
      <c r="D736">
        <v>16.216359327346542</v>
      </c>
      <c r="E736" s="121">
        <v>73602.05353022374</v>
      </c>
      <c r="F736" s="121">
        <v>16.054519094381543</v>
      </c>
      <c r="G736" s="121">
        <v>-1629.5022325224127</v>
      </c>
      <c r="H736" s="121">
        <v>0.16184023296499817</v>
      </c>
      <c r="N736" s="121"/>
      <c r="O736" s="121"/>
      <c r="P736" s="121"/>
      <c r="R736">
        <v>198.99907493652239</v>
      </c>
      <c r="S736">
        <v>61.693042037768357</v>
      </c>
      <c r="T736">
        <v>301.26282657911594</v>
      </c>
      <c r="U736">
        <v>90.091908168122558</v>
      </c>
      <c r="X736">
        <v>0.79081159993758487</v>
      </c>
      <c r="Y736">
        <v>0.91072011838418288</v>
      </c>
      <c r="Z736">
        <v>0.51640616881386148</v>
      </c>
      <c r="AA736">
        <v>0.93878092114082978</v>
      </c>
      <c r="AB736">
        <v>0.63504433718951414</v>
      </c>
      <c r="AC736">
        <v>0.82893657455169178</v>
      </c>
      <c r="AD736">
        <v>0.75015763054232754</v>
      </c>
      <c r="AE736">
        <v>0.78250996560733277</v>
      </c>
      <c r="AH736">
        <v>0.17282492934351457</v>
      </c>
      <c r="AI736">
        <v>9.53143774252182E-2</v>
      </c>
      <c r="AJ736">
        <v>0.29997554341663579</v>
      </c>
      <c r="AK736">
        <v>9.5037181228743051E-2</v>
      </c>
      <c r="AL736">
        <v>5.4518577585798589E-2</v>
      </c>
      <c r="AM736">
        <v>8.7889389617438418E-2</v>
      </c>
      <c r="AN736">
        <v>0.13004246205874581</v>
      </c>
      <c r="AO736">
        <v>7.2592525488615944E-2</v>
      </c>
      <c r="AR736">
        <v>1.077307432098773E-3</v>
      </c>
      <c r="AS736">
        <v>4.3401420795916319E-3</v>
      </c>
      <c r="AT736">
        <v>4.9509574360359077E-3</v>
      </c>
      <c r="AU736">
        <v>1.8376655353618168E-3</v>
      </c>
      <c r="AV736">
        <v>1.9994249610332249E-3</v>
      </c>
      <c r="AW736">
        <v>3.4530440082906066E-3</v>
      </c>
      <c r="AX736">
        <v>3.4492902389743292E-4</v>
      </c>
      <c r="AY736">
        <v>4.7252968842526055E-4</v>
      </c>
      <c r="BB736">
        <v>4.4206609034622368E-2</v>
      </c>
      <c r="BC736">
        <v>3.5824165828944023E-2</v>
      </c>
      <c r="BE736">
        <v>71972.551297701328</v>
      </c>
      <c r="BF736">
        <v>16.216359327346542</v>
      </c>
      <c r="BG736">
        <v>73602.05353022374</v>
      </c>
      <c r="BH736">
        <v>16.054519094381543</v>
      </c>
      <c r="BI736">
        <v>-1629.5022325224127</v>
      </c>
      <c r="BJ736">
        <v>0.16184023296499817</v>
      </c>
    </row>
    <row r="737" spans="3:62" x14ac:dyDescent="0.2">
      <c r="C737" s="121">
        <v>73896.292834390639</v>
      </c>
      <c r="D737">
        <v>17.200686679679034</v>
      </c>
      <c r="E737" s="121">
        <v>75430.289914348978</v>
      </c>
      <c r="F737" s="121">
        <v>17.095487622423747</v>
      </c>
      <c r="G737" s="121">
        <v>-1533.9970799583389</v>
      </c>
      <c r="H737" s="121">
        <v>0.10519905725528744</v>
      </c>
      <c r="N737" s="121"/>
      <c r="O737" s="121"/>
      <c r="P737" s="121"/>
      <c r="R737">
        <v>442.53891723004358</v>
      </c>
      <c r="S737">
        <v>68.649847604908146</v>
      </c>
      <c r="T737">
        <v>266.7514968800337</v>
      </c>
      <c r="U737">
        <v>75.328749872095386</v>
      </c>
      <c r="X737">
        <v>0.68713881379418307</v>
      </c>
      <c r="Y737">
        <v>0.86293754694089164</v>
      </c>
      <c r="Z737">
        <v>0.84913213716835134</v>
      </c>
      <c r="AA737">
        <v>0.52250667136394691</v>
      </c>
      <c r="AB737">
        <v>0.74392157555877025</v>
      </c>
      <c r="AC737">
        <v>0.70434752826090818</v>
      </c>
      <c r="AD737">
        <v>0.81308898313887445</v>
      </c>
      <c r="AE737">
        <v>0.68951562022980728</v>
      </c>
      <c r="AH737">
        <v>0.22217574411627239</v>
      </c>
      <c r="AI737">
        <v>4.5108338902422496E-2</v>
      </c>
      <c r="AJ737">
        <v>8.4863431837583159E-2</v>
      </c>
      <c r="AK737">
        <v>5.9295057039045029E-2</v>
      </c>
      <c r="AL737">
        <v>1.8653912623500357E-2</v>
      </c>
      <c r="AM737">
        <v>7.233619570058325E-2</v>
      </c>
      <c r="AN737">
        <v>8.7264241689981592E-2</v>
      </c>
      <c r="AO737">
        <v>8.8559272555425395E-2</v>
      </c>
      <c r="AR737">
        <v>8.1347755444677978E-4</v>
      </c>
      <c r="AS737">
        <v>4.8421955290022245E-3</v>
      </c>
      <c r="AT737">
        <v>5.0321524881746793E-3</v>
      </c>
      <c r="AU737">
        <v>2.0157069395774219E-3</v>
      </c>
      <c r="AV737">
        <v>2.1246994278125708E-3</v>
      </c>
      <c r="AW737">
        <v>3.33701756133041E-3</v>
      </c>
      <c r="AX737">
        <v>3.9086784317530219E-4</v>
      </c>
      <c r="AY737">
        <v>4.0199021935022382E-4</v>
      </c>
      <c r="BB737">
        <v>4.625793578939047E-2</v>
      </c>
      <c r="BC737">
        <v>4.0351904721585598E-2</v>
      </c>
      <c r="BE737">
        <v>73896.292834390639</v>
      </c>
      <c r="BF737">
        <v>17.200686679679034</v>
      </c>
      <c r="BG737">
        <v>75430.289914348978</v>
      </c>
      <c r="BH737">
        <v>17.095487622423747</v>
      </c>
      <c r="BI737">
        <v>-1533.9970799583389</v>
      </c>
      <c r="BJ737">
        <v>0.10519905725528744</v>
      </c>
    </row>
    <row r="738" spans="3:62" x14ac:dyDescent="0.2">
      <c r="C738" s="121">
        <v>83054.02167070967</v>
      </c>
      <c r="D738">
        <v>14.712858086498736</v>
      </c>
      <c r="E738" s="121">
        <v>85172.333531285316</v>
      </c>
      <c r="F738" s="121">
        <v>14.495874356833363</v>
      </c>
      <c r="G738" s="121">
        <v>-2118.3118605756463</v>
      </c>
      <c r="H738" s="121">
        <v>0.21698372966537249</v>
      </c>
      <c r="N738" s="121"/>
      <c r="O738" s="121"/>
      <c r="P738" s="121"/>
      <c r="R738">
        <v>203.67187522040487</v>
      </c>
      <c r="S738">
        <v>75.909159602231</v>
      </c>
      <c r="T738">
        <v>250.89551319067354</v>
      </c>
      <c r="U738">
        <v>74.9798905221854</v>
      </c>
      <c r="X738">
        <v>0.95516695219441106</v>
      </c>
      <c r="Y738">
        <v>0.80607543570816209</v>
      </c>
      <c r="Z738">
        <v>0.76817514954428867</v>
      </c>
      <c r="AA738">
        <v>0.70745297066381008</v>
      </c>
      <c r="AB738">
        <v>0.75915498088469024</v>
      </c>
      <c r="AC738">
        <v>0.69729392749430064</v>
      </c>
      <c r="AD738">
        <v>0.68992862939288235</v>
      </c>
      <c r="AE738">
        <v>0.5201103120185655</v>
      </c>
      <c r="AH738">
        <v>0.10448079050184944</v>
      </c>
      <c r="AI738">
        <v>2.2879399630060693E-2</v>
      </c>
      <c r="AJ738">
        <v>0.24393066051892121</v>
      </c>
      <c r="AK738">
        <v>1.5784245247592477E-2</v>
      </c>
      <c r="AL738">
        <v>0.27213903601636447</v>
      </c>
      <c r="AM738">
        <v>7.7723504108623942E-2</v>
      </c>
      <c r="AN738">
        <v>0.20987066319587477</v>
      </c>
      <c r="AO738">
        <v>9.5579034639773353E-2</v>
      </c>
      <c r="AR738">
        <v>7.6593403326705493E-4</v>
      </c>
      <c r="AS738">
        <v>4.3764153220263264E-3</v>
      </c>
      <c r="AT738">
        <v>4.9200763746352358E-3</v>
      </c>
      <c r="AU738">
        <v>1.9702005704269883E-3</v>
      </c>
      <c r="AV738">
        <v>1.9501013685430694E-3</v>
      </c>
      <c r="AW738">
        <v>3.7352912867335553E-3</v>
      </c>
      <c r="AX738">
        <v>4.1205492931128962E-4</v>
      </c>
      <c r="AY738">
        <v>6.2150706511321374E-4</v>
      </c>
      <c r="BB738">
        <v>4.5649443252241136E-2</v>
      </c>
      <c r="BC738">
        <v>4.5053648417986029E-2</v>
      </c>
      <c r="BE738">
        <v>83054.02167070967</v>
      </c>
      <c r="BF738">
        <v>14.712858086498736</v>
      </c>
      <c r="BG738">
        <v>85172.333531285316</v>
      </c>
      <c r="BH738">
        <v>14.495874356833363</v>
      </c>
      <c r="BI738">
        <v>-2118.3118605756463</v>
      </c>
      <c r="BJ738">
        <v>0.21698372966537249</v>
      </c>
    </row>
    <row r="739" spans="3:62" x14ac:dyDescent="0.2">
      <c r="C739" s="121">
        <v>72946.749388326862</v>
      </c>
      <c r="D739">
        <v>17.097144246248803</v>
      </c>
      <c r="E739" s="121">
        <v>75133.7838596785</v>
      </c>
      <c r="F739" s="121">
        <v>16.950685309455384</v>
      </c>
      <c r="G739" s="121">
        <v>-2187.0344713516388</v>
      </c>
      <c r="H739" s="121">
        <v>0.14645893679341881</v>
      </c>
      <c r="N739" s="121"/>
      <c r="O739" s="121"/>
      <c r="P739" s="121"/>
      <c r="R739">
        <v>195.35988149418168</v>
      </c>
      <c r="S739">
        <v>54.700607697197086</v>
      </c>
      <c r="T739">
        <v>264.13674575525329</v>
      </c>
      <c r="U739">
        <v>90.878877660827769</v>
      </c>
      <c r="X739">
        <v>0.44956707921992806</v>
      </c>
      <c r="Y739">
        <v>0.77568669106703492</v>
      </c>
      <c r="Z739">
        <v>0.84079678219007881</v>
      </c>
      <c r="AA739">
        <v>0.72454387754501048</v>
      </c>
      <c r="AB739">
        <v>0.58875039387278005</v>
      </c>
      <c r="AC739">
        <v>0.85444851189285087</v>
      </c>
      <c r="AD739">
        <v>0.71657300589180684</v>
      </c>
      <c r="AE739">
        <v>0.59374611071461625</v>
      </c>
      <c r="AH739">
        <v>0.18626008799355553</v>
      </c>
      <c r="AI739">
        <v>8.040523450033854E-2</v>
      </c>
      <c r="AJ739">
        <v>0.10039887677086945</v>
      </c>
      <c r="AK739">
        <v>5.837211709984691E-2</v>
      </c>
      <c r="AL739">
        <v>0.12725767035641533</v>
      </c>
      <c r="AM739">
        <v>0.35833599900290303</v>
      </c>
      <c r="AN739">
        <v>7.3609220143530218E-2</v>
      </c>
      <c r="AO739">
        <v>9.9872744330184338E-2</v>
      </c>
      <c r="AR739">
        <v>8.2963778568142241E-4</v>
      </c>
      <c r="AS739">
        <v>4.5028854723994094E-3</v>
      </c>
      <c r="AT739">
        <v>5.0079952051695908E-3</v>
      </c>
      <c r="AU739">
        <v>2.0465433190521853E-3</v>
      </c>
      <c r="AV739">
        <v>1.8128821612148603E-3</v>
      </c>
      <c r="AW739">
        <v>3.1028920195457087E-3</v>
      </c>
      <c r="AX739">
        <v>4.0673105959221356E-4</v>
      </c>
      <c r="AY739">
        <v>6.3253583298994442E-4</v>
      </c>
      <c r="BB739">
        <v>5.6275010909959122E-2</v>
      </c>
      <c r="BC739">
        <v>2.4736768681128601E-2</v>
      </c>
      <c r="BE739">
        <v>72946.749388326862</v>
      </c>
      <c r="BF739">
        <v>17.097144246248803</v>
      </c>
      <c r="BG739">
        <v>75133.7838596785</v>
      </c>
      <c r="BH739">
        <v>16.950685309455384</v>
      </c>
      <c r="BI739">
        <v>-2187.0344713516388</v>
      </c>
      <c r="BJ739">
        <v>0.14645893679341881</v>
      </c>
    </row>
    <row r="740" spans="3:62" x14ac:dyDescent="0.2">
      <c r="C740" s="121">
        <v>70915.917251476378</v>
      </c>
      <c r="D740">
        <v>16.462094803285979</v>
      </c>
      <c r="E740" s="121">
        <v>73215.910422207919</v>
      </c>
      <c r="F740" s="121">
        <v>16.307558663937151</v>
      </c>
      <c r="G740" s="121">
        <v>-2299.9931707315409</v>
      </c>
      <c r="H740" s="121">
        <v>0.15453613934882782</v>
      </c>
      <c r="N740" s="121"/>
      <c r="O740" s="121"/>
      <c r="P740" s="121"/>
      <c r="R740">
        <v>92.148652117504156</v>
      </c>
      <c r="S740">
        <v>71.810426328590623</v>
      </c>
      <c r="T740">
        <v>239.12991520148256</v>
      </c>
      <c r="U740">
        <v>111.7254691213425</v>
      </c>
      <c r="X740">
        <v>0.83838277442885611</v>
      </c>
      <c r="Y740">
        <v>0.87180317151322617</v>
      </c>
      <c r="Z740">
        <v>0.70610434830601887</v>
      </c>
      <c r="AA740">
        <v>0.85966081254908855</v>
      </c>
      <c r="AB740">
        <v>0.58701187738005911</v>
      </c>
      <c r="AC740">
        <v>0.95621681979941509</v>
      </c>
      <c r="AD740">
        <v>0.85661126519149877</v>
      </c>
      <c r="AE740">
        <v>0.83959825504125385</v>
      </c>
      <c r="AH740">
        <v>0.29738379735315568</v>
      </c>
      <c r="AI740">
        <v>0.13891414807062952</v>
      </c>
      <c r="AJ740">
        <v>5.9035567133687739E-2</v>
      </c>
      <c r="AK740">
        <v>0.13549836238451929</v>
      </c>
      <c r="AL740">
        <v>0.2280084079953808</v>
      </c>
      <c r="AM740">
        <v>0.10753552257875487</v>
      </c>
      <c r="AN740">
        <v>6.6233615494788012E-2</v>
      </c>
      <c r="AO740">
        <v>0.16905118535175678</v>
      </c>
      <c r="AR740">
        <v>7.9882178558895458E-4</v>
      </c>
      <c r="AS740">
        <v>4.5506335917061547E-3</v>
      </c>
      <c r="AT740">
        <v>5.3876564061576815E-3</v>
      </c>
      <c r="AU740">
        <v>1.7990691961181342E-3</v>
      </c>
      <c r="AV740">
        <v>2.1480619837431769E-3</v>
      </c>
      <c r="AW740">
        <v>3.5482330716678501E-3</v>
      </c>
      <c r="AX740">
        <v>4.3813146291182825E-4</v>
      </c>
      <c r="AY740">
        <v>3.7143571357751428E-4</v>
      </c>
      <c r="BB740">
        <v>5.1648380405626471E-2</v>
      </c>
      <c r="BC740">
        <v>8.0123904395492551E-2</v>
      </c>
      <c r="BE740">
        <v>70915.917251476378</v>
      </c>
      <c r="BF740">
        <v>16.462094803285979</v>
      </c>
      <c r="BG740">
        <v>73215.910422207919</v>
      </c>
      <c r="BH740">
        <v>16.307558663937151</v>
      </c>
      <c r="BI740">
        <v>-2299.9931707315409</v>
      </c>
      <c r="BJ740">
        <v>0.15453613934882782</v>
      </c>
    </row>
    <row r="741" spans="3:62" x14ac:dyDescent="0.2">
      <c r="C741" s="121">
        <v>66453.522291304631</v>
      </c>
      <c r="D741">
        <v>15.43199356466193</v>
      </c>
      <c r="E741" s="121">
        <v>68820.71978092588</v>
      </c>
      <c r="F741" s="121">
        <v>15.274560199899208</v>
      </c>
      <c r="G741" s="121">
        <v>-2367.1974896212487</v>
      </c>
      <c r="H741" s="121">
        <v>0.15743336476272241</v>
      </c>
      <c r="N741" s="121"/>
      <c r="O741" s="121"/>
      <c r="P741" s="121"/>
      <c r="R741">
        <v>182.15217924041656</v>
      </c>
      <c r="S741">
        <v>65.813631792697365</v>
      </c>
      <c r="T741">
        <v>247.99669046151962</v>
      </c>
      <c r="U741">
        <v>92.375336335281631</v>
      </c>
      <c r="X741">
        <v>0.55350963855407154</v>
      </c>
      <c r="Y741">
        <v>0.71901463019378353</v>
      </c>
      <c r="Z741">
        <v>0.77457306609734311</v>
      </c>
      <c r="AA741">
        <v>0.92879041533147855</v>
      </c>
      <c r="AB741">
        <v>0.71046478805332125</v>
      </c>
      <c r="AC741">
        <v>0.70840488547483071</v>
      </c>
      <c r="AD741">
        <v>0.8004852507892295</v>
      </c>
      <c r="AE741">
        <v>0.74995721245200264</v>
      </c>
      <c r="AH741">
        <v>2.9504108270537843E-2</v>
      </c>
      <c r="AI741">
        <v>0.19145483925409135</v>
      </c>
      <c r="AJ741">
        <v>2.3615625967231879E-2</v>
      </c>
      <c r="AK741">
        <v>0.13364369751601179</v>
      </c>
      <c r="AL741">
        <v>2.1016219374801137E-2</v>
      </c>
      <c r="AM741">
        <v>5.546323821391419E-2</v>
      </c>
      <c r="AN741">
        <v>8.4529496346862798E-2</v>
      </c>
      <c r="AO741">
        <v>0.12110711360363802</v>
      </c>
      <c r="AR741">
        <v>9.0726659961559708E-4</v>
      </c>
      <c r="AS741">
        <v>4.3774543966284673E-3</v>
      </c>
      <c r="AT741">
        <v>5.3488425472900669E-3</v>
      </c>
      <c r="AU741">
        <v>2.012009583936103E-3</v>
      </c>
      <c r="AV741">
        <v>1.7888521240847868E-3</v>
      </c>
      <c r="AW741">
        <v>3.2226168403301967E-3</v>
      </c>
      <c r="AX741">
        <v>4.4801130661076272E-4</v>
      </c>
      <c r="AY741">
        <v>4.7369395910767942E-4</v>
      </c>
      <c r="BB741">
        <v>5.1016002668983429E-2</v>
      </c>
      <c r="BC741">
        <v>5.7582338204242078E-2</v>
      </c>
      <c r="BE741">
        <v>66453.522291304631</v>
      </c>
      <c r="BF741">
        <v>15.43199356466193</v>
      </c>
      <c r="BG741">
        <v>68820.71978092588</v>
      </c>
      <c r="BH741">
        <v>15.274560199899208</v>
      </c>
      <c r="BI741">
        <v>-2367.1974896212487</v>
      </c>
      <c r="BJ741">
        <v>0.15743336476272241</v>
      </c>
    </row>
    <row r="742" spans="3:62" x14ac:dyDescent="0.2">
      <c r="C742" s="121">
        <v>72865.384397505841</v>
      </c>
      <c r="D742">
        <v>14.618975602574391</v>
      </c>
      <c r="E742" s="121">
        <v>74596.721943142606</v>
      </c>
      <c r="F742" s="121">
        <v>14.501931596617478</v>
      </c>
      <c r="G742" s="121">
        <v>-1731.3375456367648</v>
      </c>
      <c r="H742" s="121">
        <v>0.11704400595691311</v>
      </c>
      <c r="N742" s="121"/>
      <c r="O742" s="121"/>
      <c r="P742" s="121"/>
      <c r="R742">
        <v>147.10989034523982</v>
      </c>
      <c r="S742">
        <v>66.160781206891869</v>
      </c>
      <c r="T742">
        <v>332.9635678947642</v>
      </c>
      <c r="U742">
        <v>95.543305899303107</v>
      </c>
      <c r="X742">
        <v>0.65862577862658955</v>
      </c>
      <c r="Y742">
        <v>0.51283129619417878</v>
      </c>
      <c r="Z742">
        <v>0.51975432373551955</v>
      </c>
      <c r="AA742">
        <v>0.88315468407250475</v>
      </c>
      <c r="AB742">
        <v>0.63922837615030847</v>
      </c>
      <c r="AC742">
        <v>0.84722035779534599</v>
      </c>
      <c r="AD742">
        <v>0.68433429617702435</v>
      </c>
      <c r="AE742">
        <v>0.59947577886535186</v>
      </c>
      <c r="AH742">
        <v>2.9264249350105853E-2</v>
      </c>
      <c r="AI742">
        <v>5.5564208586618369E-2</v>
      </c>
      <c r="AJ742">
        <v>0.22271715459927555</v>
      </c>
      <c r="AK742">
        <v>9.9729783881816747E-2</v>
      </c>
      <c r="AL742">
        <v>3.2854285610303902E-2</v>
      </c>
      <c r="AM742">
        <v>0.1284569548062896</v>
      </c>
      <c r="AN742">
        <v>0.12370120737204915</v>
      </c>
      <c r="AO742">
        <v>5.6546833401097008E-2</v>
      </c>
      <c r="AR742">
        <v>7.3195794903218106E-4</v>
      </c>
      <c r="AS742">
        <v>4.401234323585434E-3</v>
      </c>
      <c r="AT742">
        <v>4.8704007490450998E-3</v>
      </c>
      <c r="AU742">
        <v>2.0487765750601961E-3</v>
      </c>
      <c r="AV742">
        <v>1.9219605738061516E-3</v>
      </c>
      <c r="AW742">
        <v>3.5885286121908333E-3</v>
      </c>
      <c r="AX742">
        <v>3.6411514910812313E-4</v>
      </c>
      <c r="AY742">
        <v>4.6306633090442695E-4</v>
      </c>
      <c r="BB742">
        <v>3.9239451510778484E-2</v>
      </c>
      <c r="BC742">
        <v>5.237183191752337E-2</v>
      </c>
      <c r="BE742">
        <v>72865.384397505841</v>
      </c>
      <c r="BF742">
        <v>14.618975602574391</v>
      </c>
      <c r="BG742">
        <v>74596.721943142606</v>
      </c>
      <c r="BH742">
        <v>14.501931596617478</v>
      </c>
      <c r="BI742">
        <v>-1731.3375456367648</v>
      </c>
      <c r="BJ742">
        <v>0.11704400595691311</v>
      </c>
    </row>
    <row r="743" spans="3:62" x14ac:dyDescent="0.2">
      <c r="C743" s="121">
        <v>63976.147925115736</v>
      </c>
      <c r="D743">
        <v>16.062499697178879</v>
      </c>
      <c r="E743" s="121">
        <v>65566.14999679687</v>
      </c>
      <c r="F743" s="121">
        <v>15.901431171814792</v>
      </c>
      <c r="G743" s="121">
        <v>-1590.0020716811341</v>
      </c>
      <c r="H743" s="121">
        <v>0.16106852536408667</v>
      </c>
      <c r="N743" s="121"/>
      <c r="O743" s="121"/>
      <c r="P743" s="121"/>
      <c r="R743">
        <v>-1.6325572020318475</v>
      </c>
      <c r="S743">
        <v>62.780770105708442</v>
      </c>
      <c r="T743">
        <v>240.04078894677096</v>
      </c>
      <c r="U743">
        <v>89.780464773028754</v>
      </c>
      <c r="X743">
        <v>0.45981584378215584</v>
      </c>
      <c r="Y743">
        <v>0.73267657481546056</v>
      </c>
      <c r="Z743">
        <v>0.86932925508659809</v>
      </c>
      <c r="AA743">
        <v>0.80044865606578031</v>
      </c>
      <c r="AB743">
        <v>0.59497815826111566</v>
      </c>
      <c r="AC743">
        <v>0.71534846952141273</v>
      </c>
      <c r="AD743">
        <v>0.75312810646729467</v>
      </c>
      <c r="AE743">
        <v>0.75054688936992431</v>
      </c>
      <c r="AH743">
        <v>0.11796028929471836</v>
      </c>
      <c r="AI743">
        <v>8.8718879936066974E-2</v>
      </c>
      <c r="AJ743">
        <v>9.4707543916065395E-2</v>
      </c>
      <c r="AK743">
        <v>5.8971069891825545E-2</v>
      </c>
      <c r="AL743">
        <v>3.6316625053623319E-2</v>
      </c>
      <c r="AM743">
        <v>0.18464313110342889</v>
      </c>
      <c r="AN743">
        <v>0.1116222448352131</v>
      </c>
      <c r="AO743">
        <v>0.14835906055401249</v>
      </c>
      <c r="AR743">
        <v>1.0938846736325836E-3</v>
      </c>
      <c r="AS743">
        <v>4.8051679584329987E-3</v>
      </c>
      <c r="AT743">
        <v>5.1230234318295764E-3</v>
      </c>
      <c r="AU743">
        <v>1.8243497800074109E-3</v>
      </c>
      <c r="AV743">
        <v>1.9174179619892351E-3</v>
      </c>
      <c r="AW743">
        <v>3.5513008291534476E-3</v>
      </c>
      <c r="AX743">
        <v>4.7315408094983358E-4</v>
      </c>
      <c r="AY743">
        <v>3.625234329692418E-4</v>
      </c>
      <c r="BB743">
        <v>5.4411797323365096E-2</v>
      </c>
      <c r="BC743">
        <v>5.4297826558079132E-2</v>
      </c>
      <c r="BE743">
        <v>63976.147925115736</v>
      </c>
      <c r="BF743">
        <v>16.062499697178879</v>
      </c>
      <c r="BG743">
        <v>65566.14999679687</v>
      </c>
      <c r="BH743">
        <v>15.901431171814792</v>
      </c>
      <c r="BI743">
        <v>-1590.0020716811341</v>
      </c>
      <c r="BJ743">
        <v>0.16106852536408667</v>
      </c>
    </row>
    <row r="744" spans="3:62" x14ac:dyDescent="0.2">
      <c r="C744" s="121">
        <v>65821.750932126932</v>
      </c>
      <c r="D744">
        <v>17.042261154855691</v>
      </c>
      <c r="E744" s="121">
        <v>67009.269051050622</v>
      </c>
      <c r="F744" s="121">
        <v>16.957507986110503</v>
      </c>
      <c r="G744" s="121">
        <v>-1187.5181189236901</v>
      </c>
      <c r="H744" s="121">
        <v>8.4753168745187679E-2</v>
      </c>
      <c r="N744" s="121"/>
      <c r="O744" s="121"/>
      <c r="P744" s="121"/>
      <c r="R744">
        <v>280.07852742604649</v>
      </c>
      <c r="S744">
        <v>64.176459628319364</v>
      </c>
      <c r="T744">
        <v>226.50541646767709</v>
      </c>
      <c r="U744">
        <v>104.58086617696348</v>
      </c>
      <c r="X744">
        <v>0.71686442534923467</v>
      </c>
      <c r="Y744">
        <v>0.72788371290561937</v>
      </c>
      <c r="Z744">
        <v>0.65275069273233555</v>
      </c>
      <c r="AA744">
        <v>0.65927928526523483</v>
      </c>
      <c r="AB744">
        <v>0.74910452666452121</v>
      </c>
      <c r="AC744">
        <v>0.7553144507922267</v>
      </c>
      <c r="AD744">
        <v>0.70564233570818813</v>
      </c>
      <c r="AE744">
        <v>0.83459310547188692</v>
      </c>
      <c r="AH744">
        <v>0.13855412246836163</v>
      </c>
      <c r="AI744">
        <v>0.21394318786240796</v>
      </c>
      <c r="AJ744">
        <v>9.6420161396911119E-2</v>
      </c>
      <c r="AK744">
        <v>6.0329689338048276E-2</v>
      </c>
      <c r="AL744">
        <v>2.4746928660611678E-2</v>
      </c>
      <c r="AM744">
        <v>3.5511093223358658E-2</v>
      </c>
      <c r="AN744">
        <v>0.26139388699957455</v>
      </c>
      <c r="AO744">
        <v>0.2492780992330933</v>
      </c>
      <c r="AR744">
        <v>9.0752098005264514E-4</v>
      </c>
      <c r="AS744">
        <v>4.4794596827282982E-3</v>
      </c>
      <c r="AT744">
        <v>4.9364531586880899E-3</v>
      </c>
      <c r="AU744">
        <v>2.1650899524970901E-3</v>
      </c>
      <c r="AV744">
        <v>2.0750352437494124E-3</v>
      </c>
      <c r="AW744">
        <v>3.1201788255273543E-3</v>
      </c>
      <c r="AX744">
        <v>4.026351248821447E-4</v>
      </c>
      <c r="AY744">
        <v>4.7307409426800007E-4</v>
      </c>
      <c r="BB744">
        <v>3.9881808998479262E-2</v>
      </c>
      <c r="BC744">
        <v>5.307032919152066E-2</v>
      </c>
      <c r="BE744">
        <v>65821.750932126932</v>
      </c>
      <c r="BF744">
        <v>17.042261154855691</v>
      </c>
      <c r="BG744">
        <v>67009.269051050622</v>
      </c>
      <c r="BH744">
        <v>16.957507986110503</v>
      </c>
      <c r="BI744">
        <v>-1187.5181189236901</v>
      </c>
      <c r="BJ744">
        <v>8.4753168745187679E-2</v>
      </c>
    </row>
    <row r="745" spans="3:62" x14ac:dyDescent="0.2">
      <c r="C745" s="121">
        <v>67004.965157641942</v>
      </c>
      <c r="D745">
        <v>16.80303098350835</v>
      </c>
      <c r="E745" s="121">
        <v>68306.670886013162</v>
      </c>
      <c r="F745" s="121">
        <v>16.70471812399127</v>
      </c>
      <c r="G745" s="121">
        <v>-1301.7057283712202</v>
      </c>
      <c r="H745" s="121">
        <v>9.8312859517079687E-2</v>
      </c>
      <c r="N745" s="121"/>
      <c r="O745" s="121"/>
      <c r="P745" s="121"/>
      <c r="R745">
        <v>476.96128735318905</v>
      </c>
      <c r="S745">
        <v>69.437866205606866</v>
      </c>
      <c r="T745">
        <v>285.72673362599284</v>
      </c>
      <c r="U745">
        <v>91.135138976177544</v>
      </c>
      <c r="X745">
        <v>0.79211485771293777</v>
      </c>
      <c r="Y745">
        <v>0.77257555496325181</v>
      </c>
      <c r="Z745">
        <v>0.40171248619692296</v>
      </c>
      <c r="AA745">
        <v>0.47284278648477523</v>
      </c>
      <c r="AB745">
        <v>0.94939028593713259</v>
      </c>
      <c r="AC745">
        <v>0.91426814743540263</v>
      </c>
      <c r="AD745">
        <v>0.90672459492328272</v>
      </c>
      <c r="AE745">
        <v>0.88691729847666556</v>
      </c>
      <c r="AH745">
        <v>0.11269821821680015</v>
      </c>
      <c r="AI745">
        <v>0.10591349139950013</v>
      </c>
      <c r="AJ745">
        <v>4.8980118918980242E-2</v>
      </c>
      <c r="AK745">
        <v>0.23301775398632096</v>
      </c>
      <c r="AL745">
        <v>9.9587911784682737E-2</v>
      </c>
      <c r="AM745">
        <v>0.28776944023824713</v>
      </c>
      <c r="AN745">
        <v>0.16007946517805571</v>
      </c>
      <c r="AO745">
        <v>0.23173402319570469</v>
      </c>
      <c r="AR745">
        <v>8.1269550584056995E-4</v>
      </c>
      <c r="AS745">
        <v>4.3972960924228378E-3</v>
      </c>
      <c r="AT745">
        <v>5.1203039923668481E-3</v>
      </c>
      <c r="AU745">
        <v>2.1619110163315636E-3</v>
      </c>
      <c r="AV745">
        <v>1.7691475376044577E-3</v>
      </c>
      <c r="AW745">
        <v>3.5471281476793237E-3</v>
      </c>
      <c r="AX745">
        <v>3.9559716345283907E-4</v>
      </c>
      <c r="AY745">
        <v>3.7637284087597826E-4</v>
      </c>
      <c r="BB745">
        <v>4.9337440000133133E-2</v>
      </c>
      <c r="BC745">
        <v>3.8991285389229108E-2</v>
      </c>
      <c r="BE745">
        <v>67004.965157641942</v>
      </c>
      <c r="BF745">
        <v>16.80303098350835</v>
      </c>
      <c r="BG745">
        <v>68306.670886013162</v>
      </c>
      <c r="BH745">
        <v>16.70471812399127</v>
      </c>
      <c r="BI745">
        <v>-1301.7057283712202</v>
      </c>
      <c r="BJ745">
        <v>9.8312859517079687E-2</v>
      </c>
    </row>
    <row r="746" spans="3:62" x14ac:dyDescent="0.2">
      <c r="C746" s="121">
        <v>69546.594258104291</v>
      </c>
      <c r="D746">
        <v>16.307025357005127</v>
      </c>
      <c r="E746" s="121">
        <v>70633.717382504794</v>
      </c>
      <c r="F746" s="121">
        <v>16.269409838233081</v>
      </c>
      <c r="G746" s="121">
        <v>-1087.123124400503</v>
      </c>
      <c r="H746" s="121">
        <v>3.7615518772046386E-2</v>
      </c>
      <c r="N746" s="121"/>
      <c r="O746" s="121"/>
      <c r="P746" s="121"/>
      <c r="R746">
        <v>434.59804954289598</v>
      </c>
      <c r="S746">
        <v>55.755495726218768</v>
      </c>
      <c r="T746">
        <v>220.26171561319094</v>
      </c>
      <c r="U746">
        <v>84.989836661637568</v>
      </c>
      <c r="X746">
        <v>0.56289822531725298</v>
      </c>
      <c r="Y746">
        <v>0.79818552681628718</v>
      </c>
      <c r="Z746">
        <v>0.82697156960848783</v>
      </c>
      <c r="AA746">
        <v>0.70464772691206878</v>
      </c>
      <c r="AB746">
        <v>0.51079061251357649</v>
      </c>
      <c r="AC746">
        <v>0.73093914354422218</v>
      </c>
      <c r="AD746">
        <v>0.78825380007360146</v>
      </c>
      <c r="AE746">
        <v>0.75575310342727908</v>
      </c>
      <c r="AH746">
        <v>0.26421667313548036</v>
      </c>
      <c r="AI746">
        <v>0.16633727964454248</v>
      </c>
      <c r="AJ746">
        <v>0.12778742535517607</v>
      </c>
      <c r="AK746">
        <v>2.1395881989570431E-2</v>
      </c>
      <c r="AL746">
        <v>0.12314070833214774</v>
      </c>
      <c r="AM746">
        <v>0.10926213587107747</v>
      </c>
      <c r="AN746">
        <v>0.11859963305177434</v>
      </c>
      <c r="AO746">
        <v>0.39910059540024234</v>
      </c>
      <c r="AR746">
        <v>9.8410523993430754E-4</v>
      </c>
      <c r="AS746">
        <v>4.7006774015437847E-3</v>
      </c>
      <c r="AT746">
        <v>4.8733752555662644E-3</v>
      </c>
      <c r="AU746">
        <v>2.0928109678407525E-3</v>
      </c>
      <c r="AV746">
        <v>2.0966773416813966E-3</v>
      </c>
      <c r="AW746">
        <v>3.5562578215605489E-3</v>
      </c>
      <c r="AX746">
        <v>4.871931053381795E-4</v>
      </c>
      <c r="AY746">
        <v>4.280159976929027E-4</v>
      </c>
      <c r="BB746">
        <v>5.6585127766631826E-2</v>
      </c>
      <c r="BC746">
        <v>4.3842877983368576E-2</v>
      </c>
      <c r="BE746">
        <v>69546.594258104291</v>
      </c>
      <c r="BF746">
        <v>16.307025357005127</v>
      </c>
      <c r="BG746">
        <v>70633.717382504794</v>
      </c>
      <c r="BH746">
        <v>16.269409838233081</v>
      </c>
      <c r="BI746">
        <v>-1087.123124400503</v>
      </c>
      <c r="BJ746">
        <v>3.7615518772046386E-2</v>
      </c>
    </row>
    <row r="747" spans="3:62" x14ac:dyDescent="0.2">
      <c r="C747" s="121">
        <v>71718.330724260959</v>
      </c>
      <c r="D747">
        <v>16.545059394211492</v>
      </c>
      <c r="E747" s="121">
        <v>73651.913261697977</v>
      </c>
      <c r="F747" s="121">
        <v>16.383029250874259</v>
      </c>
      <c r="G747" s="121">
        <v>-1933.5825374370179</v>
      </c>
      <c r="H747" s="121">
        <v>0.16203014333723331</v>
      </c>
      <c r="N747" s="121"/>
      <c r="O747" s="121"/>
      <c r="P747" s="121"/>
      <c r="R747">
        <v>339.61994166043439</v>
      </c>
      <c r="S747">
        <v>66.565492097660737</v>
      </c>
      <c r="T747">
        <v>287.87189149052369</v>
      </c>
      <c r="U747">
        <v>94.578827902803482</v>
      </c>
      <c r="X747">
        <v>0.75122833983424697</v>
      </c>
      <c r="Y747">
        <v>0.47851640082240482</v>
      </c>
      <c r="Z747">
        <v>0.94142029524643833</v>
      </c>
      <c r="AA747">
        <v>0.67618012399338789</v>
      </c>
      <c r="AB747">
        <v>0.93025398936237536</v>
      </c>
      <c r="AC747">
        <v>0.70021869626314359</v>
      </c>
      <c r="AD747">
        <v>0.75494185284816884</v>
      </c>
      <c r="AE747">
        <v>0.59507195686588499</v>
      </c>
      <c r="AH747">
        <v>4.9446459165534584E-2</v>
      </c>
      <c r="AI747">
        <v>9.687540465488742E-2</v>
      </c>
      <c r="AJ747">
        <v>7.3863423095802405E-3</v>
      </c>
      <c r="AK747">
        <v>0.2389466557053086</v>
      </c>
      <c r="AL747">
        <v>0.1548590283875263</v>
      </c>
      <c r="AM747">
        <v>7.8303827746717625E-2</v>
      </c>
      <c r="AN747">
        <v>7.7320809437856908E-2</v>
      </c>
      <c r="AO747">
        <v>0.29634923365438937</v>
      </c>
      <c r="AR747">
        <v>8.706223964743844E-4</v>
      </c>
      <c r="AS747">
        <v>4.5167888802114531E-3</v>
      </c>
      <c r="AT747">
        <v>4.5757074640826465E-3</v>
      </c>
      <c r="AU747">
        <v>1.9262241090540169E-3</v>
      </c>
      <c r="AV747">
        <v>2.038416053298131E-3</v>
      </c>
      <c r="AW747">
        <v>3.4343415093567309E-3</v>
      </c>
      <c r="AX747">
        <v>3.572986980389948E-4</v>
      </c>
      <c r="AY747">
        <v>4.3248507566182563E-4</v>
      </c>
      <c r="BB747">
        <v>4.4515359122559044E-2</v>
      </c>
      <c r="BC747">
        <v>3.3887588936359743E-2</v>
      </c>
      <c r="BE747">
        <v>71718.330724260959</v>
      </c>
      <c r="BF747">
        <v>16.545059394211492</v>
      </c>
      <c r="BG747">
        <v>73651.913261697977</v>
      </c>
      <c r="BH747">
        <v>16.383029250874259</v>
      </c>
      <c r="BI747">
        <v>-1933.5825374370179</v>
      </c>
      <c r="BJ747">
        <v>0.16203014333723331</v>
      </c>
    </row>
    <row r="748" spans="3:62" x14ac:dyDescent="0.2">
      <c r="C748" s="121">
        <v>68990.692572548243</v>
      </c>
      <c r="D748">
        <v>16.9745811193301</v>
      </c>
      <c r="E748" s="121">
        <v>70346.96555763355</v>
      </c>
      <c r="F748" s="121">
        <v>16.87750497132205</v>
      </c>
      <c r="G748" s="121">
        <v>-1356.2729850853066</v>
      </c>
      <c r="H748" s="121">
        <v>9.7076148008049756E-2</v>
      </c>
      <c r="N748" s="121"/>
      <c r="O748" s="121"/>
      <c r="P748" s="121"/>
      <c r="R748">
        <v>211.45867079797196</v>
      </c>
      <c r="S748">
        <v>59.572656488794649</v>
      </c>
      <c r="T748">
        <v>278.77456489676104</v>
      </c>
      <c r="U748">
        <v>101.67385237283307</v>
      </c>
      <c r="X748">
        <v>0.75640656335251888</v>
      </c>
      <c r="Y748">
        <v>0.67252283617419606</v>
      </c>
      <c r="Z748">
        <v>0.74655336994643839</v>
      </c>
      <c r="AA748">
        <v>0.89608788735715073</v>
      </c>
      <c r="AB748">
        <v>0.82439003038909464</v>
      </c>
      <c r="AC748">
        <v>0.72693523302804919</v>
      </c>
      <c r="AD748">
        <v>0.47396127954482675</v>
      </c>
      <c r="AE748">
        <v>0.67265327185185264</v>
      </c>
      <c r="AH748">
        <v>0.19183103379725175</v>
      </c>
      <c r="AI748">
        <v>0.11468839053279889</v>
      </c>
      <c r="AJ748">
        <v>7.1242431138065498E-2</v>
      </c>
      <c r="AK748">
        <v>0.18133951629359568</v>
      </c>
      <c r="AL748">
        <v>0.11533194638244526</v>
      </c>
      <c r="AM748">
        <v>3.0465945446077169E-2</v>
      </c>
      <c r="AN748">
        <v>4.2414639433918655E-2</v>
      </c>
      <c r="AO748">
        <v>0.14053952313598661</v>
      </c>
      <c r="AR748">
        <v>9.3965601287937517E-4</v>
      </c>
      <c r="AS748">
        <v>4.3930254320076823E-3</v>
      </c>
      <c r="AT748">
        <v>4.7125166582442004E-3</v>
      </c>
      <c r="AU748">
        <v>2.1268295999474773E-3</v>
      </c>
      <c r="AV748">
        <v>2.0471962881429828E-3</v>
      </c>
      <c r="AW748">
        <v>3.5556606490662057E-3</v>
      </c>
      <c r="AX748">
        <v>5.7264589792671572E-4</v>
      </c>
      <c r="AY748">
        <v>2.8265362747646917E-4</v>
      </c>
      <c r="BB748">
        <v>5.6657940776777882E-2</v>
      </c>
      <c r="BC748">
        <v>4.4912751549120736E-2</v>
      </c>
      <c r="BE748">
        <v>68990.692572548243</v>
      </c>
      <c r="BF748">
        <v>16.9745811193301</v>
      </c>
      <c r="BG748">
        <v>70346.96555763355</v>
      </c>
      <c r="BH748">
        <v>16.87750497132205</v>
      </c>
      <c r="BI748">
        <v>-1356.2729850853066</v>
      </c>
      <c r="BJ748">
        <v>9.7076148008049756E-2</v>
      </c>
    </row>
    <row r="749" spans="3:62" x14ac:dyDescent="0.2">
      <c r="C749" s="121">
        <v>69091.671180183868</v>
      </c>
      <c r="D749">
        <v>15.578436699935521</v>
      </c>
      <c r="E749" s="121">
        <v>70967.03120425815</v>
      </c>
      <c r="F749" s="121">
        <v>15.406121988410076</v>
      </c>
      <c r="G749" s="121">
        <v>-1875.3600240742817</v>
      </c>
      <c r="H749" s="121">
        <v>0.17231471152544486</v>
      </c>
      <c r="N749" s="121"/>
      <c r="O749" s="121"/>
      <c r="P749" s="121"/>
      <c r="R749">
        <v>249.07862745169442</v>
      </c>
      <c r="S749">
        <v>64.561614791501498</v>
      </c>
      <c r="T749">
        <v>272.09319757375459</v>
      </c>
      <c r="U749">
        <v>83.679321987350079</v>
      </c>
      <c r="X749">
        <v>0.82261639762291661</v>
      </c>
      <c r="Y749">
        <v>0.85374092381510336</v>
      </c>
      <c r="Z749">
        <v>0.6817044116923312</v>
      </c>
      <c r="AA749">
        <v>0.49770999723484721</v>
      </c>
      <c r="AB749">
        <v>0.93269539526633505</v>
      </c>
      <c r="AC749">
        <v>0.52619683800053885</v>
      </c>
      <c r="AD749">
        <v>0.82253902476498397</v>
      </c>
      <c r="AE749">
        <v>0.75759069202527629</v>
      </c>
      <c r="AH749">
        <v>7.7313610803937949E-2</v>
      </c>
      <c r="AI749">
        <v>0.18443572371161987</v>
      </c>
      <c r="AJ749">
        <v>6.9659607776941135E-2</v>
      </c>
      <c r="AK749">
        <v>7.9354388796133768E-2</v>
      </c>
      <c r="AL749">
        <v>0.1050117288495227</v>
      </c>
      <c r="AM749">
        <v>0.12843192613372423</v>
      </c>
      <c r="AN749">
        <v>2.5642603435963807E-2</v>
      </c>
      <c r="AO749">
        <v>2.8173274893160238E-2</v>
      </c>
      <c r="AR749">
        <v>8.4240161131908682E-4</v>
      </c>
      <c r="AS749">
        <v>4.1700132787525204E-3</v>
      </c>
      <c r="AT749">
        <v>5.3683431571834861E-3</v>
      </c>
      <c r="AU749">
        <v>1.8874176760788214E-3</v>
      </c>
      <c r="AV749">
        <v>2.0797733214904524E-3</v>
      </c>
      <c r="AW749">
        <v>3.2575523252116475E-3</v>
      </c>
      <c r="AX749">
        <v>3.5834557384160464E-4</v>
      </c>
      <c r="AY749">
        <v>3.7554350028237411E-4</v>
      </c>
      <c r="BB749">
        <v>5.3456704008005174E-2</v>
      </c>
      <c r="BC749">
        <v>5.8074243897251798E-2</v>
      </c>
      <c r="BE749">
        <v>69091.671180183868</v>
      </c>
      <c r="BF749">
        <v>15.578436699935521</v>
      </c>
      <c r="BG749">
        <v>70967.03120425815</v>
      </c>
      <c r="BH749">
        <v>15.406121988410076</v>
      </c>
      <c r="BI749">
        <v>-1875.3600240742817</v>
      </c>
      <c r="BJ749">
        <v>0.17231471152544486</v>
      </c>
    </row>
    <row r="750" spans="3:62" x14ac:dyDescent="0.2">
      <c r="C750" s="121">
        <v>70779.480471372706</v>
      </c>
      <c r="D750">
        <v>15.777048405267763</v>
      </c>
      <c r="E750" s="121">
        <v>72848.502346365756</v>
      </c>
      <c r="F750" s="121">
        <v>15.656427037065052</v>
      </c>
      <c r="G750" s="121">
        <v>-2069.02187499305</v>
      </c>
      <c r="H750" s="121">
        <v>0.12062136820271085</v>
      </c>
      <c r="N750" s="121"/>
      <c r="O750" s="121"/>
      <c r="P750" s="121"/>
      <c r="R750">
        <v>221.32577069032965</v>
      </c>
      <c r="S750">
        <v>56.800710326684239</v>
      </c>
      <c r="T750">
        <v>247.11494160154032</v>
      </c>
      <c r="U750">
        <v>103.67840753930302</v>
      </c>
      <c r="X750">
        <v>0.90466973659946825</v>
      </c>
      <c r="Y750">
        <v>0.79499914630796964</v>
      </c>
      <c r="Z750">
        <v>0.79541195453411984</v>
      </c>
      <c r="AA750">
        <v>0.90478948546370563</v>
      </c>
      <c r="AB750">
        <v>0.54802582454337179</v>
      </c>
      <c r="AC750">
        <v>0.75272736020666065</v>
      </c>
      <c r="AD750">
        <v>0.78628062542379329</v>
      </c>
      <c r="AE750">
        <v>0.78453050720895035</v>
      </c>
      <c r="AH750">
        <v>0.12599427002436614</v>
      </c>
      <c r="AI750">
        <v>4.6393738179855704E-2</v>
      </c>
      <c r="AJ750">
        <v>0.14604773550045824</v>
      </c>
      <c r="AK750">
        <v>7.3809919832200643E-3</v>
      </c>
      <c r="AL750">
        <v>0.11459027231774355</v>
      </c>
      <c r="AM750">
        <v>0.14181022163739565</v>
      </c>
      <c r="AN750">
        <v>9.4192787878813244E-2</v>
      </c>
      <c r="AO750">
        <v>6.3704965374055345E-2</v>
      </c>
      <c r="AR750">
        <v>8.7926766162025271E-4</v>
      </c>
      <c r="AS750">
        <v>4.4947501596849264E-3</v>
      </c>
      <c r="AT750">
        <v>4.870042356288364E-3</v>
      </c>
      <c r="AU750">
        <v>1.9275102266641411E-3</v>
      </c>
      <c r="AV750">
        <v>1.8559438849261904E-3</v>
      </c>
      <c r="AW750">
        <v>3.2983444949615023E-3</v>
      </c>
      <c r="AX750">
        <v>4.5057832043537971E-4</v>
      </c>
      <c r="AY750">
        <v>3.1733762126809648E-4</v>
      </c>
      <c r="BB750">
        <v>4.9093770094537935E-2</v>
      </c>
      <c r="BC750">
        <v>4.6413093096511975E-2</v>
      </c>
      <c r="BE750">
        <v>70779.480471372706</v>
      </c>
      <c r="BF750">
        <v>15.777048405267763</v>
      </c>
      <c r="BG750">
        <v>72848.502346365756</v>
      </c>
      <c r="BH750">
        <v>15.656427037065052</v>
      </c>
      <c r="BI750">
        <v>-2069.02187499305</v>
      </c>
      <c r="BJ750">
        <v>0.12062136820271085</v>
      </c>
    </row>
    <row r="751" spans="3:62" x14ac:dyDescent="0.2">
      <c r="C751" s="121">
        <v>67136.098299026911</v>
      </c>
      <c r="D751">
        <v>16.232720458272979</v>
      </c>
      <c r="E751" s="121">
        <v>68659.301788266603</v>
      </c>
      <c r="F751" s="121">
        <v>16.128503094129325</v>
      </c>
      <c r="G751" s="121">
        <v>-1523.2034892396914</v>
      </c>
      <c r="H751" s="121">
        <v>0.10421736414365412</v>
      </c>
      <c r="N751" s="121"/>
      <c r="O751" s="121"/>
      <c r="P751" s="121"/>
      <c r="R751">
        <v>184.23529715527957</v>
      </c>
      <c r="S751">
        <v>53.128290975607783</v>
      </c>
      <c r="T751">
        <v>243.0874684353023</v>
      </c>
      <c r="U751">
        <v>95.869386773284972</v>
      </c>
      <c r="X751">
        <v>0.72383315081810962</v>
      </c>
      <c r="Y751">
        <v>0.82901901033547409</v>
      </c>
      <c r="Z751">
        <v>0.8546265904363306</v>
      </c>
      <c r="AA751">
        <v>0.61377541277244663</v>
      </c>
      <c r="AB751">
        <v>0.8666970122502653</v>
      </c>
      <c r="AC751">
        <v>0.78220652794191048</v>
      </c>
      <c r="AD751">
        <v>0.80624772228116059</v>
      </c>
      <c r="AE751">
        <v>0.56867751140282619</v>
      </c>
      <c r="AH751">
        <v>5.9038933337351329E-2</v>
      </c>
      <c r="AI751">
        <v>5.9001974189490936E-2</v>
      </c>
      <c r="AJ751">
        <v>3.4532343837077484E-2</v>
      </c>
      <c r="AK751">
        <v>7.468580099272959E-2</v>
      </c>
      <c r="AL751">
        <v>9.4682038960147041E-2</v>
      </c>
      <c r="AM751">
        <v>8.5404040759008648E-2</v>
      </c>
      <c r="AN751">
        <v>0.11120682968780871</v>
      </c>
      <c r="AO751">
        <v>0.20858487367829404</v>
      </c>
      <c r="AR751">
        <v>8.5240270915991193E-4</v>
      </c>
      <c r="AS751">
        <v>4.7898924864295811E-3</v>
      </c>
      <c r="AT751">
        <v>4.8921755577472376E-3</v>
      </c>
      <c r="AU751">
        <v>1.9473334238018127E-3</v>
      </c>
      <c r="AV751">
        <v>1.8958610342888625E-3</v>
      </c>
      <c r="AW751">
        <v>3.3717516721068958E-3</v>
      </c>
      <c r="AX751">
        <v>4.1568677860082115E-4</v>
      </c>
      <c r="AY751">
        <v>3.7509442964004861E-4</v>
      </c>
      <c r="BB751">
        <v>4.6608484673548771E-2</v>
      </c>
      <c r="BC751">
        <v>3.1195026264763729E-2</v>
      </c>
      <c r="BE751">
        <v>67136.098299026911</v>
      </c>
      <c r="BF751">
        <v>16.232720458272979</v>
      </c>
      <c r="BG751">
        <v>68659.301788266603</v>
      </c>
      <c r="BH751">
        <v>16.128503094129325</v>
      </c>
      <c r="BI751">
        <v>-1523.2034892396914</v>
      </c>
      <c r="BJ751">
        <v>0.10421736414365412</v>
      </c>
    </row>
    <row r="752" spans="3:62" x14ac:dyDescent="0.2">
      <c r="C752" s="121">
        <v>75716.108320299289</v>
      </c>
      <c r="D752">
        <v>16.253749370000012</v>
      </c>
      <c r="E752" s="121">
        <v>77501.373710821921</v>
      </c>
      <c r="F752" s="121">
        <v>16.210813268915722</v>
      </c>
      <c r="G752" s="121">
        <v>-1785.2653905226325</v>
      </c>
      <c r="H752" s="121">
        <v>4.2936101084290357E-2</v>
      </c>
      <c r="N752" s="121"/>
      <c r="O752" s="121"/>
      <c r="P752" s="121"/>
      <c r="R752">
        <v>34.828500433064818</v>
      </c>
      <c r="S752">
        <v>56.334652245322545</v>
      </c>
      <c r="T752">
        <v>255.64625196988379</v>
      </c>
      <c r="U752">
        <v>99.45111119292892</v>
      </c>
      <c r="X752">
        <v>0.77535900463832585</v>
      </c>
      <c r="Y752">
        <v>0.85266848016737695</v>
      </c>
      <c r="Z752">
        <v>0.77253165813418911</v>
      </c>
      <c r="AA752">
        <v>0.85969744204983223</v>
      </c>
      <c r="AB752">
        <v>0.92033624335541986</v>
      </c>
      <c r="AC752">
        <v>0.8239728344932491</v>
      </c>
      <c r="AD752">
        <v>0.59311743367108094</v>
      </c>
      <c r="AE752">
        <v>0.64741045130775843</v>
      </c>
      <c r="AH752">
        <v>0.28608002727642223</v>
      </c>
      <c r="AI752">
        <v>3.2927483620292075E-2</v>
      </c>
      <c r="AJ752">
        <v>5.2615476053227916E-2</v>
      </c>
      <c r="AK752">
        <v>0.17575875513860384</v>
      </c>
      <c r="AL752">
        <v>0.16154253900023952</v>
      </c>
      <c r="AM752">
        <v>3.2873607433694163E-2</v>
      </c>
      <c r="AN752">
        <v>3.7167748659391098E-2</v>
      </c>
      <c r="AO752">
        <v>3.2990670578694425E-2</v>
      </c>
      <c r="AR752">
        <v>8.5691547724760285E-4</v>
      </c>
      <c r="AS752">
        <v>4.6253269502879446E-3</v>
      </c>
      <c r="AT752">
        <v>5.2807741399023556E-3</v>
      </c>
      <c r="AU752">
        <v>2.0420139665632275E-3</v>
      </c>
      <c r="AV752">
        <v>2.1045076990804379E-3</v>
      </c>
      <c r="AW752">
        <v>3.5612912207682035E-3</v>
      </c>
      <c r="AX752">
        <v>4.7924225333983994E-4</v>
      </c>
      <c r="AY752">
        <v>5.5833259752890996E-4</v>
      </c>
      <c r="BB752">
        <v>4.4832192085320272E-2</v>
      </c>
      <c r="BC752">
        <v>3.3173481139553714E-2</v>
      </c>
      <c r="BE752">
        <v>75716.108320299289</v>
      </c>
      <c r="BF752">
        <v>16.253749370000012</v>
      </c>
      <c r="BG752">
        <v>77501.373710821921</v>
      </c>
      <c r="BH752">
        <v>16.210813268915722</v>
      </c>
      <c r="BI752">
        <v>-1785.2653905226325</v>
      </c>
      <c r="BJ752">
        <v>4.2936101084290357E-2</v>
      </c>
    </row>
    <row r="753" spans="3:62" x14ac:dyDescent="0.2">
      <c r="C753" s="121">
        <v>65973.81309148045</v>
      </c>
      <c r="D753">
        <v>17.775453369435077</v>
      </c>
      <c r="E753" s="121">
        <v>67720.040072356875</v>
      </c>
      <c r="F753" s="121">
        <v>17.65026496616057</v>
      </c>
      <c r="G753" s="121">
        <v>-1746.2269808764249</v>
      </c>
      <c r="H753" s="121">
        <v>0.12518840327450675</v>
      </c>
      <c r="N753" s="121"/>
      <c r="O753" s="121"/>
      <c r="P753" s="121"/>
      <c r="R753">
        <v>29.199662543281647</v>
      </c>
      <c r="S753">
        <v>63.283257095483876</v>
      </c>
      <c r="T753">
        <v>250.75390097122838</v>
      </c>
      <c r="U753">
        <v>113.87447454801838</v>
      </c>
      <c r="X753">
        <v>0.70057660744848271</v>
      </c>
      <c r="Y753">
        <v>0.74253809930738091</v>
      </c>
      <c r="Z753">
        <v>0.58099700542132215</v>
      </c>
      <c r="AA753">
        <v>0.55796912703050272</v>
      </c>
      <c r="AB753">
        <v>0.7506872560767941</v>
      </c>
      <c r="AC753">
        <v>0.86762699587606129</v>
      </c>
      <c r="AD753">
        <v>0.60988819472671429</v>
      </c>
      <c r="AE753">
        <v>0.67971805684533648</v>
      </c>
      <c r="AH753">
        <v>0.13604117535268134</v>
      </c>
      <c r="AI753">
        <v>0.11076022781295536</v>
      </c>
      <c r="AJ753">
        <v>0.21650317005929176</v>
      </c>
      <c r="AK753">
        <v>0.13744405534790516</v>
      </c>
      <c r="AL753">
        <v>8.6162629422114723E-2</v>
      </c>
      <c r="AM753">
        <v>5.5054753500867193E-2</v>
      </c>
      <c r="AN753">
        <v>0.27233334619120053</v>
      </c>
      <c r="AO753">
        <v>5.4504189892738308E-2</v>
      </c>
      <c r="AR753">
        <v>7.8473314429266638E-4</v>
      </c>
      <c r="AS753">
        <v>4.4981032678617083E-3</v>
      </c>
      <c r="AT753">
        <v>5.2817707747301323E-3</v>
      </c>
      <c r="AU753">
        <v>2.0057136290884126E-3</v>
      </c>
      <c r="AV753">
        <v>2.1964221498603775E-3</v>
      </c>
      <c r="AW753">
        <v>3.362627179581381E-3</v>
      </c>
      <c r="AX753">
        <v>3.7803734940555479E-4</v>
      </c>
      <c r="AY753">
        <v>4.4721099333899783E-4</v>
      </c>
      <c r="BB753">
        <v>5.438888078073878E-2</v>
      </c>
      <c r="BC753">
        <v>9.7790047525615709E-2</v>
      </c>
      <c r="BE753">
        <v>65973.81309148045</v>
      </c>
      <c r="BF753">
        <v>17.775453369435077</v>
      </c>
      <c r="BG753">
        <v>67720.040072356875</v>
      </c>
      <c r="BH753">
        <v>17.65026496616057</v>
      </c>
      <c r="BI753">
        <v>-1746.2269808764249</v>
      </c>
      <c r="BJ753">
        <v>0.12518840327450675</v>
      </c>
    </row>
    <row r="754" spans="3:62" x14ac:dyDescent="0.2">
      <c r="C754" s="121">
        <v>68071.838344060758</v>
      </c>
      <c r="D754">
        <v>17.312484943140309</v>
      </c>
      <c r="E754" s="121">
        <v>70065.016862974735</v>
      </c>
      <c r="F754" s="121">
        <v>17.194695838622156</v>
      </c>
      <c r="G754" s="121">
        <v>-1993.1785189139773</v>
      </c>
      <c r="H754" s="121">
        <v>0.1177891045181525</v>
      </c>
      <c r="N754" s="121"/>
      <c r="O754" s="121"/>
      <c r="P754" s="121"/>
      <c r="R754">
        <v>200.42728564787737</v>
      </c>
      <c r="S754">
        <v>63.347949593294423</v>
      </c>
      <c r="T754">
        <v>253.60528502734425</v>
      </c>
      <c r="U754">
        <v>82.103662195894685</v>
      </c>
      <c r="X754">
        <v>0.7762595087596561</v>
      </c>
      <c r="Y754">
        <v>0.79265447928431265</v>
      </c>
      <c r="Z754">
        <v>0.80552345810875958</v>
      </c>
      <c r="AA754">
        <v>0.3751345710154757</v>
      </c>
      <c r="AB754">
        <v>0.73836474107449079</v>
      </c>
      <c r="AC754">
        <v>0.63547148772825435</v>
      </c>
      <c r="AD754">
        <v>0.76933699738718631</v>
      </c>
      <c r="AE754">
        <v>0.58906853991309061</v>
      </c>
      <c r="AH754">
        <v>0.11363041200374446</v>
      </c>
      <c r="AI754">
        <v>9.4970357489730262E-2</v>
      </c>
      <c r="AJ754">
        <v>5.7578528318015021E-2</v>
      </c>
      <c r="AK754">
        <v>0.13778624834529363</v>
      </c>
      <c r="AL754">
        <v>5.42290772066647E-2</v>
      </c>
      <c r="AM754">
        <v>0.26245513384388053</v>
      </c>
      <c r="AN754">
        <v>8.7101230018360454E-2</v>
      </c>
      <c r="AO754">
        <v>0.2016656677089157</v>
      </c>
      <c r="AR754">
        <v>9.7282456083291891E-4</v>
      </c>
      <c r="AS754">
        <v>4.3443917148845955E-3</v>
      </c>
      <c r="AT754">
        <v>4.6307615758801957E-3</v>
      </c>
      <c r="AU754">
        <v>2.0509898358681555E-3</v>
      </c>
      <c r="AV754">
        <v>1.8362551029546745E-3</v>
      </c>
      <c r="AW754">
        <v>3.5187330933870165E-3</v>
      </c>
      <c r="AX754">
        <v>3.3771502025572336E-4</v>
      </c>
      <c r="AY754">
        <v>4.4307995370903777E-4</v>
      </c>
      <c r="BB754">
        <v>5.0394511260362318E-2</v>
      </c>
      <c r="BC754">
        <v>6.2510982696444617E-2</v>
      </c>
      <c r="BE754">
        <v>68071.838344060758</v>
      </c>
      <c r="BF754">
        <v>17.312484943140309</v>
      </c>
      <c r="BG754">
        <v>70065.016862974735</v>
      </c>
      <c r="BH754">
        <v>17.194695838622156</v>
      </c>
      <c r="BI754">
        <v>-1993.1785189139773</v>
      </c>
      <c r="BJ754">
        <v>0.1177891045181525</v>
      </c>
    </row>
    <row r="755" spans="3:62" x14ac:dyDescent="0.2">
      <c r="C755" s="121">
        <v>73765.02798056473</v>
      </c>
      <c r="D755">
        <v>15.708785425521317</v>
      </c>
      <c r="E755" s="121">
        <v>76321.403125741694</v>
      </c>
      <c r="F755" s="121">
        <v>15.526538982256492</v>
      </c>
      <c r="G755" s="121">
        <v>-2556.375145176964</v>
      </c>
      <c r="H755" s="121">
        <v>0.18224644326482498</v>
      </c>
      <c r="N755" s="121"/>
      <c r="O755" s="121"/>
      <c r="P755" s="121"/>
      <c r="R755">
        <v>240.43087639797665</v>
      </c>
      <c r="S755">
        <v>67.758166790916562</v>
      </c>
      <c r="T755">
        <v>271.04107878980994</v>
      </c>
      <c r="U755">
        <v>83.585937291988827</v>
      </c>
      <c r="X755">
        <v>0.9191236231973775</v>
      </c>
      <c r="Y755">
        <v>0.56017580944339007</v>
      </c>
      <c r="Z755">
        <v>0.82417445846478321</v>
      </c>
      <c r="AA755">
        <v>0.80711119000875764</v>
      </c>
      <c r="AB755">
        <v>0.87658178751977189</v>
      </c>
      <c r="AC755">
        <v>0.89011898943077972</v>
      </c>
      <c r="AD755">
        <v>0.44431733115262984</v>
      </c>
      <c r="AE755">
        <v>0.91323824501779283</v>
      </c>
      <c r="AH755">
        <v>1.7450513739184381E-2</v>
      </c>
      <c r="AI755">
        <v>0.12298594749467717</v>
      </c>
      <c r="AJ755">
        <v>0.1705202038166127</v>
      </c>
      <c r="AK755">
        <v>0.34579984426722066</v>
      </c>
      <c r="AL755">
        <v>3.4595518006670711E-2</v>
      </c>
      <c r="AM755">
        <v>4.0697037039868045E-2</v>
      </c>
      <c r="AN755">
        <v>6.4921337307236926E-2</v>
      </c>
      <c r="AO755">
        <v>0.12486064253257223</v>
      </c>
      <c r="AR755">
        <v>8.8565784337350188E-4</v>
      </c>
      <c r="AS755">
        <v>4.272576129354418E-3</v>
      </c>
      <c r="AT755">
        <v>4.8528991285484288E-3</v>
      </c>
      <c r="AU755">
        <v>1.9176966667431865E-3</v>
      </c>
      <c r="AV755">
        <v>2.1172862528061609E-3</v>
      </c>
      <c r="AW755">
        <v>3.5616911204864321E-3</v>
      </c>
      <c r="AX755">
        <v>4.5142604707681944E-4</v>
      </c>
      <c r="AY755">
        <v>4.4512420225096985E-4</v>
      </c>
      <c r="BB755">
        <v>4.9200402204742123E-2</v>
      </c>
      <c r="BC755">
        <v>3.5198256078808186E-2</v>
      </c>
      <c r="BE755">
        <v>73765.02798056473</v>
      </c>
      <c r="BF755">
        <v>15.708785425521317</v>
      </c>
      <c r="BG755">
        <v>76321.403125741694</v>
      </c>
      <c r="BH755">
        <v>15.526538982256492</v>
      </c>
      <c r="BI755">
        <v>-2556.375145176964</v>
      </c>
      <c r="BJ755">
        <v>0.18224644326482498</v>
      </c>
    </row>
    <row r="756" spans="3:62" x14ac:dyDescent="0.2">
      <c r="C756" s="121">
        <v>72377.629772987231</v>
      </c>
      <c r="D756">
        <v>16.832498130010521</v>
      </c>
      <c r="E756" s="121">
        <v>74254.310485008828</v>
      </c>
      <c r="F756" s="121">
        <v>16.699452802560305</v>
      </c>
      <c r="G756" s="121">
        <v>-1876.6807120215963</v>
      </c>
      <c r="H756" s="121">
        <v>0.13304532745021547</v>
      </c>
      <c r="N756" s="121"/>
      <c r="O756" s="121"/>
      <c r="P756" s="121"/>
      <c r="R756">
        <v>289.29677977767875</v>
      </c>
      <c r="S756">
        <v>67.485261807075219</v>
      </c>
      <c r="T756">
        <v>237.95974306073757</v>
      </c>
      <c r="U756">
        <v>93.132985560784959</v>
      </c>
      <c r="X756">
        <v>0.7077771944101523</v>
      </c>
      <c r="Y756">
        <v>0.63436103107716657</v>
      </c>
      <c r="Z756">
        <v>0.48279768544841534</v>
      </c>
      <c r="AA756">
        <v>0.76097510045394023</v>
      </c>
      <c r="AB756">
        <v>0.80110552295155357</v>
      </c>
      <c r="AC756">
        <v>0.83525667880591004</v>
      </c>
      <c r="AD756">
        <v>0.9097631752674944</v>
      </c>
      <c r="AE756">
        <v>0.42164722659407045</v>
      </c>
      <c r="AH756">
        <v>0.14296115506170726</v>
      </c>
      <c r="AI756">
        <v>0.28602423144864686</v>
      </c>
      <c r="AJ756">
        <v>7.0970221146999912E-2</v>
      </c>
      <c r="AK756">
        <v>0.24050366062680673</v>
      </c>
      <c r="AL756">
        <v>4.0625649190778379E-2</v>
      </c>
      <c r="AM756">
        <v>0.28280031606875633</v>
      </c>
      <c r="AN756">
        <v>0.24696754682340483</v>
      </c>
      <c r="AO756">
        <v>2.327264588024458E-2</v>
      </c>
      <c r="AR756">
        <v>9.6856004949297247E-4</v>
      </c>
      <c r="AS756">
        <v>4.220707930628469E-3</v>
      </c>
      <c r="AT756">
        <v>4.86513226930467E-3</v>
      </c>
      <c r="AU756">
        <v>1.9335972647592055E-3</v>
      </c>
      <c r="AV756">
        <v>2.1668065070683529E-3</v>
      </c>
      <c r="AW756">
        <v>3.1279068885960945E-3</v>
      </c>
      <c r="AX756">
        <v>3.3085176919059398E-4</v>
      </c>
      <c r="AY756">
        <v>5.6912524647134699E-4</v>
      </c>
      <c r="BB756">
        <v>5.8761588805985143E-2</v>
      </c>
      <c r="BC756">
        <v>3.15244033137006E-2</v>
      </c>
      <c r="BE756">
        <v>72377.629772987231</v>
      </c>
      <c r="BF756">
        <v>16.832498130010521</v>
      </c>
      <c r="BG756">
        <v>74254.310485008828</v>
      </c>
      <c r="BH756">
        <v>16.699452802560305</v>
      </c>
      <c r="BI756">
        <v>-1876.6807120215963</v>
      </c>
      <c r="BJ756">
        <v>0.13304532745021547</v>
      </c>
    </row>
    <row r="757" spans="3:62" x14ac:dyDescent="0.2">
      <c r="C757" s="121">
        <v>75004.40335445253</v>
      </c>
      <c r="D757">
        <v>15.764536353436043</v>
      </c>
      <c r="E757" s="121">
        <v>77373.98781800385</v>
      </c>
      <c r="F757" s="121">
        <v>15.679355448307652</v>
      </c>
      <c r="G757" s="121">
        <v>-2369.5844635513204</v>
      </c>
      <c r="H757" s="121">
        <v>8.518090512839116E-2</v>
      </c>
      <c r="N757" s="121"/>
      <c r="O757" s="121"/>
      <c r="P757" s="121"/>
      <c r="R757">
        <v>402.69487602977097</v>
      </c>
      <c r="S757">
        <v>50.325852576142459</v>
      </c>
      <c r="T757">
        <v>180.5002823715343</v>
      </c>
      <c r="U757">
        <v>92.269360958223416</v>
      </c>
      <c r="X757">
        <v>0.46946899224861821</v>
      </c>
      <c r="Y757">
        <v>0.76621655888987539</v>
      </c>
      <c r="Z757">
        <v>0.5851825287273773</v>
      </c>
      <c r="AA757">
        <v>0.74577434104935836</v>
      </c>
      <c r="AB757">
        <v>0.57872435659233978</v>
      </c>
      <c r="AC757">
        <v>0.83899218556773814</v>
      </c>
      <c r="AD757">
        <v>0.83597459470897917</v>
      </c>
      <c r="AE757">
        <v>0.57559741933190911</v>
      </c>
      <c r="AH757">
        <v>0.17440888287262957</v>
      </c>
      <c r="AI757">
        <v>0.15494560848449435</v>
      </c>
      <c r="AJ757">
        <v>0.11000112543720952</v>
      </c>
      <c r="AK757">
        <v>0.12057225964509111</v>
      </c>
      <c r="AL757">
        <v>0.30331928031177435</v>
      </c>
      <c r="AM757">
        <v>0.15703175151874393</v>
      </c>
      <c r="AN757">
        <v>0.17904770804017645</v>
      </c>
      <c r="AO757">
        <v>0.29107997574986511</v>
      </c>
      <c r="AR757">
        <v>7.8237721863740485E-4</v>
      </c>
      <c r="AS757">
        <v>4.4226268837141572E-3</v>
      </c>
      <c r="AT757">
        <v>4.8204168465107635E-3</v>
      </c>
      <c r="AU757">
        <v>2.1880930767352869E-3</v>
      </c>
      <c r="AV757">
        <v>1.9729489949974082E-3</v>
      </c>
      <c r="AW757">
        <v>3.5158288840642093E-3</v>
      </c>
      <c r="AX757">
        <v>3.1496889125945838E-4</v>
      </c>
      <c r="AY757">
        <v>4.502252897118364E-4</v>
      </c>
      <c r="BB757">
        <v>4.7334398372815452E-2</v>
      </c>
      <c r="BC757">
        <v>5.3189323943319655E-2</v>
      </c>
      <c r="BE757">
        <v>75004.40335445253</v>
      </c>
      <c r="BF757">
        <v>15.764536353436043</v>
      </c>
      <c r="BG757">
        <v>77373.98781800385</v>
      </c>
      <c r="BH757">
        <v>15.679355448307652</v>
      </c>
      <c r="BI757">
        <v>-2369.5844635513204</v>
      </c>
      <c r="BJ757">
        <v>8.518090512839116E-2</v>
      </c>
    </row>
    <row r="758" spans="3:62" x14ac:dyDescent="0.2">
      <c r="C758" s="121">
        <v>67241.23713540101</v>
      </c>
      <c r="D758">
        <v>15.845576548969778</v>
      </c>
      <c r="E758" s="121">
        <v>69025.663384719257</v>
      </c>
      <c r="F758" s="121">
        <v>15.712780332269785</v>
      </c>
      <c r="G758" s="121">
        <v>-1784.4262493182468</v>
      </c>
      <c r="H758" s="121">
        <v>0.13279621669999209</v>
      </c>
      <c r="N758" s="121"/>
      <c r="O758" s="121"/>
      <c r="P758" s="121"/>
      <c r="R758">
        <v>162.98018550808155</v>
      </c>
      <c r="S758">
        <v>58.369786424605344</v>
      </c>
      <c r="T758">
        <v>276.68172655556884</v>
      </c>
      <c r="U758">
        <v>100.94462572005628</v>
      </c>
      <c r="X758">
        <v>0.86984113028922383</v>
      </c>
      <c r="Y758">
        <v>0.71248149030384034</v>
      </c>
      <c r="Z758">
        <v>0.63164667395506036</v>
      </c>
      <c r="AA758">
        <v>0.73895120028843742</v>
      </c>
      <c r="AB758">
        <v>0.32709148445376046</v>
      </c>
      <c r="AC758">
        <v>0.91314271685065063</v>
      </c>
      <c r="AD758">
        <v>0.5949075524202655</v>
      </c>
      <c r="AE758">
        <v>0.66557194163270816</v>
      </c>
      <c r="AH758">
        <v>0.30268649798069969</v>
      </c>
      <c r="AI758">
        <v>0.1824750417689065</v>
      </c>
      <c r="AJ758">
        <v>0.14416424451621124</v>
      </c>
      <c r="AK758">
        <v>0.14926616268319648</v>
      </c>
      <c r="AL758">
        <v>5.7291422304351691E-2</v>
      </c>
      <c r="AM758">
        <v>0.20253010229621582</v>
      </c>
      <c r="AN758">
        <v>7.1288924772151985E-2</v>
      </c>
      <c r="AO758">
        <v>1.8833781987142029E-2</v>
      </c>
      <c r="AR758">
        <v>9.3387198852523667E-4</v>
      </c>
      <c r="AS758">
        <v>4.5233046344816952E-3</v>
      </c>
      <c r="AT758">
        <v>5.0087511081555736E-3</v>
      </c>
      <c r="AU758">
        <v>1.7529409155162218E-3</v>
      </c>
      <c r="AV758">
        <v>1.9994517140621282E-3</v>
      </c>
      <c r="AW758">
        <v>3.5834331257202923E-3</v>
      </c>
      <c r="AX758">
        <v>3.9339323399923082E-4</v>
      </c>
      <c r="AY758">
        <v>4.3970902021127746E-4</v>
      </c>
      <c r="BB758">
        <v>5.0783859975753853E-2</v>
      </c>
      <c r="BC758">
        <v>6.6649975865093802E-2</v>
      </c>
      <c r="BE758">
        <v>67241.23713540101</v>
      </c>
      <c r="BF758">
        <v>15.845576548969778</v>
      </c>
      <c r="BG758">
        <v>69025.663384719257</v>
      </c>
      <c r="BH758">
        <v>15.712780332269785</v>
      </c>
      <c r="BI758">
        <v>-1784.4262493182468</v>
      </c>
      <c r="BJ758">
        <v>0.13279621669999209</v>
      </c>
    </row>
    <row r="759" spans="3:62" x14ac:dyDescent="0.2">
      <c r="C759" s="121">
        <v>72620.922973916633</v>
      </c>
      <c r="D759">
        <v>15.568486263841381</v>
      </c>
      <c r="E759" s="121">
        <v>74110.370567268299</v>
      </c>
      <c r="F759" s="121">
        <v>15.397581601521498</v>
      </c>
      <c r="G759" s="121">
        <v>-1489.447593351666</v>
      </c>
      <c r="H759" s="121">
        <v>0.17090466231988266</v>
      </c>
      <c r="N759" s="121"/>
      <c r="O759" s="121"/>
      <c r="P759" s="121"/>
      <c r="R759">
        <v>533.23058953757879</v>
      </c>
      <c r="S759">
        <v>60.240874812321003</v>
      </c>
      <c r="T759">
        <v>269.29839358196341</v>
      </c>
      <c r="U759">
        <v>83.754632402081384</v>
      </c>
      <c r="X759">
        <v>0.93717880994640979</v>
      </c>
      <c r="Y759">
        <v>0.88938622412425172</v>
      </c>
      <c r="Z759">
        <v>0.60171968338248916</v>
      </c>
      <c r="AA759">
        <v>0.85867518438305601</v>
      </c>
      <c r="AB759">
        <v>0.90638079048676723</v>
      </c>
      <c r="AC759">
        <v>0.69691486555136439</v>
      </c>
      <c r="AD759">
        <v>0.81888850970379379</v>
      </c>
      <c r="AE759">
        <v>0.58453120822938776</v>
      </c>
      <c r="AH759">
        <v>9.9298706400243519E-2</v>
      </c>
      <c r="AI759">
        <v>9.7081547636510224E-2</v>
      </c>
      <c r="AJ759">
        <v>7.6400986280893868E-2</v>
      </c>
      <c r="AK759">
        <v>8.6680415940206368E-2</v>
      </c>
      <c r="AL759">
        <v>0.29677766790940208</v>
      </c>
      <c r="AM759">
        <v>3.4114774482054244E-2</v>
      </c>
      <c r="AN759">
        <v>7.2875020528871515E-2</v>
      </c>
      <c r="AO759">
        <v>0.40041014614424797</v>
      </c>
      <c r="AR759">
        <v>9.7968578845564203E-4</v>
      </c>
      <c r="AS759">
        <v>4.5656053390292772E-3</v>
      </c>
      <c r="AT759">
        <v>5.3127876350985703E-3</v>
      </c>
      <c r="AU759">
        <v>2.0524092510444403E-3</v>
      </c>
      <c r="AV759">
        <v>1.7095768041391756E-3</v>
      </c>
      <c r="AW759">
        <v>3.1171242730548211E-3</v>
      </c>
      <c r="AX759">
        <v>3.9048644721960038E-4</v>
      </c>
      <c r="AY759">
        <v>5.0142101257011351E-4</v>
      </c>
      <c r="BB759">
        <v>4.4059950158115348E-2</v>
      </c>
      <c r="BC759">
        <v>9.0689172583415134E-2</v>
      </c>
      <c r="BE759">
        <v>72620.922973916633</v>
      </c>
      <c r="BF759">
        <v>15.568486263841381</v>
      </c>
      <c r="BG759">
        <v>74110.370567268299</v>
      </c>
      <c r="BH759">
        <v>15.397581601521498</v>
      </c>
      <c r="BI759">
        <v>-1489.447593351666</v>
      </c>
      <c r="BJ759">
        <v>0.17090466231988266</v>
      </c>
    </row>
    <row r="760" spans="3:62" x14ac:dyDescent="0.2">
      <c r="C760" s="121">
        <v>63275.40087598173</v>
      </c>
      <c r="D760">
        <v>18.328626417572465</v>
      </c>
      <c r="E760" s="121">
        <v>64267.309797256567</v>
      </c>
      <c r="F760" s="121">
        <v>18.263494855805664</v>
      </c>
      <c r="G760" s="121">
        <v>-991.90892127483676</v>
      </c>
      <c r="H760" s="121">
        <v>6.5131561766801127E-2</v>
      </c>
      <c r="N760" s="121"/>
      <c r="O760" s="121"/>
      <c r="P760" s="121"/>
      <c r="R760">
        <v>259.91584524629843</v>
      </c>
      <c r="S760">
        <v>74.408709429832271</v>
      </c>
      <c r="T760">
        <v>212.77579565713555</v>
      </c>
      <c r="U760">
        <v>86.303858744700619</v>
      </c>
      <c r="X760">
        <v>0.95659336849795529</v>
      </c>
      <c r="Y760">
        <v>0.72583178335553189</v>
      </c>
      <c r="Z760">
        <v>0.49292020526384706</v>
      </c>
      <c r="AA760">
        <v>0.84423217065688971</v>
      </c>
      <c r="AB760">
        <v>0.42165476957392267</v>
      </c>
      <c r="AC760">
        <v>0.87965357722827231</v>
      </c>
      <c r="AD760">
        <v>0.81851524780934048</v>
      </c>
      <c r="AE760">
        <v>0.88012366472836878</v>
      </c>
      <c r="AH760">
        <v>0.12802779005941423</v>
      </c>
      <c r="AI760">
        <v>0.36782088481389963</v>
      </c>
      <c r="AJ760">
        <v>0.14217117036719251</v>
      </c>
      <c r="AK760">
        <v>0.25523672249380258</v>
      </c>
      <c r="AL760">
        <v>0.16198677433417041</v>
      </c>
      <c r="AM760">
        <v>3.1252747661547398E-2</v>
      </c>
      <c r="AN760">
        <v>0.3735543956651447</v>
      </c>
      <c r="AO760">
        <v>6.8144476978804214E-2</v>
      </c>
      <c r="AR760">
        <v>7.3637889091127454E-4</v>
      </c>
      <c r="AS760">
        <v>4.3360144972450854E-3</v>
      </c>
      <c r="AT760">
        <v>5.0980586370424907E-3</v>
      </c>
      <c r="AU760">
        <v>1.86031162602703E-3</v>
      </c>
      <c r="AV760">
        <v>2.1681144264680263E-3</v>
      </c>
      <c r="AW760">
        <v>3.4614693013831355E-3</v>
      </c>
      <c r="AX760">
        <v>3.8481585895166077E-4</v>
      </c>
      <c r="AY760">
        <v>3.9441166404714854E-4</v>
      </c>
      <c r="BB760">
        <v>4.5833337243836467E-2</v>
      </c>
      <c r="BC760">
        <v>2.290844421612926E-2</v>
      </c>
      <c r="BE760">
        <v>63275.40087598173</v>
      </c>
      <c r="BF760">
        <v>18.328626417572465</v>
      </c>
      <c r="BG760">
        <v>64267.309797256567</v>
      </c>
      <c r="BH760">
        <v>18.263494855805664</v>
      </c>
      <c r="BI760">
        <v>-991.90892127483676</v>
      </c>
      <c r="BJ760">
        <v>6.5131561766801127E-2</v>
      </c>
    </row>
    <row r="761" spans="3:62" x14ac:dyDescent="0.2">
      <c r="C761" s="121">
        <v>74969.423352573605</v>
      </c>
      <c r="D761">
        <v>15.879337183902077</v>
      </c>
      <c r="E761" s="121">
        <v>77289.472410667469</v>
      </c>
      <c r="F761" s="121">
        <v>15.748190439659231</v>
      </c>
      <c r="G761" s="121">
        <v>-2320.049058093864</v>
      </c>
      <c r="H761" s="121">
        <v>0.13114674424284622</v>
      </c>
      <c r="N761" s="121"/>
      <c r="O761" s="121"/>
      <c r="P761" s="121"/>
      <c r="R761">
        <v>279.91168511436643</v>
      </c>
      <c r="S761">
        <v>63.66586695456337</v>
      </c>
      <c r="T761">
        <v>231.88503967952064</v>
      </c>
      <c r="U761">
        <v>88.670628432372311</v>
      </c>
      <c r="X761">
        <v>0.8971896123494012</v>
      </c>
      <c r="Y761">
        <v>0.81554443243184727</v>
      </c>
      <c r="Z761">
        <v>0.93480031836781408</v>
      </c>
      <c r="AA761">
        <v>0.52475622678094314</v>
      </c>
      <c r="AB761">
        <v>0.76241285569369632</v>
      </c>
      <c r="AC761">
        <v>0.89677853195561308</v>
      </c>
      <c r="AD761">
        <v>0.62588567474207857</v>
      </c>
      <c r="AE761">
        <v>0.51511406794311609</v>
      </c>
      <c r="AH761">
        <v>0.13862391898502069</v>
      </c>
      <c r="AI761">
        <v>4.572614731982938E-2</v>
      </c>
      <c r="AJ761">
        <v>1.1347087927580324E-2</v>
      </c>
      <c r="AK761">
        <v>5.5119535621057203E-2</v>
      </c>
      <c r="AL761">
        <v>0.11083875364737117</v>
      </c>
      <c r="AM761">
        <v>0.13258291745103634</v>
      </c>
      <c r="AN761">
        <v>0.18103655156179943</v>
      </c>
      <c r="AO761">
        <v>0.19286258320905425</v>
      </c>
      <c r="AR761">
        <v>8.4144549908290284E-4</v>
      </c>
      <c r="AS761">
        <v>4.266594137559046E-3</v>
      </c>
      <c r="AT761">
        <v>4.8979823317121729E-3</v>
      </c>
      <c r="AU761">
        <v>1.8328748430082886E-3</v>
      </c>
      <c r="AV761">
        <v>2.2038027785163949E-3</v>
      </c>
      <c r="AW761">
        <v>3.0956200699759611E-3</v>
      </c>
      <c r="AX761">
        <v>4.2796745743944875E-4</v>
      </c>
      <c r="AY761">
        <v>4.9663129068611145E-4</v>
      </c>
      <c r="BB761">
        <v>5.7317102913364559E-2</v>
      </c>
      <c r="BC761">
        <v>8.7765198485369345E-2</v>
      </c>
      <c r="BE761">
        <v>74969.423352573605</v>
      </c>
      <c r="BF761">
        <v>15.879337183902077</v>
      </c>
      <c r="BG761">
        <v>77289.472410667469</v>
      </c>
      <c r="BH761">
        <v>15.748190439659231</v>
      </c>
      <c r="BI761">
        <v>-2320.049058093864</v>
      </c>
      <c r="BJ761">
        <v>0.13114674424284622</v>
      </c>
    </row>
    <row r="762" spans="3:62" x14ac:dyDescent="0.2">
      <c r="C762" s="121">
        <v>74815.767464285338</v>
      </c>
      <c r="D762">
        <v>16.430349134615721</v>
      </c>
      <c r="E762" s="121">
        <v>76409.173540182121</v>
      </c>
      <c r="F762" s="121">
        <v>16.299711046486628</v>
      </c>
      <c r="G762" s="121">
        <v>-1593.4060758967826</v>
      </c>
      <c r="H762" s="121">
        <v>0.13063808812909272</v>
      </c>
      <c r="N762" s="121"/>
      <c r="O762" s="121"/>
      <c r="P762" s="121"/>
      <c r="R762">
        <v>171.09284644883076</v>
      </c>
      <c r="S762">
        <v>60.491001812944099</v>
      </c>
      <c r="T762">
        <v>278.43312693734117</v>
      </c>
      <c r="U762">
        <v>90.229439599307568</v>
      </c>
      <c r="X762">
        <v>0.64947331305716494</v>
      </c>
      <c r="Y762">
        <v>0.73237538829163962</v>
      </c>
      <c r="Z762">
        <v>0.52240203048232092</v>
      </c>
      <c r="AA762">
        <v>0.59428806962210878</v>
      </c>
      <c r="AB762">
        <v>0.86732756698703084</v>
      </c>
      <c r="AC762">
        <v>0.78536096240316722</v>
      </c>
      <c r="AD762">
        <v>0.79598286511318761</v>
      </c>
      <c r="AE762">
        <v>0.61249361421680326</v>
      </c>
      <c r="AH762">
        <v>0.11610212768748174</v>
      </c>
      <c r="AI762">
        <v>1.6002757943730517E-2</v>
      </c>
      <c r="AJ762">
        <v>0.21760317100599169</v>
      </c>
      <c r="AK762">
        <v>0.13981545881738811</v>
      </c>
      <c r="AL762">
        <v>7.5287525220448348E-2</v>
      </c>
      <c r="AM762">
        <v>0.12287709274005509</v>
      </c>
      <c r="AN762">
        <v>0.20997174103018224</v>
      </c>
      <c r="AO762">
        <v>0.21703138715191306</v>
      </c>
      <c r="AR762">
        <v>8.6986757984671315E-4</v>
      </c>
      <c r="AS762">
        <v>4.9223225619196009E-3</v>
      </c>
      <c r="AT762">
        <v>5.0491493564426282E-3</v>
      </c>
      <c r="AU762">
        <v>1.8745915855218035E-3</v>
      </c>
      <c r="AV762">
        <v>1.7383143236636249E-3</v>
      </c>
      <c r="AW762">
        <v>3.346857647180344E-3</v>
      </c>
      <c r="AX762">
        <v>3.6562339447638654E-4</v>
      </c>
      <c r="AY762">
        <v>6.5898312332290931E-4</v>
      </c>
      <c r="BB762">
        <v>5.1113136332935127E-2</v>
      </c>
      <c r="BC762">
        <v>3.7352443910446176E-2</v>
      </c>
      <c r="BE762">
        <v>74815.767464285338</v>
      </c>
      <c r="BF762">
        <v>16.430349134615721</v>
      </c>
      <c r="BG762">
        <v>76409.173540182121</v>
      </c>
      <c r="BH762">
        <v>16.299711046486628</v>
      </c>
      <c r="BI762">
        <v>-1593.4060758967826</v>
      </c>
      <c r="BJ762">
        <v>0.13063808812909272</v>
      </c>
    </row>
    <row r="763" spans="3:62" x14ac:dyDescent="0.2">
      <c r="C763" s="121">
        <v>64416.637248803934</v>
      </c>
      <c r="D763">
        <v>17.463269083509029</v>
      </c>
      <c r="E763" s="121">
        <v>65987.256039366213</v>
      </c>
      <c r="F763" s="121">
        <v>17.329941036997855</v>
      </c>
      <c r="G763" s="121">
        <v>-1570.6187905622792</v>
      </c>
      <c r="H763" s="121">
        <v>0.13332804651117414</v>
      </c>
      <c r="N763" s="121"/>
      <c r="O763" s="121"/>
      <c r="P763" s="121"/>
      <c r="R763">
        <v>145.79963785691069</v>
      </c>
      <c r="S763">
        <v>69.675150428136902</v>
      </c>
      <c r="T763">
        <v>284.81984517068969</v>
      </c>
      <c r="U763">
        <v>114.77720842725692</v>
      </c>
      <c r="X763">
        <v>0.78750170623440796</v>
      </c>
      <c r="Y763">
        <v>0.65279210375851227</v>
      </c>
      <c r="Z763">
        <v>0.39206831881250959</v>
      </c>
      <c r="AA763">
        <v>0.97898818946288335</v>
      </c>
      <c r="AB763">
        <v>0.85990428249445761</v>
      </c>
      <c r="AC763">
        <v>0.83342141422316129</v>
      </c>
      <c r="AD763">
        <v>0.80377680684648523</v>
      </c>
      <c r="AE763">
        <v>0.7330272475893046</v>
      </c>
      <c r="AH763">
        <v>0.29344361197101609</v>
      </c>
      <c r="AI763">
        <v>3.0743586784719668E-2</v>
      </c>
      <c r="AJ763">
        <v>3.4618926439050846E-2</v>
      </c>
      <c r="AK763">
        <v>0.16369354917554269</v>
      </c>
      <c r="AL763">
        <v>0.25098079843224119</v>
      </c>
      <c r="AM763">
        <v>2.5630080517006437E-2</v>
      </c>
      <c r="AN763">
        <v>0.38034474924757311</v>
      </c>
      <c r="AO763">
        <v>0.24315217701170944</v>
      </c>
      <c r="AR763">
        <v>8.5914681148850864E-4</v>
      </c>
      <c r="AS763">
        <v>4.7233377036707269E-3</v>
      </c>
      <c r="AT763">
        <v>5.1538051590809264E-3</v>
      </c>
      <c r="AU763">
        <v>1.7823299836621559E-3</v>
      </c>
      <c r="AV763">
        <v>1.7934654824141075E-3</v>
      </c>
      <c r="AW763">
        <v>3.5090183754565851E-3</v>
      </c>
      <c r="AX763">
        <v>4.6880468166343725E-4</v>
      </c>
      <c r="AY763">
        <v>3.4024068099631208E-4</v>
      </c>
      <c r="BB763">
        <v>5.9800651441944019E-2</v>
      </c>
      <c r="BC763">
        <v>3.9170991811134453E-2</v>
      </c>
      <c r="BE763">
        <v>64416.637248803934</v>
      </c>
      <c r="BF763">
        <v>17.463269083509029</v>
      </c>
      <c r="BG763">
        <v>65987.256039366213</v>
      </c>
      <c r="BH763">
        <v>17.329941036997855</v>
      </c>
      <c r="BI763">
        <v>-1570.6187905622792</v>
      </c>
      <c r="BJ763">
        <v>0.13332804651117414</v>
      </c>
    </row>
    <row r="764" spans="3:62" x14ac:dyDescent="0.2">
      <c r="C764" s="121">
        <v>67785.663747414554</v>
      </c>
      <c r="D764">
        <v>16.217662421113868</v>
      </c>
      <c r="E764" s="121">
        <v>69861.726513907881</v>
      </c>
      <c r="F764" s="121">
        <v>16.023652126812056</v>
      </c>
      <c r="G764" s="121">
        <v>-2076.0627664933272</v>
      </c>
      <c r="H764" s="121">
        <v>0.19401029430181183</v>
      </c>
      <c r="N764" s="121"/>
      <c r="O764" s="121"/>
      <c r="P764" s="121"/>
      <c r="R764">
        <v>268.76105639522774</v>
      </c>
      <c r="S764">
        <v>59.885790049705918</v>
      </c>
      <c r="T764">
        <v>259.22660450750897</v>
      </c>
      <c r="U764">
        <v>90.75863941651609</v>
      </c>
      <c r="X764">
        <v>0.45545764449822834</v>
      </c>
      <c r="Y764">
        <v>0.90716446541469464</v>
      </c>
      <c r="Z764">
        <v>0.7724381312088876</v>
      </c>
      <c r="AA764">
        <v>0.75776124126331257</v>
      </c>
      <c r="AB764">
        <v>0.81407327298414001</v>
      </c>
      <c r="AC764">
        <v>0.82648577436436899</v>
      </c>
      <c r="AD764">
        <v>0.81034895679304664</v>
      </c>
      <c r="AE764">
        <v>0.94160872109871474</v>
      </c>
      <c r="AH764">
        <v>4.1010849474777844E-2</v>
      </c>
      <c r="AI764">
        <v>0.16444517427755245</v>
      </c>
      <c r="AJ764">
        <v>0.2661651749983428</v>
      </c>
      <c r="AK764">
        <v>0.13240884200527137</v>
      </c>
      <c r="AL764">
        <v>0.18255854437952856</v>
      </c>
      <c r="AM764">
        <v>0.1572633639763209</v>
      </c>
      <c r="AN764">
        <v>9.781219817348985E-2</v>
      </c>
      <c r="AO764">
        <v>7.1053373397061748E-2</v>
      </c>
      <c r="AR764">
        <v>8.5342943738823474E-4</v>
      </c>
      <c r="AS764">
        <v>4.5769354037195065E-3</v>
      </c>
      <c r="AT764">
        <v>4.5979545875360697E-3</v>
      </c>
      <c r="AU764">
        <v>1.8520309341519047E-3</v>
      </c>
      <c r="AV764">
        <v>1.8765489540694439E-3</v>
      </c>
      <c r="AW764">
        <v>3.5496873775476834E-3</v>
      </c>
      <c r="AX764">
        <v>3.9526537305680193E-4</v>
      </c>
      <c r="AY764">
        <v>4.1365942034996646E-4</v>
      </c>
      <c r="BB764">
        <v>4.4340994396342787E-2</v>
      </c>
      <c r="BC764">
        <v>1.8106911151018264E-2</v>
      </c>
      <c r="BE764">
        <v>67785.663747414554</v>
      </c>
      <c r="BF764">
        <v>16.217662421113868</v>
      </c>
      <c r="BG764">
        <v>69861.726513907881</v>
      </c>
      <c r="BH764">
        <v>16.023652126812056</v>
      </c>
      <c r="BI764">
        <v>-2076.0627664933272</v>
      </c>
      <c r="BJ764">
        <v>0.19401029430181183</v>
      </c>
    </row>
    <row r="765" spans="3:62" x14ac:dyDescent="0.2">
      <c r="C765" s="121">
        <v>69727.808145444171</v>
      </c>
      <c r="D765">
        <v>15.873781258717496</v>
      </c>
      <c r="E765" s="121">
        <v>70960.224680686966</v>
      </c>
      <c r="F765" s="121">
        <v>15.783962778408808</v>
      </c>
      <c r="G765" s="121">
        <v>-1232.4165352427954</v>
      </c>
      <c r="H765" s="121">
        <v>8.9818480308688109E-2</v>
      </c>
      <c r="N765" s="121"/>
      <c r="O765" s="121"/>
      <c r="P765" s="121"/>
      <c r="R765">
        <v>196.55716549917463</v>
      </c>
      <c r="S765">
        <v>70.907122064533297</v>
      </c>
      <c r="T765">
        <v>262.21791669223865</v>
      </c>
      <c r="U765">
        <v>90.087958902922139</v>
      </c>
      <c r="X765">
        <v>0.58346154984351017</v>
      </c>
      <c r="Y765">
        <v>0.58475549689085049</v>
      </c>
      <c r="Z765">
        <v>0.9027333216038026</v>
      </c>
      <c r="AA765">
        <v>0.53426455509056181</v>
      </c>
      <c r="AB765">
        <v>0.86870977410467598</v>
      </c>
      <c r="AC765">
        <v>0.83039674872364122</v>
      </c>
      <c r="AD765">
        <v>0.76364621587627124</v>
      </c>
      <c r="AE765">
        <v>0.87256234146862588</v>
      </c>
      <c r="AH765">
        <v>8.2394901224348227E-2</v>
      </c>
      <c r="AI765">
        <v>0.12918181922890337</v>
      </c>
      <c r="AJ765">
        <v>0.28156826452737582</v>
      </c>
      <c r="AK765">
        <v>0.10483307488401894</v>
      </c>
      <c r="AL765">
        <v>0.27847311644358075</v>
      </c>
      <c r="AM765">
        <v>0.12322238773641936</v>
      </c>
      <c r="AN765">
        <v>0.18892613414565484</v>
      </c>
      <c r="AO765">
        <v>0.17813228747097187</v>
      </c>
      <c r="AR765">
        <v>8.0195747218148039E-4</v>
      </c>
      <c r="AS765">
        <v>4.4788536241451163E-3</v>
      </c>
      <c r="AT765">
        <v>5.3875572047158427E-3</v>
      </c>
      <c r="AU765">
        <v>1.9410164951437594E-3</v>
      </c>
      <c r="AV765">
        <v>2.1713369851622533E-3</v>
      </c>
      <c r="AW765">
        <v>3.5974928510823512E-3</v>
      </c>
      <c r="AX765">
        <v>3.9155582363219763E-4</v>
      </c>
      <c r="AY765">
        <v>3.4424670767397078E-4</v>
      </c>
      <c r="BB765">
        <v>4.7790745381140948E-2</v>
      </c>
      <c r="BC765">
        <v>4.7131918422882002E-2</v>
      </c>
      <c r="BE765">
        <v>69727.808145444171</v>
      </c>
      <c r="BF765">
        <v>15.873781258717496</v>
      </c>
      <c r="BG765">
        <v>70960.224680686966</v>
      </c>
      <c r="BH765">
        <v>15.783962778408808</v>
      </c>
      <c r="BI765">
        <v>-1232.4165352427954</v>
      </c>
      <c r="BJ765">
        <v>8.9818480308688109E-2</v>
      </c>
    </row>
    <row r="766" spans="3:62" x14ac:dyDescent="0.2">
      <c r="C766" s="121">
        <v>70961.982506236367</v>
      </c>
      <c r="D766">
        <v>14.310702005130489</v>
      </c>
      <c r="E766" s="121">
        <v>72715.166080340758</v>
      </c>
      <c r="F766" s="121">
        <v>14.197460112916474</v>
      </c>
      <c r="G766" s="121">
        <v>-1753.1835741043906</v>
      </c>
      <c r="H766" s="121">
        <v>0.11324189221401504</v>
      </c>
      <c r="N766" s="121"/>
      <c r="O766" s="121"/>
      <c r="P766" s="121"/>
      <c r="R766">
        <v>390.80944225147709</v>
      </c>
      <c r="S766">
        <v>65.516769273293292</v>
      </c>
      <c r="T766">
        <v>294.25766493105851</v>
      </c>
      <c r="U766">
        <v>85.671828547440469</v>
      </c>
      <c r="X766">
        <v>0.72578151593802576</v>
      </c>
      <c r="Y766">
        <v>0.82234417982096342</v>
      </c>
      <c r="Z766">
        <v>0.8662238519915888</v>
      </c>
      <c r="AA766">
        <v>0.78775351603371924</v>
      </c>
      <c r="AB766">
        <v>0.84571364719262521</v>
      </c>
      <c r="AC766">
        <v>0.72101664085299833</v>
      </c>
      <c r="AD766">
        <v>0.89818111431856873</v>
      </c>
      <c r="AE766">
        <v>0.74235310666153098</v>
      </c>
      <c r="AH766">
        <v>6.007001428499259E-2</v>
      </c>
      <c r="AI766">
        <v>7.6296064404782538E-2</v>
      </c>
      <c r="AJ766">
        <v>0.20159751952014449</v>
      </c>
      <c r="AK766">
        <v>5.5087573485620211E-2</v>
      </c>
      <c r="AL766">
        <v>0.18493955276113805</v>
      </c>
      <c r="AM766">
        <v>2.8796616991616508E-3</v>
      </c>
      <c r="AN766">
        <v>0.10440062630098312</v>
      </c>
      <c r="AO766">
        <v>0.12314327986150075</v>
      </c>
      <c r="AR766">
        <v>8.3778498872389979E-4</v>
      </c>
      <c r="AS766">
        <v>4.5894976928988473E-3</v>
      </c>
      <c r="AT766">
        <v>5.3174910750966031E-3</v>
      </c>
      <c r="AU766">
        <v>1.9243154894418393E-3</v>
      </c>
      <c r="AV766">
        <v>1.9155003963419158E-3</v>
      </c>
      <c r="AW766">
        <v>3.3454364554831159E-3</v>
      </c>
      <c r="AX766">
        <v>3.3224591065462506E-4</v>
      </c>
      <c r="AY766">
        <v>4.9070143102247776E-4</v>
      </c>
      <c r="BB766">
        <v>5.2548349514194514E-2</v>
      </c>
      <c r="BC766">
        <v>6.2055088992639673E-2</v>
      </c>
      <c r="BE766">
        <v>70961.982506236367</v>
      </c>
      <c r="BF766">
        <v>14.310702005130489</v>
      </c>
      <c r="BG766">
        <v>72715.166080340758</v>
      </c>
      <c r="BH766">
        <v>14.197460112916474</v>
      </c>
      <c r="BI766">
        <v>-1753.1835741043906</v>
      </c>
      <c r="BJ766">
        <v>0.11324189221401504</v>
      </c>
    </row>
    <row r="767" spans="3:62" x14ac:dyDescent="0.2">
      <c r="C767" s="121">
        <v>70107.783280878619</v>
      </c>
      <c r="D767">
        <v>16.589976062886006</v>
      </c>
      <c r="E767" s="121">
        <v>70734.788510072802</v>
      </c>
      <c r="F767" s="121">
        <v>16.501088482614296</v>
      </c>
      <c r="G767" s="121">
        <v>-627.0052291941829</v>
      </c>
      <c r="H767" s="121">
        <v>8.888758027170951E-2</v>
      </c>
      <c r="N767" s="121"/>
      <c r="O767" s="121"/>
      <c r="P767" s="121"/>
      <c r="R767">
        <v>342.00107009312177</v>
      </c>
      <c r="S767">
        <v>62.959559774270076</v>
      </c>
      <c r="T767">
        <v>219.90703739734792</v>
      </c>
      <c r="U767">
        <v>92.277939841744839</v>
      </c>
      <c r="X767">
        <v>0.42694885876866895</v>
      </c>
      <c r="Y767">
        <v>0.80755421138282457</v>
      </c>
      <c r="Z767">
        <v>0.771038317339243</v>
      </c>
      <c r="AA767">
        <v>0.81472476213593703</v>
      </c>
      <c r="AB767">
        <v>0.77321237563355005</v>
      </c>
      <c r="AC767">
        <v>0.57512278626572855</v>
      </c>
      <c r="AD767">
        <v>0.80240167480197999</v>
      </c>
      <c r="AE767">
        <v>0.68412072689748971</v>
      </c>
      <c r="AH767">
        <v>9.3176019650750508E-2</v>
      </c>
      <c r="AI767">
        <v>7.7959921602883564E-2</v>
      </c>
      <c r="AJ767">
        <v>4.6076643499925796E-2</v>
      </c>
      <c r="AK767">
        <v>4.9342558711800266E-2</v>
      </c>
      <c r="AL767">
        <v>0.18468106024871711</v>
      </c>
      <c r="AM767">
        <v>0.10381818146974409</v>
      </c>
      <c r="AN767">
        <v>0.12019932307796544</v>
      </c>
      <c r="AO767">
        <v>2.9972215959408577E-2</v>
      </c>
      <c r="AR767">
        <v>1.0921383284870911E-3</v>
      </c>
      <c r="AS767">
        <v>4.2921462773043741E-3</v>
      </c>
      <c r="AT767">
        <v>4.8928872661011084E-3</v>
      </c>
      <c r="AU767">
        <v>1.73731001153854E-3</v>
      </c>
      <c r="AV767">
        <v>2.3995003921171154E-3</v>
      </c>
      <c r="AW767">
        <v>3.4647207548955672E-3</v>
      </c>
      <c r="AX767">
        <v>4.0270062894820491E-4</v>
      </c>
      <c r="AY767">
        <v>3.8197910818294335E-4</v>
      </c>
      <c r="BB767">
        <v>4.9330508049943544E-2</v>
      </c>
      <c r="BC767">
        <v>3.4498884164064748E-2</v>
      </c>
      <c r="BE767">
        <v>70107.783280878619</v>
      </c>
      <c r="BF767">
        <v>16.589976062886006</v>
      </c>
      <c r="BG767">
        <v>70734.788510072802</v>
      </c>
      <c r="BH767">
        <v>16.501088482614296</v>
      </c>
      <c r="BI767">
        <v>-627.0052291941829</v>
      </c>
      <c r="BJ767">
        <v>8.888758027170951E-2</v>
      </c>
    </row>
    <row r="768" spans="3:62" x14ac:dyDescent="0.2">
      <c r="C768" s="121">
        <v>73494.16455583513</v>
      </c>
      <c r="D768">
        <v>15.469088395840791</v>
      </c>
      <c r="E768" s="121">
        <v>74025.416718803055</v>
      </c>
      <c r="F768" s="121">
        <v>15.401418758383693</v>
      </c>
      <c r="G768" s="121">
        <v>-531.25216296792496</v>
      </c>
      <c r="H768" s="121">
        <v>6.7669637457097309E-2</v>
      </c>
      <c r="N768" s="121"/>
      <c r="O768" s="121"/>
      <c r="P768" s="121"/>
      <c r="R768">
        <v>223.67739180027067</v>
      </c>
      <c r="S768">
        <v>62.801095072993661</v>
      </c>
      <c r="T768">
        <v>247.39767293571774</v>
      </c>
      <c r="U768">
        <v>97.789280404877232</v>
      </c>
      <c r="X768">
        <v>0.75182374266765983</v>
      </c>
      <c r="Y768">
        <v>0.71721868022784263</v>
      </c>
      <c r="Z768">
        <v>0.70106298615764617</v>
      </c>
      <c r="AA768">
        <v>0.43074355817146354</v>
      </c>
      <c r="AB768">
        <v>0.63207960051285939</v>
      </c>
      <c r="AC768">
        <v>0.4171859561807893</v>
      </c>
      <c r="AD768">
        <v>0.59446755282440367</v>
      </c>
      <c r="AE768">
        <v>0.72176597176868906</v>
      </c>
      <c r="AH768">
        <v>4.5273401889296849E-2</v>
      </c>
      <c r="AI768">
        <v>0.1041335467879545</v>
      </c>
      <c r="AJ768">
        <v>7.3544763041498817E-2</v>
      </c>
      <c r="AK768">
        <v>6.1963890473977434E-2</v>
      </c>
      <c r="AL768">
        <v>0.10095523461565015</v>
      </c>
      <c r="AM768">
        <v>0.11575359753907655</v>
      </c>
      <c r="AN768">
        <v>5.0010452573324704E-2</v>
      </c>
      <c r="AO768">
        <v>0.24089198369644182</v>
      </c>
      <c r="AR768">
        <v>7.5791125236200933E-4</v>
      </c>
      <c r="AS768">
        <v>4.5142889716504042E-3</v>
      </c>
      <c r="AT768">
        <v>4.8440916237725354E-3</v>
      </c>
      <c r="AU768">
        <v>1.7624559821744267E-3</v>
      </c>
      <c r="AV768">
        <v>1.8056332161673924E-3</v>
      </c>
      <c r="AW768">
        <v>3.4087986503312795E-3</v>
      </c>
      <c r="AX768">
        <v>4.7707464531276944E-4</v>
      </c>
      <c r="AY768">
        <v>4.7945947526395472E-4</v>
      </c>
      <c r="BB768">
        <v>4.0062536084663931E-2</v>
      </c>
      <c r="BC768">
        <v>4.3238948337816725E-2</v>
      </c>
      <c r="BE768">
        <v>73494.16455583513</v>
      </c>
      <c r="BF768">
        <v>15.469088395840791</v>
      </c>
      <c r="BG768">
        <v>74025.416718803055</v>
      </c>
      <c r="BH768">
        <v>15.401418758383693</v>
      </c>
      <c r="BI768">
        <v>-531.25216296792496</v>
      </c>
      <c r="BJ768">
        <v>6.7669637457097309E-2</v>
      </c>
    </row>
    <row r="769" spans="3:62" x14ac:dyDescent="0.2">
      <c r="C769" s="121">
        <v>70211.673661159541</v>
      </c>
      <c r="D769">
        <v>14.319946032978136</v>
      </c>
      <c r="E769" s="121">
        <v>71775.125369455884</v>
      </c>
      <c r="F769" s="121">
        <v>14.281247769011499</v>
      </c>
      <c r="G769" s="121">
        <v>-1563.451708296343</v>
      </c>
      <c r="H769" s="121">
        <v>3.8698263966637114E-2</v>
      </c>
      <c r="N769" s="121"/>
      <c r="O769" s="121"/>
      <c r="P769" s="121"/>
      <c r="R769">
        <v>135.1219691955497</v>
      </c>
      <c r="S769">
        <v>68.553436641861765</v>
      </c>
      <c r="T769">
        <v>260.88819601389969</v>
      </c>
      <c r="U769">
        <v>94.870442959771282</v>
      </c>
      <c r="X769">
        <v>0.73297852551888398</v>
      </c>
      <c r="Y769">
        <v>0.70396336682139549</v>
      </c>
      <c r="Z769">
        <v>0.92186081146152488</v>
      </c>
      <c r="AA769">
        <v>0.65628108282526798</v>
      </c>
      <c r="AB769">
        <v>0.57478977164570011</v>
      </c>
      <c r="AC769">
        <v>0.79110461734232962</v>
      </c>
      <c r="AD769">
        <v>0.94290155286884492</v>
      </c>
      <c r="AE769">
        <v>0.74577594414183968</v>
      </c>
      <c r="AH769">
        <v>5.2327495322495143E-2</v>
      </c>
      <c r="AI769">
        <v>2.1511015276386436E-2</v>
      </c>
      <c r="AJ769">
        <v>4.7749698015285391E-2</v>
      </c>
      <c r="AK769">
        <v>9.7709387596048303E-2</v>
      </c>
      <c r="AL769">
        <v>0.10025798150369791</v>
      </c>
      <c r="AM769">
        <v>0.16895914039202087</v>
      </c>
      <c r="AN769">
        <v>8.1074947037344858E-2</v>
      </c>
      <c r="AO769">
        <v>6.123361318224485E-2</v>
      </c>
      <c r="AR769">
        <v>8.7240328626094616E-4</v>
      </c>
      <c r="AS769">
        <v>4.4368446082277361E-3</v>
      </c>
      <c r="AT769">
        <v>4.9688600061000843E-3</v>
      </c>
      <c r="AU769">
        <v>1.9072664036033063E-3</v>
      </c>
      <c r="AV769">
        <v>1.9448264497858329E-3</v>
      </c>
      <c r="AW769">
        <v>3.7405313921494709E-3</v>
      </c>
      <c r="AX769">
        <v>4.2622263076352862E-4</v>
      </c>
      <c r="AY769">
        <v>4.619226255894171E-4</v>
      </c>
      <c r="BB769">
        <v>5.0323748178467187E-2</v>
      </c>
      <c r="BC769">
        <v>5.3637250182956286E-2</v>
      </c>
      <c r="BE769">
        <v>70211.673661159541</v>
      </c>
      <c r="BF769">
        <v>14.319946032978136</v>
      </c>
      <c r="BG769">
        <v>71775.125369455884</v>
      </c>
      <c r="BH769">
        <v>14.281247769011499</v>
      </c>
      <c r="BI769">
        <v>-1563.451708296343</v>
      </c>
      <c r="BJ769">
        <v>3.8698263966637114E-2</v>
      </c>
    </row>
    <row r="770" spans="3:62" x14ac:dyDescent="0.2">
      <c r="C770" s="121">
        <v>68642.933654300912</v>
      </c>
      <c r="D770">
        <v>16.705447333917444</v>
      </c>
      <c r="E770" s="121">
        <v>70658.102390790023</v>
      </c>
      <c r="F770" s="121">
        <v>16.565699204947478</v>
      </c>
      <c r="G770" s="121">
        <v>-2015.1687364891113</v>
      </c>
      <c r="H770" s="121">
        <v>0.13974812896996625</v>
      </c>
      <c r="N770" s="121"/>
      <c r="O770" s="121"/>
      <c r="P770" s="121"/>
      <c r="R770">
        <v>318.78130885198743</v>
      </c>
      <c r="S770">
        <v>64.105107410379233</v>
      </c>
      <c r="T770">
        <v>240.49575271853931</v>
      </c>
      <c r="U770">
        <v>90.130820318741215</v>
      </c>
      <c r="X770">
        <v>0.63230277331176021</v>
      </c>
      <c r="Y770">
        <v>0.80451819275950931</v>
      </c>
      <c r="Z770">
        <v>0.80544179431985563</v>
      </c>
      <c r="AA770">
        <v>0.84329480955661129</v>
      </c>
      <c r="AB770">
        <v>0.81727141721108143</v>
      </c>
      <c r="AC770">
        <v>0.70714072584424725</v>
      </c>
      <c r="AD770">
        <v>0.79895707928839055</v>
      </c>
      <c r="AE770">
        <v>0.67342378081676324</v>
      </c>
      <c r="AH770">
        <v>0.15491291003574381</v>
      </c>
      <c r="AI770">
        <v>0.19566403941204258</v>
      </c>
      <c r="AJ770">
        <v>0.15141791573526042</v>
      </c>
      <c r="AK770">
        <v>0.22219121048336088</v>
      </c>
      <c r="AL770">
        <v>8.0874670576485563E-2</v>
      </c>
      <c r="AM770">
        <v>1.0320718223406633E-2</v>
      </c>
      <c r="AN770">
        <v>0.26450822914816918</v>
      </c>
      <c r="AO770">
        <v>0.17569220440475497</v>
      </c>
      <c r="AR770">
        <v>9.3895691998568953E-4</v>
      </c>
      <c r="AS770">
        <v>4.3828699984618464E-3</v>
      </c>
      <c r="AT770">
        <v>4.8057539784225889E-3</v>
      </c>
      <c r="AU770">
        <v>1.7193902255153572E-3</v>
      </c>
      <c r="AV770">
        <v>2.0305983958048834E-3</v>
      </c>
      <c r="AW770">
        <v>3.4690902094347553E-3</v>
      </c>
      <c r="AX770">
        <v>3.6819348882290073E-4</v>
      </c>
      <c r="AY770">
        <v>5.1665012294288548E-4</v>
      </c>
      <c r="BB770">
        <v>4.2264075951720853E-2</v>
      </c>
      <c r="BC770">
        <v>2.6151006272371116E-2</v>
      </c>
      <c r="BE770">
        <v>68642.933654300912</v>
      </c>
      <c r="BF770">
        <v>16.705447333917444</v>
      </c>
      <c r="BG770">
        <v>70658.102390790023</v>
      </c>
      <c r="BH770">
        <v>16.565699204947478</v>
      </c>
      <c r="BI770">
        <v>-2015.1687364891113</v>
      </c>
      <c r="BJ770">
        <v>0.13974812896996625</v>
      </c>
    </row>
    <row r="771" spans="3:62" x14ac:dyDescent="0.2">
      <c r="C771" s="121">
        <v>70549.575787937021</v>
      </c>
      <c r="D771">
        <v>15.648357709638875</v>
      </c>
      <c r="E771" s="121">
        <v>71687.373125328319</v>
      </c>
      <c r="F771" s="121">
        <v>15.55024029402251</v>
      </c>
      <c r="G771" s="121">
        <v>-1137.7973373912973</v>
      </c>
      <c r="H771" s="121">
        <v>9.8117415616364667E-2</v>
      </c>
      <c r="N771" s="121"/>
      <c r="O771" s="121"/>
      <c r="P771" s="121"/>
      <c r="R771">
        <v>243.18440777096953</v>
      </c>
      <c r="S771">
        <v>63.085328920440617</v>
      </c>
      <c r="T771">
        <v>226.08539508984447</v>
      </c>
      <c r="U771">
        <v>91.738880470196094</v>
      </c>
      <c r="X771">
        <v>0.73671419086573775</v>
      </c>
      <c r="Y771">
        <v>0.66927595594886635</v>
      </c>
      <c r="Z771">
        <v>0.69758281732132454</v>
      </c>
      <c r="AA771">
        <v>0.68279442856304007</v>
      </c>
      <c r="AB771">
        <v>0.66804400128503705</v>
      </c>
      <c r="AC771">
        <v>0.81466737192237537</v>
      </c>
      <c r="AD771">
        <v>0.89108470963516906</v>
      </c>
      <c r="AE771">
        <v>0.95212600041063922</v>
      </c>
      <c r="AH771">
        <v>0.12908890356426195</v>
      </c>
      <c r="AI771">
        <v>0.11224605902349938</v>
      </c>
      <c r="AJ771">
        <v>6.951836897813346E-2</v>
      </c>
      <c r="AK771">
        <v>0.17213819629444982</v>
      </c>
      <c r="AL771">
        <v>0.13606662022411198</v>
      </c>
      <c r="AM771">
        <v>0.17617108494739908</v>
      </c>
      <c r="AN771">
        <v>0.10841061035721278</v>
      </c>
      <c r="AO771">
        <v>0.13930919953846976</v>
      </c>
      <c r="AR771">
        <v>7.9246783649709516E-4</v>
      </c>
      <c r="AS771">
        <v>4.5923634107531974E-3</v>
      </c>
      <c r="AT771">
        <v>5.0347594266318962E-3</v>
      </c>
      <c r="AU771">
        <v>1.9799010977832724E-3</v>
      </c>
      <c r="AV771">
        <v>1.8384785409293674E-3</v>
      </c>
      <c r="AW771">
        <v>3.3908807577355152E-3</v>
      </c>
      <c r="AX771">
        <v>5.1411808899881617E-4</v>
      </c>
      <c r="AY771">
        <v>6.409243968197309E-4</v>
      </c>
      <c r="BB771">
        <v>4.8569038893733908E-2</v>
      </c>
      <c r="BC771">
        <v>3.9681444549668599E-2</v>
      </c>
      <c r="BE771">
        <v>70549.575787937021</v>
      </c>
      <c r="BF771">
        <v>15.648357709638875</v>
      </c>
      <c r="BG771">
        <v>71687.373125328319</v>
      </c>
      <c r="BH771">
        <v>15.55024029402251</v>
      </c>
      <c r="BI771">
        <v>-1137.7973373912973</v>
      </c>
      <c r="BJ771">
        <v>9.8117415616364667E-2</v>
      </c>
    </row>
    <row r="772" spans="3:62" x14ac:dyDescent="0.2">
      <c r="C772" s="121">
        <v>73834.2871317229</v>
      </c>
      <c r="D772">
        <v>15.990453695017258</v>
      </c>
      <c r="E772" s="121">
        <v>75669.035991047262</v>
      </c>
      <c r="F772" s="121">
        <v>15.887075768604197</v>
      </c>
      <c r="G772" s="121">
        <v>-1834.7488593243615</v>
      </c>
      <c r="H772" s="121">
        <v>0.10337792641306187</v>
      </c>
      <c r="N772" s="121"/>
      <c r="O772" s="121"/>
      <c r="P772" s="121"/>
      <c r="R772">
        <v>174.54346144024856</v>
      </c>
      <c r="S772">
        <v>68.431014073204864</v>
      </c>
      <c r="T772">
        <v>218.55310783542592</v>
      </c>
      <c r="U772">
        <v>76.418479598139683</v>
      </c>
      <c r="X772">
        <v>0.73458483476820347</v>
      </c>
      <c r="Y772">
        <v>0.89021716826928299</v>
      </c>
      <c r="Z772">
        <v>0.74081424012937191</v>
      </c>
      <c r="AA772">
        <v>0.62217910779712671</v>
      </c>
      <c r="AB772">
        <v>0.86828996742063591</v>
      </c>
      <c r="AC772">
        <v>0.80737911409399077</v>
      </c>
      <c r="AD772">
        <v>0.82173057166198005</v>
      </c>
      <c r="AE772">
        <v>0.8440032209515943</v>
      </c>
      <c r="AH772">
        <v>0.232672725121157</v>
      </c>
      <c r="AI772">
        <v>2.7224275222201388E-2</v>
      </c>
      <c r="AJ772">
        <v>0.21979887180419466</v>
      </c>
      <c r="AK772">
        <v>0.15165089632483431</v>
      </c>
      <c r="AL772">
        <v>4.1496369976970593E-2</v>
      </c>
      <c r="AM772">
        <v>0.1231939195465277</v>
      </c>
      <c r="AN772">
        <v>0.2614552841734834</v>
      </c>
      <c r="AO772">
        <v>0.19765225585276425</v>
      </c>
      <c r="AR772">
        <v>7.3011220856055131E-4</v>
      </c>
      <c r="AS772">
        <v>4.8184661970199771E-3</v>
      </c>
      <c r="AT772">
        <v>4.8751633368884556E-3</v>
      </c>
      <c r="AU772">
        <v>1.924051783884791E-3</v>
      </c>
      <c r="AV772">
        <v>1.8304803945095051E-3</v>
      </c>
      <c r="AW772">
        <v>3.3755544979790137E-3</v>
      </c>
      <c r="AX772">
        <v>3.5769889945622992E-4</v>
      </c>
      <c r="AY772">
        <v>5.1471838312533436E-4</v>
      </c>
      <c r="BB772">
        <v>5.3744689262746781E-2</v>
      </c>
      <c r="BC772">
        <v>0.109181518276109</v>
      </c>
      <c r="BE772">
        <v>73834.2871317229</v>
      </c>
      <c r="BF772">
        <v>15.990453695017258</v>
      </c>
      <c r="BG772">
        <v>75669.035991047262</v>
      </c>
      <c r="BH772">
        <v>15.887075768604197</v>
      </c>
      <c r="BI772">
        <v>-1834.7488593243615</v>
      </c>
      <c r="BJ772">
        <v>0.10337792641306187</v>
      </c>
    </row>
    <row r="773" spans="3:62" x14ac:dyDescent="0.2">
      <c r="C773" s="121">
        <v>70925.386015402182</v>
      </c>
      <c r="D773">
        <v>16.588429828623173</v>
      </c>
      <c r="E773" s="121">
        <v>72870.334942061687</v>
      </c>
      <c r="F773" s="121">
        <v>16.431422665010103</v>
      </c>
      <c r="G773" s="121">
        <v>-1944.9489266595047</v>
      </c>
      <c r="H773" s="121">
        <v>0.15700716361306988</v>
      </c>
      <c r="N773" s="121"/>
      <c r="O773" s="121"/>
      <c r="P773" s="121"/>
      <c r="R773">
        <v>295.30824939753711</v>
      </c>
      <c r="S773">
        <v>60.431406354469587</v>
      </c>
      <c r="T773">
        <v>252.70866778789161</v>
      </c>
      <c r="U773">
        <v>70.927929954663469</v>
      </c>
      <c r="X773">
        <v>0.84014623838430924</v>
      </c>
      <c r="Y773">
        <v>0.82148690893691367</v>
      </c>
      <c r="Z773">
        <v>0.58426613531583471</v>
      </c>
      <c r="AA773">
        <v>0.94268074507461186</v>
      </c>
      <c r="AB773">
        <v>0.63170988144438345</v>
      </c>
      <c r="AC773">
        <v>0.79831665043166777</v>
      </c>
      <c r="AD773">
        <v>0.81656020749398239</v>
      </c>
      <c r="AE773">
        <v>0.81966259125041363</v>
      </c>
      <c r="AH773">
        <v>4.2394683435681202E-2</v>
      </c>
      <c r="AI773">
        <v>8.4802501808501463E-2</v>
      </c>
      <c r="AJ773">
        <v>0.10627720775336857</v>
      </c>
      <c r="AK773">
        <v>0.218698771113918</v>
      </c>
      <c r="AL773">
        <v>6.5921034525555422E-2</v>
      </c>
      <c r="AM773">
        <v>9.9735874512254852E-2</v>
      </c>
      <c r="AN773">
        <v>0.11851563369790163</v>
      </c>
      <c r="AO773">
        <v>9.4647535127480142E-2</v>
      </c>
      <c r="AR773">
        <v>8.1957631232797482E-4</v>
      </c>
      <c r="AS773">
        <v>4.6543785635239088E-3</v>
      </c>
      <c r="AT773">
        <v>4.8136711866852214E-3</v>
      </c>
      <c r="AU773">
        <v>2.2594650442814279E-3</v>
      </c>
      <c r="AV773">
        <v>1.9900038518012352E-3</v>
      </c>
      <c r="AW773">
        <v>3.3020816107560539E-3</v>
      </c>
      <c r="AX773">
        <v>3.9388044005777645E-4</v>
      </c>
      <c r="AY773">
        <v>4.5047889895577509E-4</v>
      </c>
      <c r="BB773">
        <v>4.418078626782726E-2</v>
      </c>
      <c r="BC773">
        <v>7.3996959871975299E-2</v>
      </c>
      <c r="BE773">
        <v>70925.386015402182</v>
      </c>
      <c r="BF773">
        <v>16.588429828623173</v>
      </c>
      <c r="BG773">
        <v>72870.334942061687</v>
      </c>
      <c r="BH773">
        <v>16.431422665010103</v>
      </c>
      <c r="BI773">
        <v>-1944.9489266595047</v>
      </c>
      <c r="BJ773">
        <v>0.15700716361306988</v>
      </c>
    </row>
    <row r="774" spans="3:62" x14ac:dyDescent="0.2">
      <c r="C774" s="121">
        <v>67644.424815635371</v>
      </c>
      <c r="D774">
        <v>16.453243977957772</v>
      </c>
      <c r="E774" s="121">
        <v>68985.156263059514</v>
      </c>
      <c r="F774" s="121">
        <v>16.375595783806627</v>
      </c>
      <c r="G774" s="121">
        <v>-1340.731447424143</v>
      </c>
      <c r="H774" s="121">
        <v>7.7648194151144878E-2</v>
      </c>
      <c r="N774" s="121"/>
      <c r="O774" s="121"/>
      <c r="P774" s="121"/>
      <c r="R774">
        <v>353.26444167368669</v>
      </c>
      <c r="S774">
        <v>60.219345499467046</v>
      </c>
      <c r="T774">
        <v>241.96180745231507</v>
      </c>
      <c r="U774">
        <v>83.514579914534394</v>
      </c>
      <c r="X774">
        <v>0.96755681707145536</v>
      </c>
      <c r="Y774">
        <v>0.7543418826870123</v>
      </c>
      <c r="Z774">
        <v>0.70394655077329304</v>
      </c>
      <c r="AA774">
        <v>0.71051172344173619</v>
      </c>
      <c r="AB774">
        <v>0.81934858710971981</v>
      </c>
      <c r="AC774">
        <v>0.72898803409291868</v>
      </c>
      <c r="AD774">
        <v>0.60314793237306574</v>
      </c>
      <c r="AE774">
        <v>0.92834675647181553</v>
      </c>
      <c r="AH774">
        <v>0.14923878912635058</v>
      </c>
      <c r="AI774">
        <v>0.1729534522264824</v>
      </c>
      <c r="AJ774">
        <v>6.8380107230836873E-2</v>
      </c>
      <c r="AK774">
        <v>0.10168116746856071</v>
      </c>
      <c r="AL774">
        <v>0.11936484682133164</v>
      </c>
      <c r="AM774">
        <v>9.7051930734536551E-2</v>
      </c>
      <c r="AN774">
        <v>0.10328256912611034</v>
      </c>
      <c r="AO774">
        <v>0.40918482143033752</v>
      </c>
      <c r="AR774">
        <v>8.8713127478379228E-4</v>
      </c>
      <c r="AS774">
        <v>4.2690908414967244E-3</v>
      </c>
      <c r="AT774">
        <v>5.1409351231191946E-3</v>
      </c>
      <c r="AU774">
        <v>1.943214826952104E-3</v>
      </c>
      <c r="AV774">
        <v>2.0832650855348023E-3</v>
      </c>
      <c r="AW774">
        <v>3.5867388628333385E-3</v>
      </c>
      <c r="AX774">
        <v>4.5719535752297702E-4</v>
      </c>
      <c r="AY774">
        <v>3.4948613314566651E-4</v>
      </c>
      <c r="BB774">
        <v>4.4253007865465807E-2</v>
      </c>
      <c r="BC774">
        <v>2.6596345789898307E-2</v>
      </c>
      <c r="BE774">
        <v>67644.424815635371</v>
      </c>
      <c r="BF774">
        <v>16.453243977957772</v>
      </c>
      <c r="BG774">
        <v>68985.156263059514</v>
      </c>
      <c r="BH774">
        <v>16.375595783806627</v>
      </c>
      <c r="BI774">
        <v>-1340.731447424143</v>
      </c>
      <c r="BJ774">
        <v>7.7648194151144878E-2</v>
      </c>
    </row>
    <row r="775" spans="3:62" x14ac:dyDescent="0.2">
      <c r="C775" s="121">
        <v>62523.532423815879</v>
      </c>
      <c r="D775">
        <v>17.135424644931163</v>
      </c>
      <c r="E775" s="121">
        <v>64134.336045093936</v>
      </c>
      <c r="F775" s="121">
        <v>16.998119507789273</v>
      </c>
      <c r="G775" s="121">
        <v>-1610.8036212780571</v>
      </c>
      <c r="H775" s="121">
        <v>0.1373051371418903</v>
      </c>
      <c r="N775" s="121"/>
      <c r="O775" s="121"/>
      <c r="P775" s="121"/>
      <c r="R775">
        <v>132.31578452239802</v>
      </c>
      <c r="S775">
        <v>70.820874102866824</v>
      </c>
      <c r="T775">
        <v>222.49357670174925</v>
      </c>
      <c r="U775">
        <v>110.66277705047645</v>
      </c>
      <c r="X775">
        <v>0.86439105173987019</v>
      </c>
      <c r="Y775">
        <v>0.75420031058249215</v>
      </c>
      <c r="Z775">
        <v>0.80597224255685607</v>
      </c>
      <c r="AA775">
        <v>0.76664961418052391</v>
      </c>
      <c r="AB775">
        <v>0.75715266573633855</v>
      </c>
      <c r="AC775">
        <v>0.82371409575982224</v>
      </c>
      <c r="AD775">
        <v>0.87068112976520684</v>
      </c>
      <c r="AE775">
        <v>0.87121786955155511</v>
      </c>
      <c r="AH775">
        <v>0.12051956226120497</v>
      </c>
      <c r="AI775">
        <v>0.16360898976883731</v>
      </c>
      <c r="AJ775">
        <v>0.12263407643799462</v>
      </c>
      <c r="AK775">
        <v>0.31545121795447251</v>
      </c>
      <c r="AL775">
        <v>0.39024698436945937</v>
      </c>
      <c r="AM775">
        <v>5.1348565488177567E-2</v>
      </c>
      <c r="AN775">
        <v>4.121008185970354E-2</v>
      </c>
      <c r="AO775">
        <v>0.19257549343850977</v>
      </c>
      <c r="AR775">
        <v>9.8698541894037817E-4</v>
      </c>
      <c r="AS775">
        <v>4.5688162972500335E-3</v>
      </c>
      <c r="AT775">
        <v>5.2704954456408437E-3</v>
      </c>
      <c r="AU775">
        <v>1.9976140291554367E-3</v>
      </c>
      <c r="AV775">
        <v>2.0540230747898569E-3</v>
      </c>
      <c r="AW775">
        <v>3.5088717055203889E-3</v>
      </c>
      <c r="AX775">
        <v>3.7056300487620509E-4</v>
      </c>
      <c r="AY775">
        <v>4.74147808741332E-4</v>
      </c>
      <c r="BB775">
        <v>5.2283504532248948E-2</v>
      </c>
      <c r="BC775">
        <v>2.5736859088626978E-2</v>
      </c>
      <c r="BE775">
        <v>62523.532423815879</v>
      </c>
      <c r="BF775">
        <v>17.135424644931163</v>
      </c>
      <c r="BG775">
        <v>64134.336045093936</v>
      </c>
      <c r="BH775">
        <v>16.998119507789273</v>
      </c>
      <c r="BI775">
        <v>-1610.8036212780571</v>
      </c>
      <c r="BJ775">
        <v>0.1373051371418903</v>
      </c>
    </row>
    <row r="776" spans="3:62" x14ac:dyDescent="0.2">
      <c r="C776" s="121">
        <v>66964.568638012541</v>
      </c>
      <c r="D776">
        <v>14.831349270496084</v>
      </c>
      <c r="E776" s="121">
        <v>68659.704375825371</v>
      </c>
      <c r="F776" s="121">
        <v>14.68910398751621</v>
      </c>
      <c r="G776" s="121">
        <v>-1695.1357378128305</v>
      </c>
      <c r="H776" s="121">
        <v>0.14224528297987327</v>
      </c>
      <c r="N776" s="121"/>
      <c r="O776" s="121"/>
      <c r="P776" s="121"/>
      <c r="R776">
        <v>228.97258316880144</v>
      </c>
      <c r="S776">
        <v>62.001344100818045</v>
      </c>
      <c r="T776">
        <v>227.97186265552619</v>
      </c>
      <c r="U776">
        <v>94.240644838622202</v>
      </c>
      <c r="X776">
        <v>0.91256239625335878</v>
      </c>
      <c r="Y776">
        <v>0.88890987320066928</v>
      </c>
      <c r="Z776">
        <v>0.74378045316591479</v>
      </c>
      <c r="AA776">
        <v>0.84003530066472831</v>
      </c>
      <c r="AB776">
        <v>0.81954698934038428</v>
      </c>
      <c r="AC776">
        <v>0.90698159311951321</v>
      </c>
      <c r="AD776">
        <v>0.65709397511391365</v>
      </c>
      <c r="AE776">
        <v>0.7277479656472533</v>
      </c>
      <c r="AH776">
        <v>0.26672151256245902</v>
      </c>
      <c r="AI776">
        <v>0.15477426651754678</v>
      </c>
      <c r="AJ776">
        <v>0.14886956007051799</v>
      </c>
      <c r="AK776">
        <v>0.13041045618801539</v>
      </c>
      <c r="AL776">
        <v>2.4444808048325939E-2</v>
      </c>
      <c r="AM776">
        <v>0.19380833993208324</v>
      </c>
      <c r="AN776">
        <v>9.0463732610518766E-2</v>
      </c>
      <c r="AO776">
        <v>0.11352249647374946</v>
      </c>
      <c r="AR776">
        <v>8.6653448787423859E-4</v>
      </c>
      <c r="AS776">
        <v>4.3877991124347477E-3</v>
      </c>
      <c r="AT776">
        <v>4.8994209939080755E-3</v>
      </c>
      <c r="AU776">
        <v>1.9062575176883735E-3</v>
      </c>
      <c r="AV776">
        <v>2.0307148543218245E-3</v>
      </c>
      <c r="AW776">
        <v>3.8067814022118007E-3</v>
      </c>
      <c r="AX776">
        <v>3.1949391946886797E-4</v>
      </c>
      <c r="AY776">
        <v>4.6072293270005282E-4</v>
      </c>
      <c r="BB776">
        <v>5.3414035551841432E-2</v>
      </c>
      <c r="BC776">
        <v>2.3421994559102245E-2</v>
      </c>
      <c r="BE776">
        <v>66964.568638012541</v>
      </c>
      <c r="BF776">
        <v>14.831349270496084</v>
      </c>
      <c r="BG776">
        <v>68659.704375825371</v>
      </c>
      <c r="BH776">
        <v>14.68910398751621</v>
      </c>
      <c r="BI776">
        <v>-1695.1357378128305</v>
      </c>
      <c r="BJ776">
        <v>0.14224528297987327</v>
      </c>
    </row>
    <row r="777" spans="3:62" x14ac:dyDescent="0.2">
      <c r="C777" s="121">
        <v>63467.483792574385</v>
      </c>
      <c r="D777">
        <v>17.412000372868615</v>
      </c>
      <c r="E777" s="121">
        <v>65437.641950775382</v>
      </c>
      <c r="F777" s="121">
        <v>17.291468825161889</v>
      </c>
      <c r="G777" s="121">
        <v>-1970.1581582009967</v>
      </c>
      <c r="H777" s="121">
        <v>0.12053154770672592</v>
      </c>
      <c r="N777" s="121"/>
      <c r="O777" s="121"/>
      <c r="P777" s="121"/>
      <c r="R777">
        <v>287.06494603453848</v>
      </c>
      <c r="S777">
        <v>65.028854649229089</v>
      </c>
      <c r="T777">
        <v>251.96584146734153</v>
      </c>
      <c r="U777">
        <v>110.13690371211372</v>
      </c>
      <c r="X777">
        <v>0.65846061321261595</v>
      </c>
      <c r="Y777">
        <v>0.9158841313611793</v>
      </c>
      <c r="Z777">
        <v>0.71055853814652836</v>
      </c>
      <c r="AA777">
        <v>0.79037486501874521</v>
      </c>
      <c r="AB777">
        <v>0.79742758156055982</v>
      </c>
      <c r="AC777">
        <v>0.65131390568192438</v>
      </c>
      <c r="AD777">
        <v>0.86483090285508124</v>
      </c>
      <c r="AE777">
        <v>0.72765531688512541</v>
      </c>
      <c r="AH777">
        <v>7.6484262600877706E-2</v>
      </c>
      <c r="AI777">
        <v>0.13505112267159924</v>
      </c>
      <c r="AJ777">
        <v>7.5683684455240319E-2</v>
      </c>
      <c r="AK777">
        <v>5.8170124629699949E-2</v>
      </c>
      <c r="AL777">
        <v>0.28322215255020011</v>
      </c>
      <c r="AM777">
        <v>0.14032269119261287</v>
      </c>
      <c r="AN777">
        <v>5.5441488758080082E-2</v>
      </c>
      <c r="AO777">
        <v>0.11776236779459892</v>
      </c>
      <c r="AR777">
        <v>8.4295678695560947E-4</v>
      </c>
      <c r="AS777">
        <v>4.6709727483859043E-3</v>
      </c>
      <c r="AT777">
        <v>4.8532592186484929E-3</v>
      </c>
      <c r="AU777">
        <v>2.077957075107828E-3</v>
      </c>
      <c r="AV777">
        <v>2.0205117799284578E-3</v>
      </c>
      <c r="AW777">
        <v>3.1813167234009806E-3</v>
      </c>
      <c r="AX777">
        <v>5.3234926497247592E-4</v>
      </c>
      <c r="AY777">
        <v>5.2582060679173814E-4</v>
      </c>
      <c r="BB777">
        <v>4.4958685963086928E-2</v>
      </c>
      <c r="BC777">
        <v>4.3435208190839812E-2</v>
      </c>
      <c r="BE777">
        <v>63467.483792574385</v>
      </c>
      <c r="BF777">
        <v>17.412000372868615</v>
      </c>
      <c r="BG777">
        <v>65437.641950775382</v>
      </c>
      <c r="BH777">
        <v>17.291468825161889</v>
      </c>
      <c r="BI777">
        <v>-1970.1581582009967</v>
      </c>
      <c r="BJ777">
        <v>0.12053154770672592</v>
      </c>
    </row>
    <row r="778" spans="3:62" x14ac:dyDescent="0.2">
      <c r="C778" s="121">
        <v>68905.05242616334</v>
      </c>
      <c r="D778">
        <v>15.122740762836472</v>
      </c>
      <c r="E778" s="121">
        <v>71509.674287958682</v>
      </c>
      <c r="F778" s="121">
        <v>14.999341372954916</v>
      </c>
      <c r="G778" s="121">
        <v>-2604.6218617953418</v>
      </c>
      <c r="H778" s="121">
        <v>0.12339938988155552</v>
      </c>
      <c r="N778" s="121"/>
      <c r="O778" s="121"/>
      <c r="P778" s="121"/>
      <c r="R778">
        <v>286.97915609182837</v>
      </c>
      <c r="S778">
        <v>63.730020700666834</v>
      </c>
      <c r="T778">
        <v>247.82960979079755</v>
      </c>
      <c r="U778">
        <v>104.6347185989034</v>
      </c>
      <c r="X778">
        <v>0.7253762746352489</v>
      </c>
      <c r="Y778">
        <v>0.72437868276542383</v>
      </c>
      <c r="Z778">
        <v>0.77635034214535859</v>
      </c>
      <c r="AA778">
        <v>0.81329000925316941</v>
      </c>
      <c r="AB778">
        <v>0.982824963530468</v>
      </c>
      <c r="AC778">
        <v>0.7691108239880079</v>
      </c>
      <c r="AD778">
        <v>0.8580805277372765</v>
      </c>
      <c r="AE778">
        <v>0.8259137478984262</v>
      </c>
      <c r="AH778">
        <v>0.11937924870644201</v>
      </c>
      <c r="AI778">
        <v>4.7765586676678851E-2</v>
      </c>
      <c r="AJ778">
        <v>0.14042921964933019</v>
      </c>
      <c r="AK778">
        <v>0.15610244327635825</v>
      </c>
      <c r="AL778">
        <v>0.49726236127197143</v>
      </c>
      <c r="AM778">
        <v>0.11008607677763416</v>
      </c>
      <c r="AN778">
        <v>6.5464302313750999E-2</v>
      </c>
      <c r="AO778">
        <v>0.19262087985199972</v>
      </c>
      <c r="AR778">
        <v>1.0213415738569154E-3</v>
      </c>
      <c r="AS778">
        <v>4.4675400857023305E-3</v>
      </c>
      <c r="AT778">
        <v>4.8173296022295262E-3</v>
      </c>
      <c r="AU778">
        <v>1.6982631185865542E-3</v>
      </c>
      <c r="AV778">
        <v>2.4232227490267322E-3</v>
      </c>
      <c r="AW778">
        <v>3.4121028742336579E-3</v>
      </c>
      <c r="AX778">
        <v>3.1810936256701099E-4</v>
      </c>
      <c r="AY778">
        <v>3.8412701673985186E-4</v>
      </c>
      <c r="BB778">
        <v>4.5579265986501034E-2</v>
      </c>
      <c r="BC778">
        <v>4.8478850108340299E-2</v>
      </c>
      <c r="BE778">
        <v>68905.05242616334</v>
      </c>
      <c r="BF778">
        <v>15.122740762836472</v>
      </c>
      <c r="BG778">
        <v>71509.674287958682</v>
      </c>
      <c r="BH778">
        <v>14.999341372954916</v>
      </c>
      <c r="BI778">
        <v>-2604.6218617953418</v>
      </c>
      <c r="BJ778">
        <v>0.12339938988155552</v>
      </c>
    </row>
    <row r="779" spans="3:62" x14ac:dyDescent="0.2">
      <c r="C779" s="121">
        <v>69183.419477412041</v>
      </c>
      <c r="D779">
        <v>15.602937716539078</v>
      </c>
      <c r="E779" s="121">
        <v>71685.354698979674</v>
      </c>
      <c r="F779" s="121">
        <v>15.386250324537871</v>
      </c>
      <c r="G779" s="121">
        <v>-2501.9352215676336</v>
      </c>
      <c r="H779" s="121">
        <v>0.2166873920012069</v>
      </c>
      <c r="N779" s="121"/>
      <c r="O779" s="121"/>
      <c r="P779" s="121"/>
      <c r="R779">
        <v>221.80596099739964</v>
      </c>
      <c r="S779">
        <v>59.985842081137754</v>
      </c>
      <c r="T779">
        <v>206.21529721415425</v>
      </c>
      <c r="U779">
        <v>83.478012310679333</v>
      </c>
      <c r="X779">
        <v>0.91798179275735592</v>
      </c>
      <c r="Y779">
        <v>0.65171293568238442</v>
      </c>
      <c r="Z779">
        <v>0.60188637849845328</v>
      </c>
      <c r="AA779">
        <v>0.77768553315968347</v>
      </c>
      <c r="AB779">
        <v>0.76815826819683042</v>
      </c>
      <c r="AC779">
        <v>0.70917945654678483</v>
      </c>
      <c r="AD779">
        <v>0.57837195384539009</v>
      </c>
      <c r="AE779">
        <v>0.59099117383624789</v>
      </c>
      <c r="AH779">
        <v>2.8067092676698824E-2</v>
      </c>
      <c r="AI779">
        <v>9.8344290363390985E-2</v>
      </c>
      <c r="AJ779">
        <v>0.10686085508568155</v>
      </c>
      <c r="AK779">
        <v>0.15233655888814279</v>
      </c>
      <c r="AL779">
        <v>0.12544863728689448</v>
      </c>
      <c r="AM779">
        <v>0.28623560088781197</v>
      </c>
      <c r="AN779">
        <v>0.17284565861673817</v>
      </c>
      <c r="AO779">
        <v>6.422038769452465E-2</v>
      </c>
      <c r="AR779">
        <v>8.9926481722202301E-4</v>
      </c>
      <c r="AS779">
        <v>4.3247045616590469E-3</v>
      </c>
      <c r="AT779">
        <v>5.0313846525487094E-3</v>
      </c>
      <c r="AU779">
        <v>2.0997655483685485E-3</v>
      </c>
      <c r="AV779">
        <v>2.0035251456956837E-3</v>
      </c>
      <c r="AW779">
        <v>3.5129527764368174E-3</v>
      </c>
      <c r="AX779">
        <v>4.161622038622026E-4</v>
      </c>
      <c r="AY779">
        <v>5.4638712185439697E-4</v>
      </c>
      <c r="BB779">
        <v>4.7219690615638417E-2</v>
      </c>
      <c r="BC779">
        <v>2.1643060276379578E-2</v>
      </c>
      <c r="BE779">
        <v>69183.419477412041</v>
      </c>
      <c r="BF779">
        <v>15.602937716539078</v>
      </c>
      <c r="BG779">
        <v>71685.354698979674</v>
      </c>
      <c r="BH779">
        <v>15.386250324537871</v>
      </c>
      <c r="BI779">
        <v>-2501.9352215676336</v>
      </c>
      <c r="BJ779">
        <v>0.2166873920012069</v>
      </c>
    </row>
    <row r="780" spans="3:62" x14ac:dyDescent="0.2">
      <c r="C780" s="121">
        <v>68620.664725988288</v>
      </c>
      <c r="D780">
        <v>16.825642794637254</v>
      </c>
      <c r="E780" s="121">
        <v>70485.202548399888</v>
      </c>
      <c r="F780" s="121">
        <v>16.686773008942467</v>
      </c>
      <c r="G780" s="121">
        <v>-1864.5378224115993</v>
      </c>
      <c r="H780" s="121">
        <v>0.13886978569478714</v>
      </c>
      <c r="N780" s="121"/>
      <c r="O780" s="121"/>
      <c r="P780" s="121"/>
      <c r="R780">
        <v>295.80259829875769</v>
      </c>
      <c r="S780">
        <v>66.419382940644311</v>
      </c>
      <c r="T780">
        <v>277.48479129811409</v>
      </c>
      <c r="U780">
        <v>96.421366355407301</v>
      </c>
      <c r="X780">
        <v>0.88080537303911677</v>
      </c>
      <c r="Y780">
        <v>0.95139108933306527</v>
      </c>
      <c r="Z780">
        <v>0.7622137166174936</v>
      </c>
      <c r="AA780">
        <v>0.71908758762742331</v>
      </c>
      <c r="AB780">
        <v>0.78031124243127081</v>
      </c>
      <c r="AC780">
        <v>0.54456081340697915</v>
      </c>
      <c r="AD780">
        <v>0.71534723765779773</v>
      </c>
      <c r="AE780">
        <v>0.79101407550843184</v>
      </c>
      <c r="AH780">
        <v>7.3314188183563278E-2</v>
      </c>
      <c r="AI780">
        <v>6.5358469780130268E-2</v>
      </c>
      <c r="AJ780">
        <v>8.0545604993041975E-2</v>
      </c>
      <c r="AK780">
        <v>0.17479840577413763</v>
      </c>
      <c r="AL780">
        <v>9.1916377592981546E-2</v>
      </c>
      <c r="AM780">
        <v>8.6049251712091213E-2</v>
      </c>
      <c r="AN780">
        <v>9.5646497641366457E-2</v>
      </c>
      <c r="AO780">
        <v>0.15275304388603017</v>
      </c>
      <c r="AR780">
        <v>7.2923538077349808E-4</v>
      </c>
      <c r="AS780">
        <v>4.519842148066E-3</v>
      </c>
      <c r="AT780">
        <v>4.8383184058371134E-3</v>
      </c>
      <c r="AU780">
        <v>2.0740178527038911E-3</v>
      </c>
      <c r="AV780">
        <v>2.1782211288856601E-3</v>
      </c>
      <c r="AW780">
        <v>3.2402513232010709E-3</v>
      </c>
      <c r="AX780">
        <v>4.1234523766275899E-4</v>
      </c>
      <c r="AY780">
        <v>5.3631408096554978E-4</v>
      </c>
      <c r="BB780">
        <v>5.1415046350938409E-2</v>
      </c>
      <c r="BC780">
        <v>6.5741317390266563E-2</v>
      </c>
      <c r="BE780">
        <v>68620.664725988288</v>
      </c>
      <c r="BF780">
        <v>16.825642794637254</v>
      </c>
      <c r="BG780">
        <v>70485.202548399888</v>
      </c>
      <c r="BH780">
        <v>16.686773008942467</v>
      </c>
      <c r="BI780">
        <v>-1864.5378224115993</v>
      </c>
      <c r="BJ780">
        <v>0.13886978569478714</v>
      </c>
    </row>
    <row r="781" spans="3:62" x14ac:dyDescent="0.2">
      <c r="C781" s="121">
        <v>68164.493923783404</v>
      </c>
      <c r="D781">
        <v>15.306669438003993</v>
      </c>
      <c r="E781" s="121">
        <v>69599.545919233555</v>
      </c>
      <c r="F781" s="121">
        <v>15.155134019054712</v>
      </c>
      <c r="G781" s="121">
        <v>-1435.0519954501506</v>
      </c>
      <c r="H781" s="121">
        <v>0.15153541894928146</v>
      </c>
      <c r="N781" s="121"/>
      <c r="O781" s="121"/>
      <c r="P781" s="121"/>
      <c r="R781">
        <v>220.408112398068</v>
      </c>
      <c r="S781">
        <v>53.964494565511771</v>
      </c>
      <c r="T781">
        <v>231.94018550134962</v>
      </c>
      <c r="U781">
        <v>109.03917214324616</v>
      </c>
      <c r="X781">
        <v>0.94506287962869939</v>
      </c>
      <c r="Y781">
        <v>0.77509561027236062</v>
      </c>
      <c r="Z781">
        <v>0.83327893490165172</v>
      </c>
      <c r="AA781">
        <v>0.77084833814514142</v>
      </c>
      <c r="AB781">
        <v>0.8954820006647306</v>
      </c>
      <c r="AC781">
        <v>0.74871983129506614</v>
      </c>
      <c r="AD781">
        <v>0.69854737489268182</v>
      </c>
      <c r="AE781">
        <v>0.81901569892767945</v>
      </c>
      <c r="AH781">
        <v>4.8016624548894882E-2</v>
      </c>
      <c r="AI781">
        <v>0.33278122835735247</v>
      </c>
      <c r="AJ781">
        <v>0.16196492150336506</v>
      </c>
      <c r="AK781">
        <v>0.10983111870991424</v>
      </c>
      <c r="AL781">
        <v>4.4533504790354783E-2</v>
      </c>
      <c r="AM781">
        <v>0.15196097908810713</v>
      </c>
      <c r="AN781">
        <v>0.20266017662460589</v>
      </c>
      <c r="AO781">
        <v>0.29239224358997407</v>
      </c>
      <c r="AR781">
        <v>8.8452718136473873E-4</v>
      </c>
      <c r="AS781">
        <v>4.7676076060416683E-3</v>
      </c>
      <c r="AT781">
        <v>5.1780384742214913E-3</v>
      </c>
      <c r="AU781">
        <v>1.902900774994617E-3</v>
      </c>
      <c r="AV781">
        <v>2.0796890765650833E-3</v>
      </c>
      <c r="AW781">
        <v>3.5224544347324249E-3</v>
      </c>
      <c r="AX781">
        <v>3.4799847990751572E-4</v>
      </c>
      <c r="AY781">
        <v>4.1991729542509065E-4</v>
      </c>
      <c r="BB781">
        <v>4.5908567633302665E-2</v>
      </c>
      <c r="BC781">
        <v>4.0734694233541403E-2</v>
      </c>
      <c r="BE781">
        <v>68164.493923783404</v>
      </c>
      <c r="BF781">
        <v>15.306669438003993</v>
      </c>
      <c r="BG781">
        <v>69599.545919233555</v>
      </c>
      <c r="BH781">
        <v>15.155134019054712</v>
      </c>
      <c r="BI781">
        <v>-1435.0519954501506</v>
      </c>
      <c r="BJ781">
        <v>0.15153541894928146</v>
      </c>
    </row>
    <row r="782" spans="3:62" x14ac:dyDescent="0.2">
      <c r="C782" s="121">
        <v>64199.528512039236</v>
      </c>
      <c r="D782">
        <v>17.332807827741902</v>
      </c>
      <c r="E782" s="121">
        <v>65546.145517863275</v>
      </c>
      <c r="F782" s="121">
        <v>17.232917638548987</v>
      </c>
      <c r="G782" s="121">
        <v>-1346.6170058240386</v>
      </c>
      <c r="H782" s="121">
        <v>9.9890189192915813E-2</v>
      </c>
      <c r="N782" s="121"/>
      <c r="O782" s="121"/>
      <c r="P782" s="121"/>
      <c r="R782">
        <v>309.51728897307737</v>
      </c>
      <c r="S782">
        <v>68.351178378463686</v>
      </c>
      <c r="T782">
        <v>246.94423449807971</v>
      </c>
      <c r="U782">
        <v>100.10908555586099</v>
      </c>
      <c r="X782">
        <v>0.74247127075415953</v>
      </c>
      <c r="Y782">
        <v>0.78746406760039656</v>
      </c>
      <c r="Z782">
        <v>0.76790187437302859</v>
      </c>
      <c r="AA782">
        <v>0.85232751928394235</v>
      </c>
      <c r="AB782">
        <v>0.71336342676328435</v>
      </c>
      <c r="AC782">
        <v>0.65078029905748402</v>
      </c>
      <c r="AD782">
        <v>0.9627033969724611</v>
      </c>
      <c r="AE782">
        <v>0.77428286185886908</v>
      </c>
      <c r="AH782">
        <v>5.9559731290519613E-2</v>
      </c>
      <c r="AI782">
        <v>0.12219668106941339</v>
      </c>
      <c r="AJ782">
        <v>1.574713726064525E-2</v>
      </c>
      <c r="AK782">
        <v>0.13475747914153435</v>
      </c>
      <c r="AL782">
        <v>2.5723617308714086E-2</v>
      </c>
      <c r="AM782">
        <v>0.11898461712135999</v>
      </c>
      <c r="AN782">
        <v>5.5965100095996645E-2</v>
      </c>
      <c r="AO782">
        <v>3.872678951364783E-2</v>
      </c>
      <c r="AR782">
        <v>9.3051916447650651E-4</v>
      </c>
      <c r="AS782">
        <v>4.714597478507554E-3</v>
      </c>
      <c r="AT782">
        <v>4.929647042387901E-3</v>
      </c>
      <c r="AU782">
        <v>1.7045969753552448E-3</v>
      </c>
      <c r="AV782">
        <v>1.9357520302885228E-3</v>
      </c>
      <c r="AW782">
        <v>3.394093800666968E-3</v>
      </c>
      <c r="AX782">
        <v>3.5757982972947898E-4</v>
      </c>
      <c r="AY782">
        <v>4.5006031302596838E-4</v>
      </c>
      <c r="BB782">
        <v>4.1776588196547053E-2</v>
      </c>
      <c r="BC782">
        <v>5.0895091679095006E-2</v>
      </c>
      <c r="BE782">
        <v>64199.528512039236</v>
      </c>
      <c r="BF782">
        <v>17.332807827741902</v>
      </c>
      <c r="BG782">
        <v>65546.145517863275</v>
      </c>
      <c r="BH782">
        <v>17.232917638548987</v>
      </c>
      <c r="BI782">
        <v>-1346.6170058240386</v>
      </c>
      <c r="BJ782">
        <v>9.9890189192915813E-2</v>
      </c>
    </row>
    <row r="783" spans="3:62" x14ac:dyDescent="0.2">
      <c r="C783" s="121">
        <v>69943.605399529086</v>
      </c>
      <c r="D783">
        <v>16.482055333123657</v>
      </c>
      <c r="E783" s="121">
        <v>71769.459328783356</v>
      </c>
      <c r="F783" s="121">
        <v>16.322636373991781</v>
      </c>
      <c r="G783" s="121">
        <v>-1825.85392925427</v>
      </c>
      <c r="H783" s="121">
        <v>0.15941895913187665</v>
      </c>
      <c r="N783" s="121"/>
      <c r="O783" s="121"/>
      <c r="P783" s="121"/>
      <c r="R783">
        <v>219.1722362801963</v>
      </c>
      <c r="S783">
        <v>52.469220825323617</v>
      </c>
      <c r="T783">
        <v>264.62680282683067</v>
      </c>
      <c r="U783">
        <v>80.156618469554616</v>
      </c>
      <c r="X783">
        <v>0.78306028656199389</v>
      </c>
      <c r="Y783">
        <v>0.75941176178815273</v>
      </c>
      <c r="Z783">
        <v>0.86209431943971881</v>
      </c>
      <c r="AA783">
        <v>0.6780439560789101</v>
      </c>
      <c r="AB783">
        <v>0.80705285526148429</v>
      </c>
      <c r="AC783">
        <v>0.84408289439723316</v>
      </c>
      <c r="AD783">
        <v>0.69017841896447474</v>
      </c>
      <c r="AE783">
        <v>0.76711039179001905</v>
      </c>
      <c r="AH783">
        <v>9.8062253622823947E-2</v>
      </c>
      <c r="AI783">
        <v>0.1456244458235697</v>
      </c>
      <c r="AJ783">
        <v>0.3458404255544073</v>
      </c>
      <c r="AK783">
        <v>6.9451448599868515E-2</v>
      </c>
      <c r="AL783">
        <v>5.2521764084429545E-2</v>
      </c>
      <c r="AM783">
        <v>0.27338923395087134</v>
      </c>
      <c r="AN783">
        <v>0.17838800360372808</v>
      </c>
      <c r="AO783">
        <v>9.8701403229453089E-3</v>
      </c>
      <c r="AR783">
        <v>9.4761035484103306E-4</v>
      </c>
      <c r="AS783">
        <v>4.3893048585244478E-3</v>
      </c>
      <c r="AT783">
        <v>4.8069182621466094E-3</v>
      </c>
      <c r="AU783">
        <v>2.1090639053118476E-3</v>
      </c>
      <c r="AV783">
        <v>1.993927982805609E-3</v>
      </c>
      <c r="AW783">
        <v>3.4246529983421592E-3</v>
      </c>
      <c r="AX783">
        <v>4.2839876919131825E-4</v>
      </c>
      <c r="AY783">
        <v>3.7371812428406632E-4</v>
      </c>
      <c r="BB783">
        <v>4.2890661572215577E-2</v>
      </c>
      <c r="BC783">
        <v>2.2298297658880691E-2</v>
      </c>
      <c r="BE783">
        <v>69943.605399529086</v>
      </c>
      <c r="BF783">
        <v>16.482055333123657</v>
      </c>
      <c r="BG783">
        <v>71769.459328783356</v>
      </c>
      <c r="BH783">
        <v>16.322636373991781</v>
      </c>
      <c r="BI783">
        <v>-1825.85392925427</v>
      </c>
      <c r="BJ783">
        <v>0.15941895913187665</v>
      </c>
    </row>
    <row r="784" spans="3:62" x14ac:dyDescent="0.2">
      <c r="C784" s="121">
        <v>61274.987767929459</v>
      </c>
      <c r="D784">
        <v>16.974687389640657</v>
      </c>
      <c r="E784" s="121">
        <v>62352.485009456468</v>
      </c>
      <c r="F784" s="121">
        <v>16.857748762263427</v>
      </c>
      <c r="G784" s="121">
        <v>-1077.4972415270095</v>
      </c>
      <c r="H784" s="121">
        <v>0.11693862737723038</v>
      </c>
      <c r="N784" s="121"/>
      <c r="O784" s="121"/>
      <c r="P784" s="121"/>
      <c r="R784">
        <v>193.66605732453053</v>
      </c>
      <c r="S784">
        <v>62.132969670067631</v>
      </c>
      <c r="T784">
        <v>218.85796346546601</v>
      </c>
      <c r="U784">
        <v>93.549814763198071</v>
      </c>
      <c r="X784">
        <v>0.52654587323913904</v>
      </c>
      <c r="Y784">
        <v>0.87179631650327549</v>
      </c>
      <c r="Z784">
        <v>0.72457526038766396</v>
      </c>
      <c r="AA784">
        <v>0.75105380908378627</v>
      </c>
      <c r="AB784">
        <v>0.83638109893631052</v>
      </c>
      <c r="AC784">
        <v>0.50613189667101954</v>
      </c>
      <c r="AD784">
        <v>0.58991042015565787</v>
      </c>
      <c r="AE784">
        <v>0.55683355601239859</v>
      </c>
      <c r="AH784">
        <v>0.12573774064616428</v>
      </c>
      <c r="AI784">
        <v>4.4055003870020037E-2</v>
      </c>
      <c r="AJ784">
        <v>9.5938674107869937E-2</v>
      </c>
      <c r="AK784">
        <v>0.10163980123221839</v>
      </c>
      <c r="AL784">
        <v>0.17061317777353358</v>
      </c>
      <c r="AM784">
        <v>6.3605838309683471E-2</v>
      </c>
      <c r="AN784">
        <v>4.0929648422443066E-2</v>
      </c>
      <c r="AO784">
        <v>0.54221724820820327</v>
      </c>
      <c r="AR784">
        <v>1.0098091053271085E-3</v>
      </c>
      <c r="AS784">
        <v>4.3272054390831195E-3</v>
      </c>
      <c r="AT784">
        <v>4.6354441246580797E-3</v>
      </c>
      <c r="AU784">
        <v>1.9569152378016911E-3</v>
      </c>
      <c r="AV784">
        <v>2.1595538370260403E-3</v>
      </c>
      <c r="AW784">
        <v>3.4754376539584131E-3</v>
      </c>
      <c r="AX784">
        <v>5.1018515978829004E-4</v>
      </c>
      <c r="AY784">
        <v>4.1636547047111072E-4</v>
      </c>
      <c r="BB784">
        <v>4.6848437308947943E-2</v>
      </c>
      <c r="BC784">
        <v>1.6612522509689084E-2</v>
      </c>
      <c r="BE784">
        <v>61274.987767929459</v>
      </c>
      <c r="BF784">
        <v>16.974687389640657</v>
      </c>
      <c r="BG784">
        <v>62352.485009456468</v>
      </c>
      <c r="BH784">
        <v>16.857748762263427</v>
      </c>
      <c r="BI784">
        <v>-1077.4972415270095</v>
      </c>
      <c r="BJ784">
        <v>0.11693862737723038</v>
      </c>
    </row>
    <row r="785" spans="3:62" x14ac:dyDescent="0.2">
      <c r="C785" s="121">
        <v>70329.865491546472</v>
      </c>
      <c r="D785">
        <v>16.002250323251491</v>
      </c>
      <c r="E785" s="121">
        <v>72720.485618690378</v>
      </c>
      <c r="F785" s="121">
        <v>15.88081073382028</v>
      </c>
      <c r="G785" s="121">
        <v>-2390.6201271439058</v>
      </c>
      <c r="H785" s="121">
        <v>0.12143958943121191</v>
      </c>
      <c r="N785" s="121"/>
      <c r="O785" s="121"/>
      <c r="P785" s="121"/>
      <c r="R785">
        <v>302.3477246000366</v>
      </c>
      <c r="S785">
        <v>60.90593699863161</v>
      </c>
      <c r="T785">
        <v>245.70653043550209</v>
      </c>
      <c r="U785">
        <v>102.08793696254327</v>
      </c>
      <c r="X785">
        <v>0.5999711388430129</v>
      </c>
      <c r="Y785">
        <v>0.8387263136469445</v>
      </c>
      <c r="Z785">
        <v>0.81366867318195402</v>
      </c>
      <c r="AA785">
        <v>0.72875310372184454</v>
      </c>
      <c r="AB785">
        <v>0.66143870678672401</v>
      </c>
      <c r="AC785">
        <v>0.78496126616617234</v>
      </c>
      <c r="AD785">
        <v>0.81132559712765817</v>
      </c>
      <c r="AE785">
        <v>0.64329812639164274</v>
      </c>
      <c r="AH785">
        <v>5.7404144265427837E-2</v>
      </c>
      <c r="AI785">
        <v>1.6325003196984156E-2</v>
      </c>
      <c r="AJ785">
        <v>8.3634189242506318E-2</v>
      </c>
      <c r="AK785">
        <v>5.1417607168214197E-2</v>
      </c>
      <c r="AL785">
        <v>0.11865725437847829</v>
      </c>
      <c r="AM785">
        <v>9.1301800856317561E-2</v>
      </c>
      <c r="AN785">
        <v>0.1786638304509951</v>
      </c>
      <c r="AO785">
        <v>5.1236109732387236E-2</v>
      </c>
      <c r="AR785">
        <v>9.5553290371896971E-4</v>
      </c>
      <c r="AS785">
        <v>4.7781576574528195E-3</v>
      </c>
      <c r="AT785">
        <v>5.216247403075025E-3</v>
      </c>
      <c r="AU785">
        <v>1.9859339865280095E-3</v>
      </c>
      <c r="AV785">
        <v>2.1170728226680424E-3</v>
      </c>
      <c r="AW785">
        <v>3.8046286133907037E-3</v>
      </c>
      <c r="AX785">
        <v>3.6450175179351355E-4</v>
      </c>
      <c r="AY785">
        <v>4.3890971229029258E-4</v>
      </c>
      <c r="BB785">
        <v>5.2843308698239833E-2</v>
      </c>
      <c r="BC785">
        <v>2.5936906208212009E-2</v>
      </c>
      <c r="BE785">
        <v>70329.865491546472</v>
      </c>
      <c r="BF785">
        <v>16.002250323251491</v>
      </c>
      <c r="BG785">
        <v>72720.485618690378</v>
      </c>
      <c r="BH785">
        <v>15.88081073382028</v>
      </c>
      <c r="BI785">
        <v>-2390.6201271439058</v>
      </c>
      <c r="BJ785">
        <v>0.12143958943121191</v>
      </c>
    </row>
    <row r="786" spans="3:62" x14ac:dyDescent="0.2">
      <c r="C786" s="121">
        <v>71606.854534426151</v>
      </c>
      <c r="D786">
        <v>17.908168425993839</v>
      </c>
      <c r="E786" s="121">
        <v>72913.388041597049</v>
      </c>
      <c r="F786" s="121">
        <v>17.814236761695817</v>
      </c>
      <c r="G786" s="121">
        <v>-1306.5335071708978</v>
      </c>
      <c r="H786" s="121">
        <v>9.3931664298022355E-2</v>
      </c>
      <c r="N786" s="121"/>
      <c r="O786" s="121"/>
      <c r="P786" s="121"/>
      <c r="R786">
        <v>377.60974314461816</v>
      </c>
      <c r="S786">
        <v>62.079229072262201</v>
      </c>
      <c r="T786">
        <v>222.37953603022143</v>
      </c>
      <c r="U786">
        <v>94.604033782186164</v>
      </c>
      <c r="X786">
        <v>0.70149463687292257</v>
      </c>
      <c r="Y786">
        <v>0.80136211546689429</v>
      </c>
      <c r="Z786">
        <v>0.90452332333476115</v>
      </c>
      <c r="AA786">
        <v>0.85277254381221512</v>
      </c>
      <c r="AB786">
        <v>0.76187913462866219</v>
      </c>
      <c r="AC786">
        <v>0.91619993369871622</v>
      </c>
      <c r="AD786">
        <v>0.71184622381729512</v>
      </c>
      <c r="AE786">
        <v>0.77177693159230409</v>
      </c>
      <c r="AH786">
        <v>0.15511149149362202</v>
      </c>
      <c r="AI786">
        <v>5.9595713587077936E-2</v>
      </c>
      <c r="AJ786">
        <v>0.29039818750940749</v>
      </c>
      <c r="AK786">
        <v>6.3779208326592007E-2</v>
      </c>
      <c r="AL786">
        <v>0.19176431493263579</v>
      </c>
      <c r="AM786">
        <v>6.0996138357645169E-2</v>
      </c>
      <c r="AN786">
        <v>1.1593661533925936E-2</v>
      </c>
      <c r="AO786">
        <v>7.26271732340249E-2</v>
      </c>
      <c r="AR786">
        <v>1.013435043122346E-3</v>
      </c>
      <c r="AS786">
        <v>4.4923317655147406E-3</v>
      </c>
      <c r="AT786">
        <v>5.0765103067796913E-3</v>
      </c>
      <c r="AU786">
        <v>1.995228726498724E-3</v>
      </c>
      <c r="AV786">
        <v>1.8970234707634832E-3</v>
      </c>
      <c r="AW786">
        <v>3.3660046734709324E-3</v>
      </c>
      <c r="AX786">
        <v>4.05423585501552E-4</v>
      </c>
      <c r="AY786">
        <v>4.5742944754834092E-4</v>
      </c>
      <c r="BB786">
        <v>4.5334473474696643E-2</v>
      </c>
      <c r="BC786">
        <v>6.961212173222231E-2</v>
      </c>
      <c r="BE786">
        <v>71606.854534426151</v>
      </c>
      <c r="BF786">
        <v>17.908168425993839</v>
      </c>
      <c r="BG786">
        <v>72913.388041597049</v>
      </c>
      <c r="BH786">
        <v>17.814236761695817</v>
      </c>
      <c r="BI786">
        <v>-1306.5335071708978</v>
      </c>
      <c r="BJ786">
        <v>9.3931664298022355E-2</v>
      </c>
    </row>
    <row r="787" spans="3:62" x14ac:dyDescent="0.2">
      <c r="C787" s="121">
        <v>67859.695274971498</v>
      </c>
      <c r="D787">
        <v>16.684682922313968</v>
      </c>
      <c r="E787" s="121">
        <v>68826.859979422414</v>
      </c>
      <c r="F787" s="121">
        <v>16.572369786609638</v>
      </c>
      <c r="G787" s="121">
        <v>-967.16470445091545</v>
      </c>
      <c r="H787" s="121">
        <v>0.11231313570432988</v>
      </c>
      <c r="N787" s="121"/>
      <c r="O787" s="121"/>
      <c r="P787" s="121"/>
      <c r="R787">
        <v>305.30544880590429</v>
      </c>
      <c r="S787">
        <v>57.228885877165794</v>
      </c>
      <c r="T787">
        <v>251.63196350829563</v>
      </c>
      <c r="U787">
        <v>83.35866334630515</v>
      </c>
      <c r="X787">
        <v>0.76245868428789054</v>
      </c>
      <c r="Y787">
        <v>0.83649487194910277</v>
      </c>
      <c r="Z787">
        <v>0.93570039365767033</v>
      </c>
      <c r="AA787">
        <v>0.79743971856049212</v>
      </c>
      <c r="AB787">
        <v>0.7418316115176673</v>
      </c>
      <c r="AC787">
        <v>0.88189905682611136</v>
      </c>
      <c r="AD787">
        <v>0.80191691351637673</v>
      </c>
      <c r="AE787">
        <v>0.5930545253955577</v>
      </c>
      <c r="AH787">
        <v>0.15979339989430652</v>
      </c>
      <c r="AI787">
        <v>5.3110100661422521E-2</v>
      </c>
      <c r="AJ787">
        <v>0.27191359368921664</v>
      </c>
      <c r="AK787">
        <v>8.8411241856066303E-2</v>
      </c>
      <c r="AL787">
        <v>0.19883427544649868</v>
      </c>
      <c r="AM787">
        <v>0.1959912688518104</v>
      </c>
      <c r="AN787">
        <v>4.3083585474471109E-2</v>
      </c>
      <c r="AO787">
        <v>2.2906824354201993E-2</v>
      </c>
      <c r="AR787">
        <v>9.2200051070201461E-4</v>
      </c>
      <c r="AS787">
        <v>4.6510626630810181E-3</v>
      </c>
      <c r="AT787">
        <v>4.9822656652678265E-3</v>
      </c>
      <c r="AU787">
        <v>1.8144448171590047E-3</v>
      </c>
      <c r="AV787">
        <v>1.993885790253524E-3</v>
      </c>
      <c r="AW787">
        <v>3.3559964523249344E-3</v>
      </c>
      <c r="AX787">
        <v>4.2325109558560836E-4</v>
      </c>
      <c r="AY787">
        <v>3.7721333616550369E-4</v>
      </c>
      <c r="BB787">
        <v>5.3364539405170497E-2</v>
      </c>
      <c r="BC787">
        <v>7.0456585559751317E-2</v>
      </c>
      <c r="BE787">
        <v>67859.695274971498</v>
      </c>
      <c r="BF787">
        <v>16.684682922313968</v>
      </c>
      <c r="BG787">
        <v>68826.859979422414</v>
      </c>
      <c r="BH787">
        <v>16.572369786609638</v>
      </c>
      <c r="BI787">
        <v>-967.16470445091545</v>
      </c>
      <c r="BJ787">
        <v>0.11231313570432988</v>
      </c>
    </row>
    <row r="788" spans="3:62" x14ac:dyDescent="0.2">
      <c r="C788" s="121">
        <v>69920.456739953457</v>
      </c>
      <c r="D788">
        <v>19.135056837919873</v>
      </c>
      <c r="E788" s="121">
        <v>72089.216199520393</v>
      </c>
      <c r="F788" s="121">
        <v>19.000081439923406</v>
      </c>
      <c r="G788" s="121">
        <v>-2168.7594595669361</v>
      </c>
      <c r="H788" s="121">
        <v>0.13497539799646674</v>
      </c>
      <c r="N788" s="121"/>
      <c r="O788" s="121"/>
      <c r="P788" s="121"/>
      <c r="R788">
        <v>219.15078840099559</v>
      </c>
      <c r="S788">
        <v>48.667233099994455</v>
      </c>
      <c r="T788">
        <v>229.22282867514519</v>
      </c>
      <c r="U788">
        <v>88.911180842848296</v>
      </c>
      <c r="X788">
        <v>0.8497797333647189</v>
      </c>
      <c r="Y788">
        <v>0.63177350738180671</v>
      </c>
      <c r="Z788">
        <v>0.63512717118371464</v>
      </c>
      <c r="AA788">
        <v>0.66442875517475342</v>
      </c>
      <c r="AB788">
        <v>0.60193430581982299</v>
      </c>
      <c r="AC788">
        <v>0.57087566262874434</v>
      </c>
      <c r="AD788">
        <v>0.88388867281073802</v>
      </c>
      <c r="AE788">
        <v>0.74253517814722203</v>
      </c>
      <c r="AH788">
        <v>0.10900848610757541</v>
      </c>
      <c r="AI788">
        <v>0.29025357750018499</v>
      </c>
      <c r="AJ788">
        <v>6.9031081998089716E-2</v>
      </c>
      <c r="AK788">
        <v>1.28324969818574E-2</v>
      </c>
      <c r="AL788">
        <v>0.29094321355234487</v>
      </c>
      <c r="AM788">
        <v>0.12983089879995846</v>
      </c>
      <c r="AN788">
        <v>9.8038379295952049E-2</v>
      </c>
      <c r="AO788">
        <v>0.16482991264781333</v>
      </c>
      <c r="AR788">
        <v>1.0436583685230483E-3</v>
      </c>
      <c r="AS788">
        <v>4.5383023862007876E-3</v>
      </c>
      <c r="AT788">
        <v>4.7775450324821951E-3</v>
      </c>
      <c r="AU788">
        <v>2.0024953825262815E-3</v>
      </c>
      <c r="AV788">
        <v>1.9377846204196129E-3</v>
      </c>
      <c r="AW788">
        <v>3.6288635943838576E-3</v>
      </c>
      <c r="AX788">
        <v>4.4729606344939832E-4</v>
      </c>
      <c r="AY788">
        <v>4.5782677392924853E-4</v>
      </c>
      <c r="BB788">
        <v>4.985700378834268E-2</v>
      </c>
      <c r="BC788">
        <v>3.6620823891855607E-2</v>
      </c>
      <c r="BE788">
        <v>69920.456739953457</v>
      </c>
      <c r="BF788">
        <v>19.135056837919873</v>
      </c>
      <c r="BG788">
        <v>72089.216199520393</v>
      </c>
      <c r="BH788">
        <v>19.000081439923406</v>
      </c>
      <c r="BI788">
        <v>-2168.7594595669361</v>
      </c>
      <c r="BJ788">
        <v>0.13497539799646674</v>
      </c>
    </row>
    <row r="789" spans="3:62" x14ac:dyDescent="0.2">
      <c r="C789" s="121">
        <v>77841.629081136547</v>
      </c>
      <c r="D789">
        <v>14.797392443534646</v>
      </c>
      <c r="E789" s="121">
        <v>78798.882661638316</v>
      </c>
      <c r="F789" s="121">
        <v>14.705534691138649</v>
      </c>
      <c r="G789" s="121">
        <v>-957.25358050176874</v>
      </c>
      <c r="H789" s="121">
        <v>9.1857752395997139E-2</v>
      </c>
      <c r="N789" s="121"/>
      <c r="O789" s="121"/>
      <c r="P789" s="121"/>
      <c r="R789">
        <v>289.09278683456836</v>
      </c>
      <c r="S789">
        <v>68.498290659800773</v>
      </c>
      <c r="T789">
        <v>251.72146456819993</v>
      </c>
      <c r="U789">
        <v>86.872774568236679</v>
      </c>
      <c r="X789">
        <v>0.87605120767334466</v>
      </c>
      <c r="Y789">
        <v>0.65267343879636996</v>
      </c>
      <c r="Z789">
        <v>0.89857795732648671</v>
      </c>
      <c r="AA789">
        <v>0.886332369259619</v>
      </c>
      <c r="AB789">
        <v>0.81792598888118451</v>
      </c>
      <c r="AC789">
        <v>0.85329539865599324</v>
      </c>
      <c r="AD789">
        <v>0.80932436992690304</v>
      </c>
      <c r="AE789">
        <v>0.67540328484280998</v>
      </c>
      <c r="AH789">
        <v>8.2465199664072619E-2</v>
      </c>
      <c r="AI789">
        <v>0.12409374093149705</v>
      </c>
      <c r="AJ789">
        <v>0.11218490770582179</v>
      </c>
      <c r="AK789">
        <v>0.24240210395021944</v>
      </c>
      <c r="AL789">
        <v>9.7434524767363695E-2</v>
      </c>
      <c r="AM789">
        <v>1.174633195581487E-2</v>
      </c>
      <c r="AN789">
        <v>2.9308662217804482E-2</v>
      </c>
      <c r="AO789">
        <v>0.17750639944959878</v>
      </c>
      <c r="AR789">
        <v>1.1796251892911558E-3</v>
      </c>
      <c r="AS789">
        <v>4.4914238170744615E-3</v>
      </c>
      <c r="AT789">
        <v>4.7547613508354221E-3</v>
      </c>
      <c r="AU789">
        <v>2.0203905901289287E-3</v>
      </c>
      <c r="AV789">
        <v>2.0275610766279373E-3</v>
      </c>
      <c r="AW789">
        <v>3.2841472954339597E-3</v>
      </c>
      <c r="AX789">
        <v>4.6327699456305549E-4</v>
      </c>
      <c r="AY789">
        <v>4.367187618734581E-4</v>
      </c>
      <c r="BB789">
        <v>3.850688869199901E-2</v>
      </c>
      <c r="BC789">
        <v>6.7269411408882651E-2</v>
      </c>
      <c r="BE789">
        <v>77841.629081136547</v>
      </c>
      <c r="BF789">
        <v>14.797392443534646</v>
      </c>
      <c r="BG789">
        <v>78798.882661638316</v>
      </c>
      <c r="BH789">
        <v>14.705534691138649</v>
      </c>
      <c r="BI789">
        <v>-957.25358050176874</v>
      </c>
      <c r="BJ789">
        <v>9.1857752395997139E-2</v>
      </c>
    </row>
    <row r="790" spans="3:62" x14ac:dyDescent="0.2">
      <c r="C790" s="121">
        <v>66048.618524498524</v>
      </c>
      <c r="D790">
        <v>16.203097958591457</v>
      </c>
      <c r="E790" s="121">
        <v>67560.604036527657</v>
      </c>
      <c r="F790" s="121">
        <v>16.047932621537075</v>
      </c>
      <c r="G790" s="121">
        <v>-1511.9855120291322</v>
      </c>
      <c r="H790" s="121">
        <v>0.15516533705438107</v>
      </c>
      <c r="N790" s="121"/>
      <c r="O790" s="121"/>
      <c r="P790" s="121"/>
      <c r="R790">
        <v>358.5385720675722</v>
      </c>
      <c r="S790">
        <v>58.706489830201257</v>
      </c>
      <c r="T790">
        <v>224.38223667909145</v>
      </c>
      <c r="U790">
        <v>94.25002486392215</v>
      </c>
      <c r="X790">
        <v>0.50755655519567111</v>
      </c>
      <c r="Y790">
        <v>0.90843545421955774</v>
      </c>
      <c r="Z790">
        <v>0.91181919720935278</v>
      </c>
      <c r="AA790">
        <v>0.70289403296681274</v>
      </c>
      <c r="AB790">
        <v>0.73388060945673206</v>
      </c>
      <c r="AC790">
        <v>0.80472873592521332</v>
      </c>
      <c r="AD790">
        <v>0.83184478258817784</v>
      </c>
      <c r="AE790">
        <v>0.93159286596324065</v>
      </c>
      <c r="AH790">
        <v>3.9657959107516794E-2</v>
      </c>
      <c r="AI790">
        <v>7.9847692382327473E-2</v>
      </c>
      <c r="AJ790">
        <v>0.19103762208571518</v>
      </c>
      <c r="AK790">
        <v>2.5190080112118429E-2</v>
      </c>
      <c r="AL790">
        <v>3.9858399023615432E-2</v>
      </c>
      <c r="AM790">
        <v>0.34214013537240295</v>
      </c>
      <c r="AN790">
        <v>0.17944743298611876</v>
      </c>
      <c r="AO790">
        <v>2.8052178028793007E-2</v>
      </c>
      <c r="AR790">
        <v>1.0104801124951601E-3</v>
      </c>
      <c r="AS790">
        <v>4.5603587482380137E-3</v>
      </c>
      <c r="AT790">
        <v>4.8136532946756591E-3</v>
      </c>
      <c r="AU790">
        <v>1.7397880492516619E-3</v>
      </c>
      <c r="AV790">
        <v>2.0226357727223254E-3</v>
      </c>
      <c r="AW790">
        <v>3.4273186054410987E-3</v>
      </c>
      <c r="AX790">
        <v>3.9221192579350089E-4</v>
      </c>
      <c r="AY790">
        <v>5.1264380013271715E-4</v>
      </c>
      <c r="BB790">
        <v>4.8251680227182167E-2</v>
      </c>
      <c r="BC790">
        <v>4.5972354317765696E-2</v>
      </c>
      <c r="BE790">
        <v>66048.618524498524</v>
      </c>
      <c r="BF790">
        <v>16.203097958591457</v>
      </c>
      <c r="BG790">
        <v>67560.604036527657</v>
      </c>
      <c r="BH790">
        <v>16.047932621537075</v>
      </c>
      <c r="BI790">
        <v>-1511.9855120291322</v>
      </c>
      <c r="BJ790">
        <v>0.15516533705438107</v>
      </c>
    </row>
    <row r="791" spans="3:62" x14ac:dyDescent="0.2">
      <c r="C791" s="121">
        <v>75567.392146494458</v>
      </c>
      <c r="D791">
        <v>15.112975968479006</v>
      </c>
      <c r="E791" s="121">
        <v>76649.640085292529</v>
      </c>
      <c r="F791" s="121">
        <v>15.005163712632047</v>
      </c>
      <c r="G791" s="121">
        <v>-1082.2479387980711</v>
      </c>
      <c r="H791" s="121">
        <v>0.10781225584695875</v>
      </c>
      <c r="N791" s="121"/>
      <c r="O791" s="121"/>
      <c r="P791" s="121"/>
      <c r="R791">
        <v>354.71330204082909</v>
      </c>
      <c r="S791">
        <v>58.611675637976703</v>
      </c>
      <c r="T791">
        <v>277.87405117476607</v>
      </c>
      <c r="U791">
        <v>109.04259688863456</v>
      </c>
      <c r="X791">
        <v>0.82117521076571198</v>
      </c>
      <c r="Y791">
        <v>0.83915890025931883</v>
      </c>
      <c r="Z791">
        <v>0.53086112347760661</v>
      </c>
      <c r="AA791">
        <v>0.82055551954674621</v>
      </c>
      <c r="AB791">
        <v>0.77485517763589584</v>
      </c>
      <c r="AC791">
        <v>0.85718589390205135</v>
      </c>
      <c r="AD791">
        <v>0.94982301395916879</v>
      </c>
      <c r="AE791">
        <v>0.7162807589962279</v>
      </c>
      <c r="AH791">
        <v>0.2495440516972941</v>
      </c>
      <c r="AI791">
        <v>6.8775098822099756E-2</v>
      </c>
      <c r="AJ791">
        <v>6.2703222695214444E-2</v>
      </c>
      <c r="AK791">
        <v>0.10047874932811052</v>
      </c>
      <c r="AL791">
        <v>2.2426061912586004E-2</v>
      </c>
      <c r="AM791">
        <v>0.11496121994383701</v>
      </c>
      <c r="AN791">
        <v>2.6251906006695691E-2</v>
      </c>
      <c r="AO791">
        <v>8.8219403630432014E-2</v>
      </c>
      <c r="AR791">
        <v>1.0657736834503995E-3</v>
      </c>
      <c r="AS791">
        <v>4.3928501344553707E-3</v>
      </c>
      <c r="AT791">
        <v>4.9317631849251304E-3</v>
      </c>
      <c r="AU791">
        <v>2.1305198283525506E-3</v>
      </c>
      <c r="AV791">
        <v>2.0759375013158499E-3</v>
      </c>
      <c r="AW791">
        <v>3.5518665336994326E-3</v>
      </c>
      <c r="AX791">
        <v>5.2980524653545302E-4</v>
      </c>
      <c r="AY791">
        <v>4.3859801847030998E-4</v>
      </c>
      <c r="BB791">
        <v>3.8181248322920427E-2</v>
      </c>
      <c r="BC791">
        <v>6.2112604205595501E-2</v>
      </c>
      <c r="BE791">
        <v>75567.392146494458</v>
      </c>
      <c r="BF791">
        <v>15.112975968479006</v>
      </c>
      <c r="BG791">
        <v>76649.640085292529</v>
      </c>
      <c r="BH791">
        <v>15.005163712632047</v>
      </c>
      <c r="BI791">
        <v>-1082.2479387980711</v>
      </c>
      <c r="BJ791">
        <v>0.10781225584695875</v>
      </c>
    </row>
    <row r="792" spans="3:62" x14ac:dyDescent="0.2">
      <c r="C792" s="121">
        <v>66731.672331068374</v>
      </c>
      <c r="D792">
        <v>15.673059298288848</v>
      </c>
      <c r="E792" s="121">
        <v>67432.746285342495</v>
      </c>
      <c r="F792" s="121">
        <v>15.593581546077278</v>
      </c>
      <c r="G792" s="121">
        <v>-701.07395427412121</v>
      </c>
      <c r="H792" s="121">
        <v>7.9477752211570163E-2</v>
      </c>
      <c r="N792" s="121"/>
      <c r="O792" s="121"/>
      <c r="P792" s="121"/>
      <c r="R792">
        <v>224.93270778339186</v>
      </c>
      <c r="S792">
        <v>62.435866344042012</v>
      </c>
      <c r="T792">
        <v>205.25208765738097</v>
      </c>
      <c r="U792">
        <v>80.044520698951146</v>
      </c>
      <c r="X792">
        <v>0.85993995029512482</v>
      </c>
      <c r="Y792">
        <v>0.81757529047424171</v>
      </c>
      <c r="Z792">
        <v>0.93454754150471309</v>
      </c>
      <c r="AA792">
        <v>0.78157037969271048</v>
      </c>
      <c r="AB792">
        <v>0.44652990373974433</v>
      </c>
      <c r="AC792">
        <v>0.55897299609781848</v>
      </c>
      <c r="AD792">
        <v>0.86649631744213895</v>
      </c>
      <c r="AE792">
        <v>0.88547392417560733</v>
      </c>
      <c r="AH792">
        <v>0.15598446674448541</v>
      </c>
      <c r="AI792">
        <v>4.5007210271084119E-2</v>
      </c>
      <c r="AJ792">
        <v>4.5664725573164144E-2</v>
      </c>
      <c r="AK792">
        <v>0.19368481773901847</v>
      </c>
      <c r="AL792">
        <v>0.33617198190032016</v>
      </c>
      <c r="AM792">
        <v>0.29258642214016417</v>
      </c>
      <c r="AN792">
        <v>4.4504283257997601E-2</v>
      </c>
      <c r="AO792">
        <v>1.9555519698326695E-2</v>
      </c>
      <c r="AR792">
        <v>8.9807118854468015E-4</v>
      </c>
      <c r="AS792">
        <v>4.5412394789519084E-3</v>
      </c>
      <c r="AT792">
        <v>4.9070590475846065E-3</v>
      </c>
      <c r="AU792">
        <v>2.1362775594705452E-3</v>
      </c>
      <c r="AV792">
        <v>1.7422052994668523E-3</v>
      </c>
      <c r="AW792">
        <v>3.5428349334841736E-3</v>
      </c>
      <c r="AX792">
        <v>4.2049896430040867E-4</v>
      </c>
      <c r="AY792">
        <v>6.4237326244520609E-4</v>
      </c>
      <c r="BB792">
        <v>5.1047455384952367E-2</v>
      </c>
      <c r="BC792">
        <v>7.2149255163541204E-2</v>
      </c>
      <c r="BE792">
        <v>66731.672331068374</v>
      </c>
      <c r="BF792">
        <v>15.673059298288848</v>
      </c>
      <c r="BG792">
        <v>67432.746285342495</v>
      </c>
      <c r="BH792">
        <v>15.593581546077278</v>
      </c>
      <c r="BI792">
        <v>-701.07395427412121</v>
      </c>
      <c r="BJ792">
        <v>7.9477752211570163E-2</v>
      </c>
    </row>
    <row r="793" spans="3:62" x14ac:dyDescent="0.2">
      <c r="C793" s="121">
        <v>64942.932883258167</v>
      </c>
      <c r="D793">
        <v>17.736220381138043</v>
      </c>
      <c r="E793" s="121">
        <v>66812.120773879156</v>
      </c>
      <c r="F793" s="121">
        <v>17.607277098097672</v>
      </c>
      <c r="G793" s="121">
        <v>-1869.1878906209895</v>
      </c>
      <c r="H793" s="121">
        <v>0.12894328304037117</v>
      </c>
      <c r="N793" s="121"/>
      <c r="O793" s="121"/>
      <c r="P793" s="121"/>
      <c r="R793">
        <v>202.41315035897441</v>
      </c>
      <c r="S793">
        <v>62.631303724032961</v>
      </c>
      <c r="T793">
        <v>260.77434298541107</v>
      </c>
      <c r="U793">
        <v>98.06929649292033</v>
      </c>
      <c r="X793">
        <v>0.66946153645638351</v>
      </c>
      <c r="Y793">
        <v>0.6513356285676879</v>
      </c>
      <c r="Z793">
        <v>0.80890499781126035</v>
      </c>
      <c r="AA793">
        <v>0.81370140395322699</v>
      </c>
      <c r="AB793">
        <v>0.71092932514767337</v>
      </c>
      <c r="AC793">
        <v>0.53891986615540133</v>
      </c>
      <c r="AD793">
        <v>0.63168345781530877</v>
      </c>
      <c r="AE793">
        <v>0.8056947819741459</v>
      </c>
      <c r="AH793">
        <v>0.23423219886474989</v>
      </c>
      <c r="AI793">
        <v>0.18905172455778541</v>
      </c>
      <c r="AJ793">
        <v>0.10911396297959541</v>
      </c>
      <c r="AK793">
        <v>0.11280501869693427</v>
      </c>
      <c r="AL793">
        <v>6.0841739238339354E-2</v>
      </c>
      <c r="AM793">
        <v>0.18865119152321741</v>
      </c>
      <c r="AN793">
        <v>0.29195029356537217</v>
      </c>
      <c r="AO793">
        <v>6.3905744032132894E-2</v>
      </c>
      <c r="AR793">
        <v>9.7512382360553929E-4</v>
      </c>
      <c r="AS793">
        <v>4.548966278253519E-3</v>
      </c>
      <c r="AT793">
        <v>5.0050352331351133E-3</v>
      </c>
      <c r="AU793">
        <v>1.8316494948775314E-3</v>
      </c>
      <c r="AV793">
        <v>2.0517694878096071E-3</v>
      </c>
      <c r="AW793">
        <v>3.5019529308164543E-3</v>
      </c>
      <c r="AX793">
        <v>3.4611618651972755E-4</v>
      </c>
      <c r="AY793">
        <v>5.5195971282040457E-4</v>
      </c>
      <c r="BB793">
        <v>4.9629425936882424E-2</v>
      </c>
      <c r="BC793">
        <v>4.2368254130228995E-2</v>
      </c>
      <c r="BE793">
        <v>64942.932883258167</v>
      </c>
      <c r="BF793">
        <v>17.736220381138043</v>
      </c>
      <c r="BG793">
        <v>66812.120773879156</v>
      </c>
      <c r="BH793">
        <v>17.607277098097672</v>
      </c>
      <c r="BI793">
        <v>-1869.1878906209895</v>
      </c>
      <c r="BJ793">
        <v>0.12894328304037117</v>
      </c>
    </row>
    <row r="794" spans="3:62" x14ac:dyDescent="0.2">
      <c r="C794" s="121">
        <v>63557.908150799412</v>
      </c>
      <c r="D794">
        <v>15.191713148607434</v>
      </c>
      <c r="E794" s="121">
        <v>65472.71472135892</v>
      </c>
      <c r="F794" s="121">
        <v>15.066428396057962</v>
      </c>
      <c r="G794" s="121">
        <v>-1914.8065705595072</v>
      </c>
      <c r="H794" s="121">
        <v>0.12528475254947224</v>
      </c>
      <c r="N794" s="121"/>
      <c r="O794" s="121"/>
      <c r="P794" s="121"/>
      <c r="R794">
        <v>185.71550597348104</v>
      </c>
      <c r="S794">
        <v>57.723344547997655</v>
      </c>
      <c r="T794">
        <v>250.81024911570083</v>
      </c>
      <c r="U794">
        <v>102.43070814228358</v>
      </c>
      <c r="X794">
        <v>0.44081605011388508</v>
      </c>
      <c r="Y794">
        <v>0.68620801827706035</v>
      </c>
      <c r="Z794">
        <v>0.76764994919003249</v>
      </c>
      <c r="AA794">
        <v>0.75015228631452902</v>
      </c>
      <c r="AB794">
        <v>0.70019826923283646</v>
      </c>
      <c r="AC794">
        <v>0.82317043699102932</v>
      </c>
      <c r="AD794">
        <v>0.45842081679197</v>
      </c>
      <c r="AE794">
        <v>0.82120935691047015</v>
      </c>
      <c r="AH794">
        <v>0.11258859912993546</v>
      </c>
      <c r="AI794">
        <v>3.3296435129801516E-2</v>
      </c>
      <c r="AJ794">
        <v>2.3464873496816585E-2</v>
      </c>
      <c r="AK794">
        <v>0.23507304486584912</v>
      </c>
      <c r="AL794">
        <v>6.4885329433704286E-2</v>
      </c>
      <c r="AM794">
        <v>7.4391279128863341E-2</v>
      </c>
      <c r="AN794">
        <v>0.13843752088108374</v>
      </c>
      <c r="AO794">
        <v>0.12320057331916545</v>
      </c>
      <c r="AR794">
        <v>7.4693535176527999E-4</v>
      </c>
      <c r="AS794">
        <v>4.6502448800253005E-3</v>
      </c>
      <c r="AT794">
        <v>4.7865872079036103E-3</v>
      </c>
      <c r="AU794">
        <v>2.0205025031576618E-3</v>
      </c>
      <c r="AV794">
        <v>2.1462805576706323E-3</v>
      </c>
      <c r="AW794">
        <v>3.5088781699604832E-3</v>
      </c>
      <c r="AX794">
        <v>4.950304581319287E-4</v>
      </c>
      <c r="AY794">
        <v>4.8712551167218177E-4</v>
      </c>
      <c r="BB794">
        <v>5.9358627710602851E-2</v>
      </c>
      <c r="BC794">
        <v>1.7479652364710729E-2</v>
      </c>
      <c r="BE794">
        <v>63557.908150799412</v>
      </c>
      <c r="BF794">
        <v>15.191713148607434</v>
      </c>
      <c r="BG794">
        <v>65472.71472135892</v>
      </c>
      <c r="BH794">
        <v>15.066428396057962</v>
      </c>
      <c r="BI794">
        <v>-1914.8065705595072</v>
      </c>
      <c r="BJ794">
        <v>0.12528475254947224</v>
      </c>
    </row>
    <row r="795" spans="3:62" x14ac:dyDescent="0.2">
      <c r="C795" s="121">
        <v>76979.923043012968</v>
      </c>
      <c r="D795">
        <v>15.990351976236575</v>
      </c>
      <c r="E795" s="121">
        <v>78703.005610070104</v>
      </c>
      <c r="F795" s="121">
        <v>15.846261831720318</v>
      </c>
      <c r="G795" s="121">
        <v>-1723.0825670571357</v>
      </c>
      <c r="H795" s="121">
        <v>0.14409014451625701</v>
      </c>
      <c r="N795" s="121"/>
      <c r="O795" s="121"/>
      <c r="P795" s="121"/>
      <c r="R795">
        <v>270.4594567720066</v>
      </c>
      <c r="S795">
        <v>60.562771638245543</v>
      </c>
      <c r="T795">
        <v>209.23893613489318</v>
      </c>
      <c r="U795">
        <v>84.524098384922056</v>
      </c>
      <c r="X795">
        <v>0.58526568202002749</v>
      </c>
      <c r="Y795">
        <v>0.33798723359000782</v>
      </c>
      <c r="Z795">
        <v>0.95179320681814361</v>
      </c>
      <c r="AA795">
        <v>0.79368581515306735</v>
      </c>
      <c r="AB795">
        <v>0.77025444291850298</v>
      </c>
      <c r="AC795">
        <v>0.84179560466810077</v>
      </c>
      <c r="AD795">
        <v>0.89328405748986506</v>
      </c>
      <c r="AE795">
        <v>0.64815079488710026</v>
      </c>
      <c r="AH795">
        <v>8.9426455387971782E-2</v>
      </c>
      <c r="AI795">
        <v>0.16218273616434054</v>
      </c>
      <c r="AJ795">
        <v>0.10604625818310254</v>
      </c>
      <c r="AK795">
        <v>0.29675331669236016</v>
      </c>
      <c r="AL795">
        <v>5.9347673748883611E-2</v>
      </c>
      <c r="AM795">
        <v>0.49825521009305029</v>
      </c>
      <c r="AN795">
        <v>1.2339276940425803E-2</v>
      </c>
      <c r="AO795">
        <v>0.11031539910820687</v>
      </c>
      <c r="AR795">
        <v>7.9201302947174421E-4</v>
      </c>
      <c r="AS795">
        <v>4.3863648649689699E-3</v>
      </c>
      <c r="AT795">
        <v>4.9424235808501289E-3</v>
      </c>
      <c r="AU795">
        <v>1.9471420858369803E-3</v>
      </c>
      <c r="AV795">
        <v>2.2886351019549833E-3</v>
      </c>
      <c r="AW795">
        <v>3.3207474288587577E-3</v>
      </c>
      <c r="AX795">
        <v>3.3177399924182269E-4</v>
      </c>
      <c r="AY795">
        <v>3.7750566637360678E-4</v>
      </c>
      <c r="BB795">
        <v>6.0743287153648184E-2</v>
      </c>
      <c r="BC795">
        <v>3.588594428105963E-2</v>
      </c>
      <c r="BE795">
        <v>76979.923043012968</v>
      </c>
      <c r="BF795">
        <v>15.990351976236575</v>
      </c>
      <c r="BG795">
        <v>78703.005610070104</v>
      </c>
      <c r="BH795">
        <v>15.846261831720318</v>
      </c>
      <c r="BI795">
        <v>-1723.0825670571357</v>
      </c>
      <c r="BJ795">
        <v>0.14409014451625701</v>
      </c>
    </row>
    <row r="796" spans="3:62" x14ac:dyDescent="0.2">
      <c r="C796" s="121">
        <v>68523.492584284366</v>
      </c>
      <c r="D796">
        <v>17.137711470402348</v>
      </c>
      <c r="E796" s="121">
        <v>70067.958632608905</v>
      </c>
      <c r="F796" s="121">
        <v>17.037497216197536</v>
      </c>
      <c r="G796" s="121">
        <v>-1544.4660483245389</v>
      </c>
      <c r="H796" s="121">
        <v>0.10021425420481123</v>
      </c>
      <c r="N796" s="121"/>
      <c r="O796" s="121"/>
      <c r="P796" s="121"/>
      <c r="R796">
        <v>248.12056417808807</v>
      </c>
      <c r="S796">
        <v>64.418595194827873</v>
      </c>
      <c r="T796">
        <v>250.51678776039347</v>
      </c>
      <c r="U796">
        <v>81.853476019931634</v>
      </c>
      <c r="X796">
        <v>0.52439412367310534</v>
      </c>
      <c r="Y796">
        <v>0.94109435625587612</v>
      </c>
      <c r="Z796">
        <v>0.75603352974514992</v>
      </c>
      <c r="AA796">
        <v>0.92170313677337012</v>
      </c>
      <c r="AB796">
        <v>0.83145560971743804</v>
      </c>
      <c r="AC796">
        <v>0.81356383918046582</v>
      </c>
      <c r="AD796">
        <v>0.74611089423305599</v>
      </c>
      <c r="AE796">
        <v>0.73088356974807622</v>
      </c>
      <c r="AH796">
        <v>6.3399772373452734E-2</v>
      </c>
      <c r="AI796">
        <v>9.029483171433661E-2</v>
      </c>
      <c r="AJ796">
        <v>4.1240106004433286E-2</v>
      </c>
      <c r="AK796">
        <v>0.14868059790632182</v>
      </c>
      <c r="AL796">
        <v>7.4025131057776861E-2</v>
      </c>
      <c r="AM796">
        <v>0.16041701636841865</v>
      </c>
      <c r="AN796">
        <v>0.1247813186771064</v>
      </c>
      <c r="AO796">
        <v>0.20290999760988704</v>
      </c>
      <c r="AR796">
        <v>7.7557607642050191E-4</v>
      </c>
      <c r="AS796">
        <v>4.6018525491356987E-3</v>
      </c>
      <c r="AT796">
        <v>4.7746859208657464E-3</v>
      </c>
      <c r="AU796">
        <v>2.0431841579812149E-3</v>
      </c>
      <c r="AV796">
        <v>2.0053208606642947E-3</v>
      </c>
      <c r="AW796">
        <v>3.3960162652852542E-3</v>
      </c>
      <c r="AX796">
        <v>3.9919931093546079E-4</v>
      </c>
      <c r="AY796">
        <v>5.6579719691118857E-4</v>
      </c>
      <c r="BB796">
        <v>5.3860413150478403E-2</v>
      </c>
      <c r="BC796">
        <v>8.5667275624261685E-2</v>
      </c>
      <c r="BE796">
        <v>68523.492584284366</v>
      </c>
      <c r="BF796">
        <v>17.137711470402348</v>
      </c>
      <c r="BG796">
        <v>70067.958632608905</v>
      </c>
      <c r="BH796">
        <v>17.037497216197536</v>
      </c>
      <c r="BI796">
        <v>-1544.4660483245389</v>
      </c>
      <c r="BJ796">
        <v>0.10021425420481123</v>
      </c>
    </row>
    <row r="797" spans="3:62" x14ac:dyDescent="0.2">
      <c r="C797" s="121">
        <v>77847.123375261988</v>
      </c>
      <c r="D797">
        <v>16.248993353401833</v>
      </c>
      <c r="E797" s="121">
        <v>79722.292771863664</v>
      </c>
      <c r="F797" s="121">
        <v>16.128617831065931</v>
      </c>
      <c r="G797" s="121">
        <v>-1875.1693966016755</v>
      </c>
      <c r="H797" s="121">
        <v>0.12037552233590176</v>
      </c>
      <c r="N797" s="121"/>
      <c r="O797" s="121"/>
      <c r="P797" s="121"/>
      <c r="R797">
        <v>280.93359480812802</v>
      </c>
      <c r="S797">
        <v>58.131926204565609</v>
      </c>
      <c r="T797">
        <v>223.23018418526593</v>
      </c>
      <c r="U797">
        <v>96.519187762001593</v>
      </c>
      <c r="X797">
        <v>0.54595836811773946</v>
      </c>
      <c r="Y797">
        <v>0.81728499971044799</v>
      </c>
      <c r="Z797">
        <v>0.76289215871402993</v>
      </c>
      <c r="AA797">
        <v>0.63873481445794322</v>
      </c>
      <c r="AB797">
        <v>0.70062599049023111</v>
      </c>
      <c r="AC797">
        <v>0.54451024162269357</v>
      </c>
      <c r="AD797">
        <v>0.81919960293053184</v>
      </c>
      <c r="AE797">
        <v>0.62902369590641627</v>
      </c>
      <c r="AH797">
        <v>0.18658494901308276</v>
      </c>
      <c r="AI797">
        <v>3.8434781896319103E-2</v>
      </c>
      <c r="AJ797">
        <v>9.6343483476756919E-2</v>
      </c>
      <c r="AK797">
        <v>0.11082459871326122</v>
      </c>
      <c r="AL797">
        <v>0.10813546545276242</v>
      </c>
      <c r="AM797">
        <v>0.13253432678459265</v>
      </c>
      <c r="AN797">
        <v>4.8827711476409297E-2</v>
      </c>
      <c r="AO797">
        <v>0.11013145970950333</v>
      </c>
      <c r="AR797">
        <v>8.1828584424337202E-4</v>
      </c>
      <c r="AS797">
        <v>4.5521482844739225E-3</v>
      </c>
      <c r="AT797">
        <v>5.0404635882028703E-3</v>
      </c>
      <c r="AU797">
        <v>1.953226309815979E-3</v>
      </c>
      <c r="AV797">
        <v>1.8539996723337204E-3</v>
      </c>
      <c r="AW797">
        <v>3.5246199047758164E-3</v>
      </c>
      <c r="AX797">
        <v>4.3099217703534975E-4</v>
      </c>
      <c r="AY797">
        <v>4.5502407972430881E-4</v>
      </c>
      <c r="BB797">
        <v>5.0753576343829487E-2</v>
      </c>
      <c r="BC797">
        <v>2.6384000083214065E-2</v>
      </c>
      <c r="BE797">
        <v>77847.123375261988</v>
      </c>
      <c r="BF797">
        <v>16.248993353401833</v>
      </c>
      <c r="BG797">
        <v>79722.292771863664</v>
      </c>
      <c r="BH797">
        <v>16.128617831065931</v>
      </c>
      <c r="BI797">
        <v>-1875.1693966016755</v>
      </c>
      <c r="BJ797">
        <v>0.12037552233590176</v>
      </c>
    </row>
    <row r="798" spans="3:62" x14ac:dyDescent="0.2">
      <c r="C798" s="121">
        <v>74884.162730372715</v>
      </c>
      <c r="D798">
        <v>15.376361024374996</v>
      </c>
      <c r="E798" s="121">
        <v>76290.403023248786</v>
      </c>
      <c r="F798" s="121">
        <v>15.257015084085984</v>
      </c>
      <c r="G798" s="121">
        <v>-1406.2402928760712</v>
      </c>
      <c r="H798" s="121">
        <v>0.11934594028901202</v>
      </c>
      <c r="N798" s="121"/>
      <c r="O798" s="121"/>
      <c r="P798" s="121"/>
      <c r="R798">
        <v>282.19559116507833</v>
      </c>
      <c r="S798">
        <v>70.487800446637451</v>
      </c>
      <c r="T798">
        <v>205.47268324523816</v>
      </c>
      <c r="U798">
        <v>111.18224189177634</v>
      </c>
      <c r="X798">
        <v>0.78303151597510945</v>
      </c>
      <c r="Y798">
        <v>0.81187957032159352</v>
      </c>
      <c r="Z798">
        <v>0.87949264128947791</v>
      </c>
      <c r="AA798">
        <v>0.8931910812730488</v>
      </c>
      <c r="AB798">
        <v>0.59589710346100133</v>
      </c>
      <c r="AC798">
        <v>0.72857282471118556</v>
      </c>
      <c r="AD798">
        <v>0.77495740020718529</v>
      </c>
      <c r="AE798">
        <v>0.85795687415439081</v>
      </c>
      <c r="AH798">
        <v>0.1198565794440275</v>
      </c>
      <c r="AI798">
        <v>6.2391607349566502E-2</v>
      </c>
      <c r="AJ798">
        <v>0.1818224948335867</v>
      </c>
      <c r="AK798">
        <v>0.1715519900519229</v>
      </c>
      <c r="AL798">
        <v>8.6031349568700621E-2</v>
      </c>
      <c r="AM798">
        <v>0.22926171761406056</v>
      </c>
      <c r="AN798">
        <v>0.15436238200582686</v>
      </c>
      <c r="AO798">
        <v>6.5350321731505567E-2</v>
      </c>
      <c r="AR798">
        <v>8.0706341001749522E-4</v>
      </c>
      <c r="AS798">
        <v>4.5310950458653521E-3</v>
      </c>
      <c r="AT798">
        <v>4.9091291108952209E-3</v>
      </c>
      <c r="AU798">
        <v>2.3579307016248219E-3</v>
      </c>
      <c r="AV798">
        <v>1.8805648977534167E-3</v>
      </c>
      <c r="AW798">
        <v>3.793724367272433E-3</v>
      </c>
      <c r="AX798">
        <v>3.653185196634955E-4</v>
      </c>
      <c r="AY798">
        <v>3.295117285302202E-4</v>
      </c>
      <c r="BB798">
        <v>4.6444526213104097E-2</v>
      </c>
      <c r="BC798">
        <v>3.5144655523920307E-2</v>
      </c>
      <c r="BE798">
        <v>74884.162730372715</v>
      </c>
      <c r="BF798">
        <v>15.376361024374996</v>
      </c>
      <c r="BG798">
        <v>76290.403023248786</v>
      </c>
      <c r="BH798">
        <v>15.257015084085984</v>
      </c>
      <c r="BI798">
        <v>-1406.2402928760712</v>
      </c>
      <c r="BJ798">
        <v>0.11934594028901202</v>
      </c>
    </row>
    <row r="799" spans="3:62" x14ac:dyDescent="0.2">
      <c r="C799" s="121">
        <v>77344.759760801768</v>
      </c>
      <c r="D799">
        <v>15.117829316972886</v>
      </c>
      <c r="E799" s="121">
        <v>78563.49615351086</v>
      </c>
      <c r="F799" s="121">
        <v>14.989310257644917</v>
      </c>
      <c r="G799" s="121">
        <v>-1218.7363927090919</v>
      </c>
      <c r="H799" s="121">
        <v>0.12851905932796903</v>
      </c>
      <c r="N799" s="121"/>
      <c r="O799" s="121"/>
      <c r="P799" s="121"/>
      <c r="R799">
        <v>298.06762233564757</v>
      </c>
      <c r="S799">
        <v>63.732774350089059</v>
      </c>
      <c r="T799">
        <v>231.98686385920865</v>
      </c>
      <c r="U799">
        <v>104.54941057063206</v>
      </c>
      <c r="X799">
        <v>0.87579365428061817</v>
      </c>
      <c r="Y799">
        <v>0.77061552597873828</v>
      </c>
      <c r="Z799">
        <v>0.57899300760385919</v>
      </c>
      <c r="AA799">
        <v>0.80862586132738401</v>
      </c>
      <c r="AB799">
        <v>0.62776874326542653</v>
      </c>
      <c r="AC799">
        <v>0.87080323709753471</v>
      </c>
      <c r="AD799">
        <v>0.9615125715289734</v>
      </c>
      <c r="AE799">
        <v>0.79744807327297529</v>
      </c>
      <c r="AH799">
        <v>7.2803701404460242E-2</v>
      </c>
      <c r="AI799">
        <v>0.25708640399776139</v>
      </c>
      <c r="AJ799">
        <v>0.14581457892199734</v>
      </c>
      <c r="AK799">
        <v>0.11685830227028626</v>
      </c>
      <c r="AL799">
        <v>0.15181999972767479</v>
      </c>
      <c r="AM799">
        <v>0.20530454856506408</v>
      </c>
      <c r="AN799">
        <v>0.1032725357044576</v>
      </c>
      <c r="AO799">
        <v>0.19118368438821098</v>
      </c>
      <c r="AR799">
        <v>8.9609135095924941E-4</v>
      </c>
      <c r="AS799">
        <v>4.4477973295067447E-3</v>
      </c>
      <c r="AT799">
        <v>4.7530611656561254E-3</v>
      </c>
      <c r="AU799">
        <v>1.9355053022273856E-3</v>
      </c>
      <c r="AV799">
        <v>2.0226685560198465E-3</v>
      </c>
      <c r="AW799">
        <v>3.5060921930497591E-3</v>
      </c>
      <c r="AX799">
        <v>3.1450405704019934E-4</v>
      </c>
      <c r="AY799">
        <v>4.7852760171063213E-4</v>
      </c>
      <c r="BB799">
        <v>4.782343256804536E-2</v>
      </c>
      <c r="BC799">
        <v>6.9964592274944781E-2</v>
      </c>
      <c r="BE799">
        <v>77344.759760801768</v>
      </c>
      <c r="BF799">
        <v>15.117829316972886</v>
      </c>
      <c r="BG799">
        <v>78563.49615351086</v>
      </c>
      <c r="BH799">
        <v>14.989310257644917</v>
      </c>
      <c r="BI799">
        <v>-1218.7363927090919</v>
      </c>
      <c r="BJ799">
        <v>0.12851905932796903</v>
      </c>
    </row>
    <row r="800" spans="3:62" x14ac:dyDescent="0.2">
      <c r="C800" s="121">
        <v>71392.174738846472</v>
      </c>
      <c r="D800">
        <v>17.437896609908151</v>
      </c>
      <c r="E800" s="121">
        <v>73452.639771215749</v>
      </c>
      <c r="F800" s="121">
        <v>17.327369357550346</v>
      </c>
      <c r="G800" s="121">
        <v>-2060.4650323692767</v>
      </c>
      <c r="H800" s="121">
        <v>0.11052725235780514</v>
      </c>
      <c r="N800" s="121"/>
      <c r="O800" s="121"/>
      <c r="P800" s="121"/>
      <c r="R800">
        <v>10.492126108178638</v>
      </c>
      <c r="S800">
        <v>66.037038966526865</v>
      </c>
      <c r="T800">
        <v>303.8202116817165</v>
      </c>
      <c r="U800">
        <v>92.04382911434368</v>
      </c>
      <c r="X800">
        <v>0.76507892045670378</v>
      </c>
      <c r="Y800">
        <v>0.58901852108899522</v>
      </c>
      <c r="Z800">
        <v>0.70865693641904581</v>
      </c>
      <c r="AA800">
        <v>0.77460699004126332</v>
      </c>
      <c r="AB800">
        <v>0.71042826990221619</v>
      </c>
      <c r="AC800">
        <v>0.70167402314005201</v>
      </c>
      <c r="AD800">
        <v>0.77717443849303436</v>
      </c>
      <c r="AE800">
        <v>0.63387075220745426</v>
      </c>
      <c r="AH800">
        <v>1.7288806357907749E-2</v>
      </c>
      <c r="AI800">
        <v>8.3654626860162562E-2</v>
      </c>
      <c r="AJ800">
        <v>0.16017553947499341</v>
      </c>
      <c r="AK800">
        <v>3.1343394161123639E-2</v>
      </c>
      <c r="AL800">
        <v>1.9793888894724665E-2</v>
      </c>
      <c r="AM800">
        <v>0.12834221577574356</v>
      </c>
      <c r="AN800">
        <v>0.12925014284443703</v>
      </c>
      <c r="AO800">
        <v>2.8378133335336786E-2</v>
      </c>
      <c r="AR800">
        <v>1.0351408768329851E-3</v>
      </c>
      <c r="AS800">
        <v>4.1810212287645915E-3</v>
      </c>
      <c r="AT800">
        <v>4.4994259671646587E-3</v>
      </c>
      <c r="AU800">
        <v>2.3213284026230019E-3</v>
      </c>
      <c r="AV800">
        <v>2.1675157825513658E-3</v>
      </c>
      <c r="AW800">
        <v>3.696591531587301E-3</v>
      </c>
      <c r="AX800">
        <v>5.1020880831709192E-4</v>
      </c>
      <c r="AY800">
        <v>5.1520537237048636E-4</v>
      </c>
      <c r="BB800">
        <v>5.1064406235139082E-2</v>
      </c>
      <c r="BC800">
        <v>5.1928943874601008E-2</v>
      </c>
      <c r="BE800">
        <v>71392.174738846472</v>
      </c>
      <c r="BF800">
        <v>17.437896609908151</v>
      </c>
      <c r="BG800">
        <v>73452.639771215749</v>
      </c>
      <c r="BH800">
        <v>17.327369357550346</v>
      </c>
      <c r="BI800">
        <v>-2060.4650323692767</v>
      </c>
      <c r="BJ800">
        <v>0.11052725235780514</v>
      </c>
    </row>
    <row r="801" spans="3:62" x14ac:dyDescent="0.2">
      <c r="C801" s="121">
        <v>69394.828754564674</v>
      </c>
      <c r="D801">
        <v>14.939850008048751</v>
      </c>
      <c r="E801" s="121">
        <v>70790.68452382581</v>
      </c>
      <c r="F801" s="121">
        <v>14.810217699275773</v>
      </c>
      <c r="G801" s="121">
        <v>-1395.8557692611357</v>
      </c>
      <c r="H801" s="121">
        <v>0.12963230877297782</v>
      </c>
      <c r="N801" s="121"/>
      <c r="O801" s="121"/>
      <c r="P801" s="121"/>
      <c r="R801">
        <v>143.501445392601</v>
      </c>
      <c r="S801">
        <v>65.360927192828754</v>
      </c>
      <c r="T801">
        <v>182.32665908474937</v>
      </c>
      <c r="U801">
        <v>95.798547942513224</v>
      </c>
      <c r="X801">
        <v>0.74233896008301159</v>
      </c>
      <c r="Y801">
        <v>0.74210090161363917</v>
      </c>
      <c r="Z801">
        <v>0.80442053371400579</v>
      </c>
      <c r="AA801">
        <v>0.84220237854771951</v>
      </c>
      <c r="AB801">
        <v>0.79079780058625249</v>
      </c>
      <c r="AC801">
        <v>0.67995539730292254</v>
      </c>
      <c r="AD801">
        <v>0.69343798188005867</v>
      </c>
      <c r="AE801">
        <v>0.73350779326070481</v>
      </c>
      <c r="AH801">
        <v>5.1574361617806153E-2</v>
      </c>
      <c r="AI801">
        <v>0.18935603367558529</v>
      </c>
      <c r="AJ801">
        <v>0.23791890670685423</v>
      </c>
      <c r="AK801">
        <v>7.9203772678686724E-2</v>
      </c>
      <c r="AL801">
        <v>0.16019135794631079</v>
      </c>
      <c r="AM801">
        <v>3.8579415912841641E-2</v>
      </c>
      <c r="AN801">
        <v>0.15248213279975609</v>
      </c>
      <c r="AO801">
        <v>6.3418150983435173E-2</v>
      </c>
      <c r="AR801">
        <v>6.9971494232380171E-4</v>
      </c>
      <c r="AS801">
        <v>4.7214626408171867E-3</v>
      </c>
      <c r="AT801">
        <v>4.8627919067350204E-3</v>
      </c>
      <c r="AU801">
        <v>1.9599124541218394E-3</v>
      </c>
      <c r="AV801">
        <v>1.902624268856543E-3</v>
      </c>
      <c r="AW801">
        <v>3.2189584317409608E-3</v>
      </c>
      <c r="AX801">
        <v>4.1960734763324403E-4</v>
      </c>
      <c r="AY801">
        <v>5.0056194088055062E-4</v>
      </c>
      <c r="BB801">
        <v>4.4961524441227793E-2</v>
      </c>
      <c r="BC801">
        <v>5.695748422250968E-2</v>
      </c>
      <c r="BE801">
        <v>69394.828754564674</v>
      </c>
      <c r="BF801">
        <v>14.939850008048751</v>
      </c>
      <c r="BG801">
        <v>70790.68452382581</v>
      </c>
      <c r="BH801">
        <v>14.810217699275773</v>
      </c>
      <c r="BI801">
        <v>-1395.8557692611357</v>
      </c>
      <c r="BJ801">
        <v>0.12963230877297782</v>
      </c>
    </row>
    <row r="802" spans="3:62" x14ac:dyDescent="0.2">
      <c r="C802" s="121">
        <v>73633.907192348182</v>
      </c>
      <c r="D802">
        <v>16.719425738783148</v>
      </c>
      <c r="E802" s="121">
        <v>75610.010827258244</v>
      </c>
      <c r="F802" s="121">
        <v>16.591178093910809</v>
      </c>
      <c r="G802" s="121">
        <v>-1976.1036349100614</v>
      </c>
      <c r="H802" s="121">
        <v>0.12824764487233864</v>
      </c>
      <c r="N802" s="121"/>
      <c r="O802" s="121"/>
      <c r="P802" s="121"/>
      <c r="R802">
        <v>179.07456739185861</v>
      </c>
      <c r="S802">
        <v>59.802823365603871</v>
      </c>
      <c r="T802">
        <v>289.02631584565444</v>
      </c>
      <c r="U802">
        <v>111.77812827655302</v>
      </c>
      <c r="X802">
        <v>0.81977924114912393</v>
      </c>
      <c r="Y802">
        <v>0.70578328282387393</v>
      </c>
      <c r="Z802">
        <v>0.80205479767861099</v>
      </c>
      <c r="AA802">
        <v>0.76724657175101141</v>
      </c>
      <c r="AB802">
        <v>0.48596549979279974</v>
      </c>
      <c r="AC802">
        <v>0.8334612224831599</v>
      </c>
      <c r="AD802">
        <v>0.77550194977687614</v>
      </c>
      <c r="AE802">
        <v>0.79139385873662438</v>
      </c>
      <c r="AH802">
        <v>0.11865141234236598</v>
      </c>
      <c r="AI802">
        <v>0.18047141524194721</v>
      </c>
      <c r="AJ802">
        <v>0.2704579499363281</v>
      </c>
      <c r="AK802">
        <v>0.16005875082269472</v>
      </c>
      <c r="AL802">
        <v>6.616196053862522E-2</v>
      </c>
      <c r="AM802">
        <v>6.8618797552473465E-2</v>
      </c>
      <c r="AN802">
        <v>0.13494330428078893</v>
      </c>
      <c r="AO802">
        <v>0.17157058981015894</v>
      </c>
      <c r="AR802">
        <v>8.8667584694201995E-4</v>
      </c>
      <c r="AS802">
        <v>4.187055056657122E-3</v>
      </c>
      <c r="AT802">
        <v>4.6593088930646483E-3</v>
      </c>
      <c r="AU802">
        <v>1.8932168673572421E-3</v>
      </c>
      <c r="AV802">
        <v>1.8189371456979666E-3</v>
      </c>
      <c r="AW802">
        <v>3.3140228016356361E-3</v>
      </c>
      <c r="AX802">
        <v>3.4147332890518761E-4</v>
      </c>
      <c r="AY802">
        <v>5.0395996646945829E-4</v>
      </c>
      <c r="BB802">
        <v>4.4258327503055812E-2</v>
      </c>
      <c r="BC802">
        <v>9.0891735349558633E-2</v>
      </c>
      <c r="BE802">
        <v>73633.907192348182</v>
      </c>
      <c r="BF802">
        <v>16.719425738783148</v>
      </c>
      <c r="BG802">
        <v>75610.010827258244</v>
      </c>
      <c r="BH802">
        <v>16.591178093910809</v>
      </c>
      <c r="BI802">
        <v>-1976.1036349100614</v>
      </c>
      <c r="BJ802">
        <v>0.12824764487233864</v>
      </c>
    </row>
    <row r="803" spans="3:62" x14ac:dyDescent="0.2">
      <c r="C803" s="121">
        <v>66111.424352297239</v>
      </c>
      <c r="D803">
        <v>16.171330690085682</v>
      </c>
      <c r="E803" s="121">
        <v>67834.314983988719</v>
      </c>
      <c r="F803" s="121">
        <v>16.058723407511827</v>
      </c>
      <c r="G803" s="121">
        <v>-1722.8906316914799</v>
      </c>
      <c r="H803" s="121">
        <v>0.11260728257385466</v>
      </c>
      <c r="N803" s="121"/>
      <c r="O803" s="121"/>
      <c r="P803" s="121"/>
      <c r="R803">
        <v>194.8865662013464</v>
      </c>
      <c r="S803">
        <v>61.612450018910323</v>
      </c>
      <c r="T803">
        <v>246.3661911237061</v>
      </c>
      <c r="U803">
        <v>96.646501845406377</v>
      </c>
      <c r="X803">
        <v>0.905462277650805</v>
      </c>
      <c r="Y803">
        <v>0.87464507778259648</v>
      </c>
      <c r="Z803">
        <v>0.6234745299141663</v>
      </c>
      <c r="AA803">
        <v>0.74284327203674227</v>
      </c>
      <c r="AB803">
        <v>0.6464001009203223</v>
      </c>
      <c r="AC803">
        <v>0.67067013720639213</v>
      </c>
      <c r="AD803">
        <v>0.76902233118574836</v>
      </c>
      <c r="AE803">
        <v>0.75188738276224898</v>
      </c>
      <c r="AH803">
        <v>0.17358980667035095</v>
      </c>
      <c r="AI803">
        <v>4.1381069028922912E-3</v>
      </c>
      <c r="AJ803">
        <v>0.25876261535637457</v>
      </c>
      <c r="AK803">
        <v>0.13552096492141874</v>
      </c>
      <c r="AL803">
        <v>0.16387192161021213</v>
      </c>
      <c r="AM803">
        <v>0.15716635918638433</v>
      </c>
      <c r="AN803">
        <v>0.15349083873134794</v>
      </c>
      <c r="AO803">
        <v>0.11056521241447481</v>
      </c>
      <c r="AR803">
        <v>8.9084201745193159E-4</v>
      </c>
      <c r="AS803">
        <v>4.4607579907173156E-3</v>
      </c>
      <c r="AT803">
        <v>4.7488261255478172E-3</v>
      </c>
      <c r="AU803">
        <v>1.9894665654825489E-3</v>
      </c>
      <c r="AV803">
        <v>2.0828063742142078E-3</v>
      </c>
      <c r="AW803">
        <v>3.6750386244457367E-3</v>
      </c>
      <c r="AX803">
        <v>4.1781104426341642E-4</v>
      </c>
      <c r="AY803">
        <v>5.5413351361066621E-4</v>
      </c>
      <c r="BB803">
        <v>5.0325434967323224E-2</v>
      </c>
      <c r="BC803">
        <v>5.5380348274821856E-2</v>
      </c>
      <c r="BE803">
        <v>66111.424352297239</v>
      </c>
      <c r="BF803">
        <v>16.171330690085682</v>
      </c>
      <c r="BG803">
        <v>67834.314983988719</v>
      </c>
      <c r="BH803">
        <v>16.058723407511827</v>
      </c>
      <c r="BI803">
        <v>-1722.8906316914799</v>
      </c>
      <c r="BJ803">
        <v>0.11260728257385466</v>
      </c>
    </row>
    <row r="804" spans="3:62" x14ac:dyDescent="0.2">
      <c r="C804" s="121">
        <v>70744.439378137351</v>
      </c>
      <c r="D804">
        <v>16.006869282129049</v>
      </c>
      <c r="E804" s="121">
        <v>73017.444280195938</v>
      </c>
      <c r="F804" s="121">
        <v>15.850786574322971</v>
      </c>
      <c r="G804" s="121">
        <v>-2273.0049020585866</v>
      </c>
      <c r="H804" s="121">
        <v>0.15608270780607825</v>
      </c>
      <c r="N804" s="121"/>
      <c r="O804" s="121"/>
      <c r="P804" s="121"/>
      <c r="R804">
        <v>134.09313645207385</v>
      </c>
      <c r="S804">
        <v>63.217783555118103</v>
      </c>
      <c r="T804">
        <v>300.74956625696274</v>
      </c>
      <c r="U804">
        <v>104.91262202820722</v>
      </c>
      <c r="X804">
        <v>0.81665068425286447</v>
      </c>
      <c r="Y804">
        <v>0.82595752436590275</v>
      </c>
      <c r="Z804">
        <v>0.79310431973394524</v>
      </c>
      <c r="AA804">
        <v>0.75198671141939344</v>
      </c>
      <c r="AB804">
        <v>0.79531192830632247</v>
      </c>
      <c r="AC804">
        <v>0.92614296685084452</v>
      </c>
      <c r="AD804">
        <v>0.89588429199383457</v>
      </c>
      <c r="AE804">
        <v>0.6359603625909126</v>
      </c>
      <c r="AH804">
        <v>0.27545292188059223</v>
      </c>
      <c r="AI804">
        <v>1.8652210980441675E-2</v>
      </c>
      <c r="AJ804">
        <v>3.7128153204826209E-2</v>
      </c>
      <c r="AK804">
        <v>6.6997414956849966E-2</v>
      </c>
      <c r="AL804">
        <v>7.8244601108288014E-2</v>
      </c>
      <c r="AM804">
        <v>0.22423102133375516</v>
      </c>
      <c r="AN804">
        <v>0.15733212662466334</v>
      </c>
      <c r="AO804">
        <v>0.13718826546197826</v>
      </c>
      <c r="AR804">
        <v>8.9205451214235953E-4</v>
      </c>
      <c r="AS804">
        <v>4.7075774900197098E-3</v>
      </c>
      <c r="AT804">
        <v>4.920303230513047E-3</v>
      </c>
      <c r="AU804">
        <v>2.0132984718609359E-3</v>
      </c>
      <c r="AV804">
        <v>1.8120843628127356E-3</v>
      </c>
      <c r="AW804">
        <v>3.5585831038944526E-3</v>
      </c>
      <c r="AX804">
        <v>3.2355955433827305E-4</v>
      </c>
      <c r="AY804">
        <v>3.9016923636104635E-4</v>
      </c>
      <c r="BB804">
        <v>4.3724316501449652E-2</v>
      </c>
      <c r="BC804">
        <v>0.10943993265605656</v>
      </c>
      <c r="BE804">
        <v>70744.439378137351</v>
      </c>
      <c r="BF804">
        <v>16.006869282129049</v>
      </c>
      <c r="BG804">
        <v>73017.444280195938</v>
      </c>
      <c r="BH804">
        <v>15.850786574322971</v>
      </c>
      <c r="BI804">
        <v>-2273.0049020585866</v>
      </c>
      <c r="BJ804">
        <v>0.15608270780607825</v>
      </c>
    </row>
    <row r="805" spans="3:62" x14ac:dyDescent="0.2">
      <c r="C805" s="121">
        <v>81083.460042698964</v>
      </c>
      <c r="D805">
        <v>16.628833146887679</v>
      </c>
      <c r="E805" s="121">
        <v>83456.219761086133</v>
      </c>
      <c r="F805" s="121">
        <v>16.47631771858455</v>
      </c>
      <c r="G805" s="121">
        <v>-2372.7597183871694</v>
      </c>
      <c r="H805" s="121">
        <v>0.15251542830312914</v>
      </c>
      <c r="N805" s="121"/>
      <c r="O805" s="121"/>
      <c r="P805" s="121"/>
      <c r="R805">
        <v>118.92988553275219</v>
      </c>
      <c r="S805">
        <v>58.09955628555911</v>
      </c>
      <c r="T805">
        <v>207.34068273998855</v>
      </c>
      <c r="U805">
        <v>103.80237837256594</v>
      </c>
      <c r="X805">
        <v>0.90848112705998019</v>
      </c>
      <c r="Y805">
        <v>0.84165189273094176</v>
      </c>
      <c r="Z805">
        <v>0.67075745212424864</v>
      </c>
      <c r="AA805">
        <v>0.71764170544770756</v>
      </c>
      <c r="AB805">
        <v>0.69957498151144737</v>
      </c>
      <c r="AC805">
        <v>0.83914481284450415</v>
      </c>
      <c r="AD805">
        <v>0.60381192192131672</v>
      </c>
      <c r="AE805">
        <v>0.62978433025548464</v>
      </c>
      <c r="AH805">
        <v>0.17704999627732187</v>
      </c>
      <c r="AI805">
        <v>2.7057459311517928E-2</v>
      </c>
      <c r="AJ805">
        <v>0.18935095177258698</v>
      </c>
      <c r="AK805">
        <v>8.8192507189852609E-2</v>
      </c>
      <c r="AL805">
        <v>0.13583040934580726</v>
      </c>
      <c r="AM805">
        <v>8.170315389476257E-2</v>
      </c>
      <c r="AN805">
        <v>0.17110621993625352</v>
      </c>
      <c r="AO805">
        <v>0.21416494114550988</v>
      </c>
      <c r="AR805">
        <v>8.0073613231546818E-4</v>
      </c>
      <c r="AS805">
        <v>4.3083718225835361E-3</v>
      </c>
      <c r="AT805">
        <v>4.6537117543004793E-3</v>
      </c>
      <c r="AU805">
        <v>1.8897103931701457E-3</v>
      </c>
      <c r="AV805">
        <v>1.9250044764703798E-3</v>
      </c>
      <c r="AW805">
        <v>3.5977045314061762E-3</v>
      </c>
      <c r="AX805">
        <v>5.6043276632611327E-4</v>
      </c>
      <c r="AY805">
        <v>3.6820659042362117E-4</v>
      </c>
      <c r="BB805">
        <v>6.1075896598458468E-2</v>
      </c>
      <c r="BC805">
        <v>3.4643846559516467E-2</v>
      </c>
      <c r="BE805">
        <v>81083.460042698964</v>
      </c>
      <c r="BF805">
        <v>16.628833146887679</v>
      </c>
      <c r="BG805">
        <v>83456.219761086133</v>
      </c>
      <c r="BH805">
        <v>16.47631771858455</v>
      </c>
      <c r="BI805">
        <v>-2372.7597183871694</v>
      </c>
      <c r="BJ805">
        <v>0.15251542830312914</v>
      </c>
    </row>
    <row r="806" spans="3:62" x14ac:dyDescent="0.2">
      <c r="C806" s="121">
        <v>64822.328884966519</v>
      </c>
      <c r="D806">
        <v>18.309820953326639</v>
      </c>
      <c r="E806" s="121">
        <v>66388.132443503462</v>
      </c>
      <c r="F806" s="121">
        <v>18.201127169194024</v>
      </c>
      <c r="G806" s="121">
        <v>-1565.8035585369435</v>
      </c>
      <c r="H806" s="121">
        <v>0.10869378413261543</v>
      </c>
      <c r="N806" s="121"/>
      <c r="O806" s="121"/>
      <c r="P806" s="121"/>
      <c r="R806">
        <v>204.01813697319704</v>
      </c>
      <c r="S806">
        <v>65.392847597716951</v>
      </c>
      <c r="T806">
        <v>260.46605030114574</v>
      </c>
      <c r="U806">
        <v>87.444724436862558</v>
      </c>
      <c r="X806">
        <v>0.72361168776544915</v>
      </c>
      <c r="Y806">
        <v>0.72593371578054977</v>
      </c>
      <c r="Z806">
        <v>0.76110805366713186</v>
      </c>
      <c r="AA806">
        <v>0.70607474273894977</v>
      </c>
      <c r="AB806">
        <v>0.83424440536031763</v>
      </c>
      <c r="AC806">
        <v>0.79077815582216937</v>
      </c>
      <c r="AD806">
        <v>0.81313164446996278</v>
      </c>
      <c r="AE806">
        <v>0.85679595442796597</v>
      </c>
      <c r="AH806">
        <v>0.13503718509999529</v>
      </c>
      <c r="AI806">
        <v>0.12137702891026825</v>
      </c>
      <c r="AJ806">
        <v>7.7339799833290979E-2</v>
      </c>
      <c r="AK806">
        <v>2.0259711017030613E-2</v>
      </c>
      <c r="AL806">
        <v>0.19150411556766089</v>
      </c>
      <c r="AM806">
        <v>4.0894054114087419E-2</v>
      </c>
      <c r="AN806">
        <v>0.16744184598221235</v>
      </c>
      <c r="AO806">
        <v>2.8405666107642169E-2</v>
      </c>
      <c r="AR806">
        <v>8.9340468043352939E-4</v>
      </c>
      <c r="AS806">
        <v>4.597628570015222E-3</v>
      </c>
      <c r="AT806">
        <v>4.9320546819323118E-3</v>
      </c>
      <c r="AU806">
        <v>1.9360424653121801E-3</v>
      </c>
      <c r="AV806">
        <v>1.9128205820487607E-3</v>
      </c>
      <c r="AW806">
        <v>3.4372366859136694E-3</v>
      </c>
      <c r="AX806">
        <v>3.9110206221614353E-4</v>
      </c>
      <c r="AY806">
        <v>3.9779103772206645E-4</v>
      </c>
      <c r="BB806">
        <v>4.5983782405135377E-2</v>
      </c>
      <c r="BC806">
        <v>3.420270264034285E-2</v>
      </c>
      <c r="BE806">
        <v>64822.328884966519</v>
      </c>
      <c r="BF806">
        <v>18.309820953326639</v>
      </c>
      <c r="BG806">
        <v>66388.132443503462</v>
      </c>
      <c r="BH806">
        <v>18.201127169194024</v>
      </c>
      <c r="BI806">
        <v>-1565.8035585369435</v>
      </c>
      <c r="BJ806">
        <v>0.10869378413261543</v>
      </c>
    </row>
    <row r="807" spans="3:62" x14ac:dyDescent="0.2">
      <c r="C807" s="121">
        <v>66562.844445006718</v>
      </c>
      <c r="D807">
        <v>16.209821760737142</v>
      </c>
      <c r="E807" s="121">
        <v>67608.445511757702</v>
      </c>
      <c r="F807" s="121">
        <v>16.178775664041364</v>
      </c>
      <c r="G807" s="121">
        <v>-1045.6010667509836</v>
      </c>
      <c r="H807" s="121">
        <v>3.1046096695778402E-2</v>
      </c>
      <c r="N807" s="121"/>
      <c r="O807" s="121"/>
      <c r="P807" s="121"/>
      <c r="R807">
        <v>50.178574725219079</v>
      </c>
      <c r="S807">
        <v>71.678007751232869</v>
      </c>
      <c r="T807">
        <v>239.39722530053101</v>
      </c>
      <c r="U807">
        <v>89.212815799170812</v>
      </c>
      <c r="X807">
        <v>0.82890800669226394</v>
      </c>
      <c r="Y807">
        <v>0.48074872606432301</v>
      </c>
      <c r="Z807">
        <v>0.74439934275681052</v>
      </c>
      <c r="AA807">
        <v>0.73792450439835422</v>
      </c>
      <c r="AB807">
        <v>0.43675153907774689</v>
      </c>
      <c r="AC807">
        <v>0.72871429678136379</v>
      </c>
      <c r="AD807">
        <v>0.59604301256788672</v>
      </c>
      <c r="AE807">
        <v>0.7601348430038658</v>
      </c>
      <c r="AH807">
        <v>0.30498649192647564</v>
      </c>
      <c r="AI807">
        <v>0.15015452266477136</v>
      </c>
      <c r="AJ807">
        <v>0.38968352556572861</v>
      </c>
      <c r="AK807">
        <v>0.15014786196853858</v>
      </c>
      <c r="AL807">
        <v>0.20004913309047834</v>
      </c>
      <c r="AM807">
        <v>4.3518004614482964E-2</v>
      </c>
      <c r="AN807">
        <v>1.5628391066891512E-2</v>
      </c>
      <c r="AO807">
        <v>5.3669300618145455E-2</v>
      </c>
      <c r="AR807">
        <v>8.4648687219144203E-4</v>
      </c>
      <c r="AS807">
        <v>4.1594074043101795E-3</v>
      </c>
      <c r="AT807">
        <v>4.5277175847763425E-3</v>
      </c>
      <c r="AU807">
        <v>2.0223425414885865E-3</v>
      </c>
      <c r="AV807">
        <v>2.031150877309762E-3</v>
      </c>
      <c r="AW807">
        <v>3.6202309865073223E-3</v>
      </c>
      <c r="AX807">
        <v>3.3622022809691205E-4</v>
      </c>
      <c r="AY807">
        <v>4.2756870999844309E-4</v>
      </c>
      <c r="BB807">
        <v>5.5922537898171809E-2</v>
      </c>
      <c r="BC807">
        <v>9.3335694586306004E-3</v>
      </c>
      <c r="BE807">
        <v>66562.844445006718</v>
      </c>
      <c r="BF807">
        <v>16.209821760737142</v>
      </c>
      <c r="BG807">
        <v>67608.445511757702</v>
      </c>
      <c r="BH807">
        <v>16.178775664041364</v>
      </c>
      <c r="BI807">
        <v>-1045.6010667509836</v>
      </c>
      <c r="BJ807">
        <v>3.1046096695778402E-2</v>
      </c>
    </row>
    <row r="808" spans="3:62" x14ac:dyDescent="0.2">
      <c r="C808" s="121">
        <v>77050.694675305422</v>
      </c>
      <c r="D808">
        <v>16.656227740894181</v>
      </c>
      <c r="E808" s="121">
        <v>79748.458694016546</v>
      </c>
      <c r="F808" s="121">
        <v>16.48213748282317</v>
      </c>
      <c r="G808" s="121">
        <v>-2697.7640187111247</v>
      </c>
      <c r="H808" s="121">
        <v>0.17409025807101131</v>
      </c>
      <c r="N808" s="121"/>
      <c r="O808" s="121"/>
      <c r="P808" s="121"/>
      <c r="R808">
        <v>99.661481058435442</v>
      </c>
      <c r="S808">
        <v>64.72953775279008</v>
      </c>
      <c r="T808">
        <v>237.83559804965668</v>
      </c>
      <c r="U808">
        <v>89.945454056146772</v>
      </c>
      <c r="X808">
        <v>0.88347227858916</v>
      </c>
      <c r="Y808">
        <v>0.70249608780731732</v>
      </c>
      <c r="Z808">
        <v>0.75526595557249521</v>
      </c>
      <c r="AA808">
        <v>0.93204842517907549</v>
      </c>
      <c r="AB808">
        <v>0.88834722900541474</v>
      </c>
      <c r="AC808">
        <v>0.77053867237886242</v>
      </c>
      <c r="AD808">
        <v>0.67310187772465724</v>
      </c>
      <c r="AE808">
        <v>0.74232447938625756</v>
      </c>
      <c r="AH808">
        <v>8.8619034915205175E-2</v>
      </c>
      <c r="AI808">
        <v>0.26422720942818112</v>
      </c>
      <c r="AJ808">
        <v>0.15590604869904123</v>
      </c>
      <c r="AK808">
        <v>7.0432187552002756E-2</v>
      </c>
      <c r="AL808">
        <v>6.9114485750237487E-2</v>
      </c>
      <c r="AM808">
        <v>6.2313253800381441E-2</v>
      </c>
      <c r="AN808">
        <v>1.3780287601214525E-2</v>
      </c>
      <c r="AO808">
        <v>7.7272652863261682E-2</v>
      </c>
      <c r="AR808">
        <v>1.0384958343024886E-3</v>
      </c>
      <c r="AS808">
        <v>4.5561208793840624E-3</v>
      </c>
      <c r="AT808">
        <v>5.4925952736286643E-3</v>
      </c>
      <c r="AU808">
        <v>1.9415053512874102E-3</v>
      </c>
      <c r="AV808">
        <v>1.8314678588501757E-3</v>
      </c>
      <c r="AW808">
        <v>3.5423216900798415E-3</v>
      </c>
      <c r="AX808">
        <v>4.5520396538634156E-4</v>
      </c>
      <c r="AY808">
        <v>3.3630806236219988E-4</v>
      </c>
      <c r="BB808">
        <v>3.7255018850263943E-2</v>
      </c>
      <c r="BC808">
        <v>4.0589477468832333E-2</v>
      </c>
      <c r="BE808">
        <v>77050.694675305422</v>
      </c>
      <c r="BF808">
        <v>16.656227740894181</v>
      </c>
      <c r="BG808">
        <v>79748.458694016546</v>
      </c>
      <c r="BH808">
        <v>16.48213748282317</v>
      </c>
      <c r="BI808">
        <v>-2697.7640187111247</v>
      </c>
      <c r="BJ808">
        <v>0.17409025807101131</v>
      </c>
    </row>
    <row r="809" spans="3:62" x14ac:dyDescent="0.2">
      <c r="C809" s="121">
        <v>69238.206173567058</v>
      </c>
      <c r="D809">
        <v>16.63895489342654</v>
      </c>
      <c r="E809" s="121">
        <v>71173.84908959044</v>
      </c>
      <c r="F809" s="121">
        <v>16.496360591647623</v>
      </c>
      <c r="G809" s="121">
        <v>-1935.642916023382</v>
      </c>
      <c r="H809" s="121">
        <v>0.1425943017789173</v>
      </c>
      <c r="N809" s="121"/>
      <c r="O809" s="121"/>
      <c r="P809" s="121"/>
      <c r="R809">
        <v>263.3753868030247</v>
      </c>
      <c r="S809">
        <v>68.84735184791009</v>
      </c>
      <c r="T809">
        <v>227.7517394015851</v>
      </c>
      <c r="U809">
        <v>92.401527424418703</v>
      </c>
      <c r="X809">
        <v>0.64896113473411199</v>
      </c>
      <c r="Y809">
        <v>0.80319631309107686</v>
      </c>
      <c r="Z809">
        <v>0.78233078660857558</v>
      </c>
      <c r="AA809">
        <v>0.75328513804319575</v>
      </c>
      <c r="AB809">
        <v>0.52718565844437948</v>
      </c>
      <c r="AC809">
        <v>0.64813158727656472</v>
      </c>
      <c r="AD809">
        <v>0.78326621069836055</v>
      </c>
      <c r="AE809">
        <v>0.71304473067547525</v>
      </c>
      <c r="AH809">
        <v>9.8557429435219612E-2</v>
      </c>
      <c r="AI809">
        <v>4.4684782444856297E-2</v>
      </c>
      <c r="AJ809">
        <v>0.15616253578538353</v>
      </c>
      <c r="AK809">
        <v>0.12035024180178122</v>
      </c>
      <c r="AL809">
        <v>3.3141408816935947E-2</v>
      </c>
      <c r="AM809">
        <v>0.11594305690300188</v>
      </c>
      <c r="AN809">
        <v>0.18179250064946118</v>
      </c>
      <c r="AO809">
        <v>4.3165678161996457E-2</v>
      </c>
      <c r="AR809">
        <v>8.0697089185275252E-4</v>
      </c>
      <c r="AS809">
        <v>4.1519352172071939E-3</v>
      </c>
      <c r="AT809">
        <v>4.5317516121088693E-3</v>
      </c>
      <c r="AU809">
        <v>1.7597780607854021E-3</v>
      </c>
      <c r="AV809">
        <v>1.8875740963203507E-3</v>
      </c>
      <c r="AW809">
        <v>3.4483571309704697E-3</v>
      </c>
      <c r="AX809">
        <v>4.6725930695235007E-4</v>
      </c>
      <c r="AY809">
        <v>3.6575187590388771E-4</v>
      </c>
      <c r="BB809">
        <v>5.3524635147198185E-2</v>
      </c>
      <c r="BC809">
        <v>5.0609409647589199E-2</v>
      </c>
      <c r="BE809">
        <v>69238.206173567058</v>
      </c>
      <c r="BF809">
        <v>16.63895489342654</v>
      </c>
      <c r="BG809">
        <v>71173.84908959044</v>
      </c>
      <c r="BH809">
        <v>16.496360591647623</v>
      </c>
      <c r="BI809">
        <v>-1935.642916023382</v>
      </c>
      <c r="BJ809">
        <v>0.1425943017789173</v>
      </c>
    </row>
    <row r="810" spans="3:62" x14ac:dyDescent="0.2">
      <c r="C810" s="121">
        <v>66225.251830684007</v>
      </c>
      <c r="D810">
        <v>13.928355347354008</v>
      </c>
      <c r="E810" s="121">
        <v>67509.927105169132</v>
      </c>
      <c r="F810" s="121">
        <v>13.879395139034379</v>
      </c>
      <c r="G810" s="121">
        <v>-1284.6752744851256</v>
      </c>
      <c r="H810" s="121">
        <v>4.8960208319629217E-2</v>
      </c>
      <c r="N810" s="121"/>
      <c r="O810" s="121"/>
      <c r="P810" s="121"/>
      <c r="R810">
        <v>226.7730254534934</v>
      </c>
      <c r="S810">
        <v>62.836793579289598</v>
      </c>
      <c r="T810">
        <v>224.67633262544987</v>
      </c>
      <c r="U810">
        <v>83.430056532670449</v>
      </c>
      <c r="X810">
        <v>0.76589217144621546</v>
      </c>
      <c r="Y810">
        <v>0.76070732208192393</v>
      </c>
      <c r="Z810">
        <v>0.69614421790423031</v>
      </c>
      <c r="AA810">
        <v>0.65482237572754876</v>
      </c>
      <c r="AB810">
        <v>0.48529647351404365</v>
      </c>
      <c r="AC810">
        <v>0.62387043349129623</v>
      </c>
      <c r="AD810">
        <v>0.69311032150398866</v>
      </c>
      <c r="AE810">
        <v>0.6134217805852451</v>
      </c>
      <c r="AH810">
        <v>0.13566370776624603</v>
      </c>
      <c r="AI810">
        <v>0.11991148053644773</v>
      </c>
      <c r="AJ810">
        <v>7.8111107707375393E-2</v>
      </c>
      <c r="AK810">
        <v>5.6355138403944904E-2</v>
      </c>
      <c r="AL810">
        <v>0.1436203614950794</v>
      </c>
      <c r="AM810">
        <v>0.12052090242120395</v>
      </c>
      <c r="AN810">
        <v>0.33074281365624769</v>
      </c>
      <c r="AO810">
        <v>9.9099472095319996E-2</v>
      </c>
      <c r="AR810">
        <v>8.1701074172245989E-4</v>
      </c>
      <c r="AS810">
        <v>4.8484529768427764E-3</v>
      </c>
      <c r="AT810">
        <v>5.5267733840353994E-3</v>
      </c>
      <c r="AU810">
        <v>1.8498734917558395E-3</v>
      </c>
      <c r="AV810">
        <v>2.0644483718659234E-3</v>
      </c>
      <c r="AW810">
        <v>3.446822315143927E-3</v>
      </c>
      <c r="AX810">
        <v>3.8237412818392598E-4</v>
      </c>
      <c r="AY810">
        <v>5.4164103935394614E-4</v>
      </c>
      <c r="BB810">
        <v>5.9177117576642346E-2</v>
      </c>
      <c r="BC810">
        <v>2.5927117049202603E-2</v>
      </c>
      <c r="BE810">
        <v>66225.251830684007</v>
      </c>
      <c r="BF810">
        <v>13.928355347354008</v>
      </c>
      <c r="BG810">
        <v>67509.927105169132</v>
      </c>
      <c r="BH810">
        <v>13.879395139034379</v>
      </c>
      <c r="BI810">
        <v>-1284.6752744851256</v>
      </c>
      <c r="BJ810">
        <v>4.8960208319629217E-2</v>
      </c>
    </row>
    <row r="811" spans="3:62" x14ac:dyDescent="0.2">
      <c r="C811" s="121">
        <v>67696.750211104925</v>
      </c>
      <c r="D811">
        <v>15.774008161286845</v>
      </c>
      <c r="E811" s="121">
        <v>70049.339137264935</v>
      </c>
      <c r="F811" s="121">
        <v>15.566866530445893</v>
      </c>
      <c r="G811" s="121">
        <v>-2352.5889261600096</v>
      </c>
      <c r="H811" s="121">
        <v>0.20714163084095283</v>
      </c>
      <c r="N811" s="121"/>
      <c r="O811" s="121"/>
      <c r="P811" s="121"/>
      <c r="R811">
        <v>77.187434709254688</v>
      </c>
      <c r="S811">
        <v>64.876042490280852</v>
      </c>
      <c r="T811">
        <v>224.37873490417769</v>
      </c>
      <c r="U811">
        <v>89.18178479228952</v>
      </c>
      <c r="X811">
        <v>0.50922695991024891</v>
      </c>
      <c r="Y811">
        <v>0.87028833780194903</v>
      </c>
      <c r="Z811">
        <v>0.68817295572267556</v>
      </c>
      <c r="AA811">
        <v>0.64556386126843723</v>
      </c>
      <c r="AB811">
        <v>0.85020368213955377</v>
      </c>
      <c r="AC811">
        <v>0.90548896783044797</v>
      </c>
      <c r="AD811">
        <v>0.85333361938940633</v>
      </c>
      <c r="AE811">
        <v>0.63865908155516116</v>
      </c>
      <c r="AH811">
        <v>0.32413793412433967</v>
      </c>
      <c r="AI811">
        <v>5.4323438813741465E-3</v>
      </c>
      <c r="AJ811">
        <v>0.20870942859550601</v>
      </c>
      <c r="AK811">
        <v>0.19531889804797387</v>
      </c>
      <c r="AL811">
        <v>0.14039020693966731</v>
      </c>
      <c r="AM811">
        <v>8.8606933731013582E-2</v>
      </c>
      <c r="AN811">
        <v>9.5538432505425153E-2</v>
      </c>
      <c r="AO811">
        <v>7.3415735145030303E-2</v>
      </c>
      <c r="AR811">
        <v>9.5507087838697657E-4</v>
      </c>
      <c r="AS811">
        <v>4.5830616111476319E-3</v>
      </c>
      <c r="AT811">
        <v>5.2349275118521721E-3</v>
      </c>
      <c r="AU811">
        <v>2.307952824247228E-3</v>
      </c>
      <c r="AV811">
        <v>1.8528045018257283E-3</v>
      </c>
      <c r="AW811">
        <v>3.5646141952899724E-3</v>
      </c>
      <c r="AX811">
        <v>3.4895488267035787E-4</v>
      </c>
      <c r="AY811">
        <v>5.0143724097395648E-4</v>
      </c>
      <c r="BB811">
        <v>4.9455488140390816E-2</v>
      </c>
      <c r="BC811">
        <v>2.6831508934109405E-2</v>
      </c>
      <c r="BE811">
        <v>67696.750211104925</v>
      </c>
      <c r="BF811">
        <v>15.774008161286845</v>
      </c>
      <c r="BG811">
        <v>70049.339137264935</v>
      </c>
      <c r="BH811">
        <v>15.566866530445893</v>
      </c>
      <c r="BI811">
        <v>-2352.5889261600096</v>
      </c>
      <c r="BJ811">
        <v>0.20714163084095283</v>
      </c>
    </row>
    <row r="812" spans="3:62" x14ac:dyDescent="0.2">
      <c r="C812" s="121">
        <v>71244.00741849246</v>
      </c>
      <c r="D812">
        <v>16.703686691250837</v>
      </c>
      <c r="E812" s="121">
        <v>72735.634177600383</v>
      </c>
      <c r="F812" s="121">
        <v>16.639756186274173</v>
      </c>
      <c r="G812" s="121">
        <v>-1491.6267591079231</v>
      </c>
      <c r="H812" s="121">
        <v>6.3930504976664082E-2</v>
      </c>
      <c r="N812" s="121"/>
      <c r="O812" s="121"/>
      <c r="P812" s="121"/>
      <c r="R812">
        <v>167.38012211175712</v>
      </c>
      <c r="S812">
        <v>63.373882017198937</v>
      </c>
      <c r="T812">
        <v>221.90233165542989</v>
      </c>
      <c r="U812">
        <v>97.913887398891731</v>
      </c>
      <c r="X812">
        <v>0.42287792017885906</v>
      </c>
      <c r="Y812">
        <v>0.83470861534793073</v>
      </c>
      <c r="Z812">
        <v>0.68267153291968119</v>
      </c>
      <c r="AA812">
        <v>0.82825092677484724</v>
      </c>
      <c r="AB812">
        <v>0.67151557370696091</v>
      </c>
      <c r="AC812">
        <v>0.53662445553513105</v>
      </c>
      <c r="AD812">
        <v>0.80062346335789858</v>
      </c>
      <c r="AE812">
        <v>0.86235060024445376</v>
      </c>
      <c r="AH812">
        <v>0.18614908942650554</v>
      </c>
      <c r="AI812">
        <v>7.8280496921198983E-2</v>
      </c>
      <c r="AJ812">
        <v>0.12314484429408545</v>
      </c>
      <c r="AK812">
        <v>0.10337773044311116</v>
      </c>
      <c r="AL812">
        <v>8.4586171661852783E-2</v>
      </c>
      <c r="AM812">
        <v>6.0811744019575897E-2</v>
      </c>
      <c r="AN812">
        <v>3.883406524816202E-2</v>
      </c>
      <c r="AO812">
        <v>6.5598366123297946E-2</v>
      </c>
      <c r="AR812">
        <v>7.7969522487014741E-4</v>
      </c>
      <c r="AS812">
        <v>4.5668259141639078E-3</v>
      </c>
      <c r="AT812">
        <v>4.7442018454951903E-3</v>
      </c>
      <c r="AU812">
        <v>1.9037985623403956E-3</v>
      </c>
      <c r="AV812">
        <v>1.9819715505693353E-3</v>
      </c>
      <c r="AW812">
        <v>3.4351846761292437E-3</v>
      </c>
      <c r="AX812">
        <v>3.4144478996277574E-4</v>
      </c>
      <c r="AY812">
        <v>4.4825013272453695E-4</v>
      </c>
      <c r="BB812">
        <v>6.131971261479785E-2</v>
      </c>
      <c r="BC812">
        <v>2.9820675702283563E-2</v>
      </c>
      <c r="BE812">
        <v>71244.00741849246</v>
      </c>
      <c r="BF812">
        <v>16.703686691250837</v>
      </c>
      <c r="BG812">
        <v>72735.634177600383</v>
      </c>
      <c r="BH812">
        <v>16.639756186274173</v>
      </c>
      <c r="BI812">
        <v>-1491.6267591079231</v>
      </c>
      <c r="BJ812">
        <v>6.3930504976664082E-2</v>
      </c>
    </row>
    <row r="813" spans="3:62" x14ac:dyDescent="0.2">
      <c r="C813" s="121">
        <v>68469.422038538789</v>
      </c>
      <c r="D813">
        <v>14.831914020513272</v>
      </c>
      <c r="E813" s="121">
        <v>69738.160880297248</v>
      </c>
      <c r="F813" s="121">
        <v>14.694812940444715</v>
      </c>
      <c r="G813" s="121">
        <v>-1268.7388417584589</v>
      </c>
      <c r="H813" s="121">
        <v>0.13710108006855748</v>
      </c>
      <c r="N813" s="121"/>
      <c r="O813" s="121"/>
      <c r="P813" s="121"/>
      <c r="R813">
        <v>224.36851053046655</v>
      </c>
      <c r="S813">
        <v>63.698664778116353</v>
      </c>
      <c r="T813">
        <v>208.76015154904735</v>
      </c>
      <c r="U813">
        <v>91.16035207195975</v>
      </c>
      <c r="X813">
        <v>0.51102655780777495</v>
      </c>
      <c r="Y813">
        <v>0.62878006919123497</v>
      </c>
      <c r="Z813">
        <v>0.92082906143751053</v>
      </c>
      <c r="AA813">
        <v>0.66994123048999976</v>
      </c>
      <c r="AB813">
        <v>0.83765411298848247</v>
      </c>
      <c r="AC813">
        <v>0.80667389807384104</v>
      </c>
      <c r="AD813">
        <v>0.83030482197641176</v>
      </c>
      <c r="AE813">
        <v>0.82455844586323312</v>
      </c>
      <c r="AH813">
        <v>5.0285761663645512E-2</v>
      </c>
      <c r="AI813">
        <v>0.16853019565669292</v>
      </c>
      <c r="AJ813">
        <v>7.5786228404408185E-2</v>
      </c>
      <c r="AK813">
        <v>8.212783312294003E-2</v>
      </c>
      <c r="AL813">
        <v>2.5144317408823835E-2</v>
      </c>
      <c r="AM813">
        <v>0.25427360895153539</v>
      </c>
      <c r="AN813">
        <v>0.11538539968482131</v>
      </c>
      <c r="AO813">
        <v>0.10110026533119365</v>
      </c>
      <c r="AR813">
        <v>8.5513015991174862E-4</v>
      </c>
      <c r="AS813">
        <v>4.7815583120340843E-3</v>
      </c>
      <c r="AT813">
        <v>4.8639607964102967E-3</v>
      </c>
      <c r="AU813">
        <v>2.0505434266626654E-3</v>
      </c>
      <c r="AV813">
        <v>2.178862739605214E-3</v>
      </c>
      <c r="AW813">
        <v>3.4678523348510293E-3</v>
      </c>
      <c r="AX813">
        <v>3.3014117148925882E-4</v>
      </c>
      <c r="AY813">
        <v>5.7515535117180772E-4</v>
      </c>
      <c r="BB813">
        <v>4.7353981902159586E-2</v>
      </c>
      <c r="BC813">
        <v>3.6901041997577648E-2</v>
      </c>
      <c r="BE813">
        <v>68469.422038538789</v>
      </c>
      <c r="BF813">
        <v>14.831914020513272</v>
      </c>
      <c r="BG813">
        <v>69738.160880297248</v>
      </c>
      <c r="BH813">
        <v>14.694812940444715</v>
      </c>
      <c r="BI813">
        <v>-1268.7388417584589</v>
      </c>
      <c r="BJ813">
        <v>0.13710108006855748</v>
      </c>
    </row>
    <row r="814" spans="3:62" x14ac:dyDescent="0.2">
      <c r="C814" s="121">
        <v>67875.938838480113</v>
      </c>
      <c r="D814">
        <v>16.664893161332575</v>
      </c>
      <c r="E814" s="121">
        <v>69534.067079031563</v>
      </c>
      <c r="F814" s="121">
        <v>16.503842412897203</v>
      </c>
      <c r="G814" s="121">
        <v>-1658.1282405514503</v>
      </c>
      <c r="H814" s="121">
        <v>0.16105074843537182</v>
      </c>
      <c r="N814" s="121"/>
      <c r="O814" s="121"/>
      <c r="P814" s="121"/>
      <c r="R814">
        <v>275.44733038409782</v>
      </c>
      <c r="S814">
        <v>49.734768180512631</v>
      </c>
      <c r="T814">
        <v>284.78800922613789</v>
      </c>
      <c r="U814">
        <v>100.38632252501444</v>
      </c>
      <c r="X814">
        <v>0.78113735340826085</v>
      </c>
      <c r="Y814">
        <v>0.77693520427555829</v>
      </c>
      <c r="Z814">
        <v>0.71390486073349524</v>
      </c>
      <c r="AA814">
        <v>0.84580157468668016</v>
      </c>
      <c r="AB814">
        <v>0.72671880704434366</v>
      </c>
      <c r="AC814">
        <v>0.62575401403656972</v>
      </c>
      <c r="AD814">
        <v>0.72991969717369232</v>
      </c>
      <c r="AE814">
        <v>0.63267039615573117</v>
      </c>
      <c r="AH814">
        <v>6.3395671992710123E-2</v>
      </c>
      <c r="AI814">
        <v>0.24272417721200368</v>
      </c>
      <c r="AJ814">
        <v>0.16150855030503486</v>
      </c>
      <c r="AK814">
        <v>0.20238597387598245</v>
      </c>
      <c r="AL814">
        <v>8.9990790729264525E-2</v>
      </c>
      <c r="AM814">
        <v>0.10573226598395413</v>
      </c>
      <c r="AN814">
        <v>0.20964949857798132</v>
      </c>
      <c r="AO814">
        <v>0.1279755982582409</v>
      </c>
      <c r="AR814">
        <v>7.9023205098985999E-4</v>
      </c>
      <c r="AS814">
        <v>4.2556773166905889E-3</v>
      </c>
      <c r="AT814">
        <v>5.1664379268043792E-3</v>
      </c>
      <c r="AU814">
        <v>2.0563314669341803E-3</v>
      </c>
      <c r="AV814">
        <v>1.7414494814616613E-3</v>
      </c>
      <c r="AW814">
        <v>3.2287130044029821E-3</v>
      </c>
      <c r="AX814">
        <v>3.6461443723422417E-4</v>
      </c>
      <c r="AY814">
        <v>4.5227195387786967E-4</v>
      </c>
      <c r="BB814">
        <v>6.1476890674544871E-2</v>
      </c>
      <c r="BC814">
        <v>5.237600797061237E-2</v>
      </c>
      <c r="BE814">
        <v>67875.938838480113</v>
      </c>
      <c r="BF814">
        <v>16.664893161332575</v>
      </c>
      <c r="BG814">
        <v>69534.067079031563</v>
      </c>
      <c r="BH814">
        <v>16.503842412897203</v>
      </c>
      <c r="BI814">
        <v>-1658.1282405514503</v>
      </c>
      <c r="BJ814">
        <v>0.16105074843537182</v>
      </c>
    </row>
    <row r="815" spans="3:62" x14ac:dyDescent="0.2">
      <c r="C815" s="121">
        <v>75247.054194762808</v>
      </c>
      <c r="D815">
        <v>14.448613613874972</v>
      </c>
      <c r="E815" s="121">
        <v>77328.499137995808</v>
      </c>
      <c r="F815" s="121">
        <v>14.240134979411648</v>
      </c>
      <c r="G815" s="121">
        <v>-2081.4449432330002</v>
      </c>
      <c r="H815" s="121">
        <v>0.20847863446332404</v>
      </c>
      <c r="N815" s="121"/>
      <c r="O815" s="121"/>
      <c r="P815" s="121"/>
      <c r="R815">
        <v>163.70030755878633</v>
      </c>
      <c r="S815">
        <v>64.462589828440912</v>
      </c>
      <c r="T815">
        <v>200.30287515202656</v>
      </c>
      <c r="U815">
        <v>89.542064344032553</v>
      </c>
      <c r="X815">
        <v>0.60687311316923698</v>
      </c>
      <c r="Y815">
        <v>0.91836941913455261</v>
      </c>
      <c r="Z815">
        <v>0.84689211951581478</v>
      </c>
      <c r="AA815">
        <v>0.7811816532037632</v>
      </c>
      <c r="AB815">
        <v>0.84280255401005744</v>
      </c>
      <c r="AC815">
        <v>0.57676565176936168</v>
      </c>
      <c r="AD815">
        <v>0.93801542260721194</v>
      </c>
      <c r="AE815">
        <v>0.58854270969071387</v>
      </c>
      <c r="AH815">
        <v>2.6406559008215869E-2</v>
      </c>
      <c r="AI815">
        <v>3.6045537755114099E-2</v>
      </c>
      <c r="AJ815">
        <v>0.14766427998616838</v>
      </c>
      <c r="AK815">
        <v>4.5610178647674804E-2</v>
      </c>
      <c r="AL815">
        <v>0.11324077741724525</v>
      </c>
      <c r="AM815">
        <v>4.1605663139088866E-2</v>
      </c>
      <c r="AN815">
        <v>0.1239042990053314</v>
      </c>
      <c r="AO815">
        <v>4.2846514988588824E-2</v>
      </c>
      <c r="AR815">
        <v>8.6296224874856829E-4</v>
      </c>
      <c r="AS815">
        <v>4.5225010441454216E-3</v>
      </c>
      <c r="AT815">
        <v>5.2635404516129247E-3</v>
      </c>
      <c r="AU815">
        <v>1.9620075596464967E-3</v>
      </c>
      <c r="AV815">
        <v>1.7384371571159385E-3</v>
      </c>
      <c r="AW815">
        <v>3.6512186423635073E-3</v>
      </c>
      <c r="AX815">
        <v>3.1583663489502956E-4</v>
      </c>
      <c r="AY815">
        <v>3.8968596756739303E-4</v>
      </c>
      <c r="BB815">
        <v>5.3492981892324765E-2</v>
      </c>
      <c r="BC815">
        <v>6.0133017205447725E-2</v>
      </c>
      <c r="BE815">
        <v>75247.054194762808</v>
      </c>
      <c r="BF815">
        <v>14.448613613874972</v>
      </c>
      <c r="BG815">
        <v>77328.499137995808</v>
      </c>
      <c r="BH815">
        <v>14.240134979411648</v>
      </c>
      <c r="BI815">
        <v>-2081.4449432330002</v>
      </c>
      <c r="BJ815">
        <v>0.20847863446332404</v>
      </c>
    </row>
    <row r="816" spans="3:62" x14ac:dyDescent="0.2">
      <c r="C816" s="121">
        <v>66773.547959085117</v>
      </c>
      <c r="D816">
        <v>17.676795799333842</v>
      </c>
      <c r="E816" s="121">
        <v>68886.566717613547</v>
      </c>
      <c r="F816" s="121">
        <v>17.550715599187839</v>
      </c>
      <c r="G816" s="121">
        <v>-2113.0187585284293</v>
      </c>
      <c r="H816" s="121">
        <v>0.12608020014600285</v>
      </c>
      <c r="N816" s="121"/>
      <c r="O816" s="121"/>
      <c r="P816" s="121"/>
      <c r="R816">
        <v>352.06402981442142</v>
      </c>
      <c r="S816">
        <v>51.116139482588075</v>
      </c>
      <c r="T816">
        <v>245.65325283392576</v>
      </c>
      <c r="U816">
        <v>79.815822316943866</v>
      </c>
      <c r="X816">
        <v>0.71533138503480176</v>
      </c>
      <c r="Y816">
        <v>0.72520861687926985</v>
      </c>
      <c r="Z816">
        <v>0.81080982863004936</v>
      </c>
      <c r="AA816">
        <v>0.86432136939715065</v>
      </c>
      <c r="AB816">
        <v>0.79587702900491131</v>
      </c>
      <c r="AC816">
        <v>0.82149770782471265</v>
      </c>
      <c r="AD816">
        <v>0.54536789298877808</v>
      </c>
      <c r="AE816">
        <v>0.7626260742362162</v>
      </c>
      <c r="AH816">
        <v>4.7418253825238788E-2</v>
      </c>
      <c r="AI816">
        <v>0.18155834844933627</v>
      </c>
      <c r="AJ816">
        <v>0.16726890378141113</v>
      </c>
      <c r="AK816">
        <v>8.2501744988992431E-2</v>
      </c>
      <c r="AL816">
        <v>0.14258953092050763</v>
      </c>
      <c r="AM816">
        <v>7.9667038222736797E-2</v>
      </c>
      <c r="AN816">
        <v>7.8230648431617533E-2</v>
      </c>
      <c r="AO816">
        <v>8.3830924870464729E-2</v>
      </c>
      <c r="AR816">
        <v>7.6305915616302453E-4</v>
      </c>
      <c r="AS816">
        <v>4.5714072607796474E-3</v>
      </c>
      <c r="AT816">
        <v>4.3441326466776564E-3</v>
      </c>
      <c r="AU816">
        <v>2.1514916439626663E-3</v>
      </c>
      <c r="AV816">
        <v>2.095576734095439E-3</v>
      </c>
      <c r="AW816">
        <v>3.5115461542544191E-3</v>
      </c>
      <c r="AX816">
        <v>3.1860713408214068E-4</v>
      </c>
      <c r="AY816">
        <v>4.2198830888807618E-4</v>
      </c>
      <c r="BB816">
        <v>5.0345494033210869E-2</v>
      </c>
      <c r="BC816">
        <v>4.1103818567392536E-2</v>
      </c>
      <c r="BE816">
        <v>66773.547959085117</v>
      </c>
      <c r="BF816">
        <v>17.676795799333842</v>
      </c>
      <c r="BG816">
        <v>68886.566717613547</v>
      </c>
      <c r="BH816">
        <v>17.550715599187839</v>
      </c>
      <c r="BI816">
        <v>-2113.0187585284293</v>
      </c>
      <c r="BJ816">
        <v>0.12608020014600285</v>
      </c>
    </row>
    <row r="817" spans="3:62" x14ac:dyDescent="0.2">
      <c r="C817" s="121">
        <v>67326.066686439081</v>
      </c>
      <c r="D817">
        <v>16.212505713608813</v>
      </c>
      <c r="E817" s="121">
        <v>68850.372689047566</v>
      </c>
      <c r="F817" s="121">
        <v>16.149369925391124</v>
      </c>
      <c r="G817" s="121">
        <v>-1524.3060026084859</v>
      </c>
      <c r="H817" s="121">
        <v>6.3135788217689282E-2</v>
      </c>
      <c r="N817" s="121"/>
      <c r="O817" s="121"/>
      <c r="P817" s="121"/>
      <c r="R817">
        <v>367.79750543909984</v>
      </c>
      <c r="S817">
        <v>61.695220276495988</v>
      </c>
      <c r="T817">
        <v>252.40990095685618</v>
      </c>
      <c r="U817">
        <v>92.18375331229511</v>
      </c>
      <c r="X817">
        <v>0.71512844576504486</v>
      </c>
      <c r="Y817">
        <v>0.91253278872971355</v>
      </c>
      <c r="Z817">
        <v>0.70202198559519702</v>
      </c>
      <c r="AA817">
        <v>0.73146581958763535</v>
      </c>
      <c r="AB817">
        <v>0.81073254197396027</v>
      </c>
      <c r="AC817">
        <v>0.82273471183302216</v>
      </c>
      <c r="AD817">
        <v>0.7355346300731973</v>
      </c>
      <c r="AE817">
        <v>0.91499545299639073</v>
      </c>
      <c r="AH817">
        <v>3.7403983390811635E-2</v>
      </c>
      <c r="AI817">
        <v>9.6757028406650458E-2</v>
      </c>
      <c r="AJ817">
        <v>2.344227076138361E-2</v>
      </c>
      <c r="AK817">
        <v>0.50590006245072316</v>
      </c>
      <c r="AL817">
        <v>0.18959632058589093</v>
      </c>
      <c r="AM817">
        <v>0.15524289679068626</v>
      </c>
      <c r="AN817">
        <v>0.17892096212747222</v>
      </c>
      <c r="AO817">
        <v>0.16742012166134979</v>
      </c>
      <c r="AR817">
        <v>8.4548861573312142E-4</v>
      </c>
      <c r="AS817">
        <v>4.523239215873498E-3</v>
      </c>
      <c r="AT817">
        <v>4.7550324019540319E-3</v>
      </c>
      <c r="AU817">
        <v>1.9662938576454976E-3</v>
      </c>
      <c r="AV817">
        <v>1.9319976710550492E-3</v>
      </c>
      <c r="AW817">
        <v>3.2172082343993303E-3</v>
      </c>
      <c r="AX817">
        <v>5.1949728125477712E-4</v>
      </c>
      <c r="AY817">
        <v>3.7136157560662834E-4</v>
      </c>
      <c r="BB817">
        <v>4.3797928828936412E-2</v>
      </c>
      <c r="BC817">
        <v>4.9188720207639869E-2</v>
      </c>
      <c r="BE817">
        <v>67326.066686439081</v>
      </c>
      <c r="BF817">
        <v>16.212505713608813</v>
      </c>
      <c r="BG817">
        <v>68850.372689047566</v>
      </c>
      <c r="BH817">
        <v>16.149369925391124</v>
      </c>
      <c r="BI817">
        <v>-1524.3060026084859</v>
      </c>
      <c r="BJ817">
        <v>6.3135788217689282E-2</v>
      </c>
    </row>
    <row r="818" spans="3:62" x14ac:dyDescent="0.2">
      <c r="C818" s="121">
        <v>69864.725714832326</v>
      </c>
      <c r="D818">
        <v>16.534946128048908</v>
      </c>
      <c r="E818" s="121">
        <v>71304.643117740314</v>
      </c>
      <c r="F818" s="121">
        <v>16.395111373843697</v>
      </c>
      <c r="G818" s="121">
        <v>-1439.9174029079877</v>
      </c>
      <c r="H818" s="121">
        <v>0.13983475420521074</v>
      </c>
      <c r="N818" s="121"/>
      <c r="O818" s="121"/>
      <c r="P818" s="121"/>
      <c r="R818">
        <v>199.39102634086152</v>
      </c>
      <c r="S818">
        <v>58.274289176053486</v>
      </c>
      <c r="T818">
        <v>230.28655906845458</v>
      </c>
      <c r="U818">
        <v>109.57889124825415</v>
      </c>
      <c r="X818">
        <v>0.87970438115319705</v>
      </c>
      <c r="Y818">
        <v>0.94892375999095191</v>
      </c>
      <c r="Z818">
        <v>0.76193815562538869</v>
      </c>
      <c r="AA818">
        <v>0.75074483732870256</v>
      </c>
      <c r="AB818">
        <v>0.51209914016259273</v>
      </c>
      <c r="AC818">
        <v>0.69598800448241349</v>
      </c>
      <c r="AD818">
        <v>0.81649944131199992</v>
      </c>
      <c r="AE818">
        <v>0.85849357419029271</v>
      </c>
      <c r="AH818">
        <v>0.14314888263646364</v>
      </c>
      <c r="AI818">
        <v>5.8911299153021845E-2</v>
      </c>
      <c r="AJ818">
        <v>8.5704088719526395E-2</v>
      </c>
      <c r="AK818">
        <v>9.7488149158504012E-2</v>
      </c>
      <c r="AL818">
        <v>6.8328011085505347E-2</v>
      </c>
      <c r="AM818">
        <v>9.0715383077352052E-2</v>
      </c>
      <c r="AN818">
        <v>0.18524004400669269</v>
      </c>
      <c r="AO818">
        <v>0.27248591318455273</v>
      </c>
      <c r="AR818">
        <v>8.5135116802727718E-4</v>
      </c>
      <c r="AS818">
        <v>4.930285475271301E-3</v>
      </c>
      <c r="AT818">
        <v>5.2149936533747443E-3</v>
      </c>
      <c r="AU818">
        <v>1.9317504932946561E-3</v>
      </c>
      <c r="AV818">
        <v>2.0070173554888049E-3</v>
      </c>
      <c r="AW818">
        <v>3.294947431981114E-3</v>
      </c>
      <c r="AX818">
        <v>3.595944158530771E-4</v>
      </c>
      <c r="AY818">
        <v>4.748246888899299E-4</v>
      </c>
      <c r="BB818">
        <v>5.2581086123882792E-2</v>
      </c>
      <c r="BC818">
        <v>3.4561317941740992E-2</v>
      </c>
      <c r="BE818">
        <v>69864.725714832326</v>
      </c>
      <c r="BF818">
        <v>16.534946128048908</v>
      </c>
      <c r="BG818">
        <v>71304.643117740314</v>
      </c>
      <c r="BH818">
        <v>16.395111373843697</v>
      </c>
      <c r="BI818">
        <v>-1439.9174029079877</v>
      </c>
      <c r="BJ818">
        <v>0.13983475420521074</v>
      </c>
    </row>
    <row r="819" spans="3:62" x14ac:dyDescent="0.2">
      <c r="C819" s="121">
        <v>76270.637651653422</v>
      </c>
      <c r="D819">
        <v>16.742526295027865</v>
      </c>
      <c r="E819" s="121">
        <v>77440.538884280453</v>
      </c>
      <c r="F819" s="121">
        <v>16.609657162102252</v>
      </c>
      <c r="G819" s="121">
        <v>-1169.9012326270313</v>
      </c>
      <c r="H819" s="121">
        <v>0.13286913292561309</v>
      </c>
      <c r="N819" s="121"/>
      <c r="O819" s="121"/>
      <c r="P819" s="121"/>
      <c r="R819">
        <v>302.08860888919941</v>
      </c>
      <c r="S819">
        <v>59.756397829600523</v>
      </c>
      <c r="T819">
        <v>220.92027069173474</v>
      </c>
      <c r="U819">
        <v>75.325888144246946</v>
      </c>
      <c r="X819">
        <v>0.70130507183598745</v>
      </c>
      <c r="Y819">
        <v>0.81180030392790381</v>
      </c>
      <c r="Z819">
        <v>0.77026913285809739</v>
      </c>
      <c r="AA819">
        <v>0.87789920396657672</v>
      </c>
      <c r="AB819">
        <v>0.69763503297406049</v>
      </c>
      <c r="AC819">
        <v>0.79512422452700637</v>
      </c>
      <c r="AD819">
        <v>0.62787108364697541</v>
      </c>
      <c r="AE819">
        <v>0.5646067582045462</v>
      </c>
      <c r="AH819">
        <v>0.19237413970302664</v>
      </c>
      <c r="AI819">
        <v>0.32105087993669135</v>
      </c>
      <c r="AJ819">
        <v>7.2029721905174426E-2</v>
      </c>
      <c r="AK819">
        <v>0.11327733499344572</v>
      </c>
      <c r="AL819">
        <v>5.8291047125738071E-3</v>
      </c>
      <c r="AM819">
        <v>0.10557386379608169</v>
      </c>
      <c r="AN819">
        <v>7.7033040395186991E-2</v>
      </c>
      <c r="AO819">
        <v>3.3344876370938636E-2</v>
      </c>
      <c r="AR819">
        <v>7.5058557312533095E-4</v>
      </c>
      <c r="AS819">
        <v>4.4299078428476279E-3</v>
      </c>
      <c r="AT819">
        <v>4.9923928792667827E-3</v>
      </c>
      <c r="AU819">
        <v>1.7826743001729838E-3</v>
      </c>
      <c r="AV819">
        <v>1.7317900188621295E-3</v>
      </c>
      <c r="AW819">
        <v>3.6853349970605853E-3</v>
      </c>
      <c r="AX819">
        <v>3.1674606487962139E-4</v>
      </c>
      <c r="AY819">
        <v>4.646112672421765E-4</v>
      </c>
      <c r="BB819">
        <v>5.495233208449013E-2</v>
      </c>
      <c r="BC819">
        <v>3.2814909587385449E-2</v>
      </c>
      <c r="BE819">
        <v>76270.637651653422</v>
      </c>
      <c r="BF819">
        <v>16.742526295027865</v>
      </c>
      <c r="BG819">
        <v>77440.538884280453</v>
      </c>
      <c r="BH819">
        <v>16.609657162102252</v>
      </c>
      <c r="BI819">
        <v>-1169.9012326270313</v>
      </c>
      <c r="BJ819">
        <v>0.13286913292561309</v>
      </c>
    </row>
    <row r="820" spans="3:62" x14ac:dyDescent="0.2">
      <c r="C820" s="121">
        <v>61525.199703773498</v>
      </c>
      <c r="D820">
        <v>19.416934555692517</v>
      </c>
      <c r="E820" s="121">
        <v>63164.734537813834</v>
      </c>
      <c r="F820" s="121">
        <v>19.334814288679617</v>
      </c>
      <c r="G820" s="121">
        <v>-1639.5348340403361</v>
      </c>
      <c r="H820" s="121">
        <v>8.2120267012900428E-2</v>
      </c>
      <c r="N820" s="121"/>
      <c r="O820" s="121"/>
      <c r="P820" s="121"/>
      <c r="R820">
        <v>303.53194261663333</v>
      </c>
      <c r="S820">
        <v>57.223791071359912</v>
      </c>
      <c r="T820">
        <v>259.89831786261203</v>
      </c>
      <c r="U820">
        <v>118.66531062028461</v>
      </c>
      <c r="X820">
        <v>0.63175525889350059</v>
      </c>
      <c r="Y820">
        <v>0.84709617556292238</v>
      </c>
      <c r="Z820">
        <v>0.88600513561621141</v>
      </c>
      <c r="AA820">
        <v>0.67914825680041868</v>
      </c>
      <c r="AB820">
        <v>0.75749345704627014</v>
      </c>
      <c r="AC820">
        <v>0.79189309580057721</v>
      </c>
      <c r="AD820">
        <v>0.79860067585417582</v>
      </c>
      <c r="AE820">
        <v>0.87486577010449951</v>
      </c>
      <c r="AH820">
        <v>4.9671304388004711E-2</v>
      </c>
      <c r="AI820">
        <v>0.1111774351485838</v>
      </c>
      <c r="AJ820">
        <v>5.4275566021756316E-2</v>
      </c>
      <c r="AK820">
        <v>0.17478198247570031</v>
      </c>
      <c r="AL820">
        <v>0.13197863177353408</v>
      </c>
      <c r="AM820">
        <v>0.51677652029583832</v>
      </c>
      <c r="AN820">
        <v>8.0701612316940952E-2</v>
      </c>
      <c r="AO820">
        <v>7.4606490261509784E-2</v>
      </c>
      <c r="AR820">
        <v>8.3821821971616752E-4</v>
      </c>
      <c r="AS820">
        <v>4.3412648652310154E-3</v>
      </c>
      <c r="AT820">
        <v>4.8162158237817403E-3</v>
      </c>
      <c r="AU820">
        <v>2.0204108075574378E-3</v>
      </c>
      <c r="AV820">
        <v>1.9873744928928729E-3</v>
      </c>
      <c r="AW820">
        <v>3.5220355956496752E-3</v>
      </c>
      <c r="AX820">
        <v>3.3311455019812753E-4</v>
      </c>
      <c r="AY820">
        <v>4.4479038098034452E-4</v>
      </c>
      <c r="BB820">
        <v>5.1598685853359472E-2</v>
      </c>
      <c r="BC820">
        <v>4.2677998075883836E-2</v>
      </c>
      <c r="BE820">
        <v>61525.199703773498</v>
      </c>
      <c r="BF820">
        <v>19.416934555692517</v>
      </c>
      <c r="BG820">
        <v>63164.734537813834</v>
      </c>
      <c r="BH820">
        <v>19.334814288679617</v>
      </c>
      <c r="BI820">
        <v>-1639.5348340403361</v>
      </c>
      <c r="BJ820">
        <v>8.2120267012900428E-2</v>
      </c>
    </row>
    <row r="821" spans="3:62" x14ac:dyDescent="0.2">
      <c r="C821" s="121">
        <v>58268.575486898408</v>
      </c>
      <c r="D821">
        <v>17.420680351518492</v>
      </c>
      <c r="E821" s="121">
        <v>59481.11963316788</v>
      </c>
      <c r="F821" s="121">
        <v>17.306277389276421</v>
      </c>
      <c r="G821" s="121">
        <v>-1212.5441462694725</v>
      </c>
      <c r="H821" s="121">
        <v>0.11440296224207103</v>
      </c>
      <c r="N821" s="121"/>
      <c r="O821" s="121"/>
      <c r="P821" s="121"/>
      <c r="R821">
        <v>339.19086846802219</v>
      </c>
      <c r="S821">
        <v>61.685986102689547</v>
      </c>
      <c r="T821">
        <v>231.14263951971992</v>
      </c>
      <c r="U821">
        <v>94.095798307822122</v>
      </c>
      <c r="X821">
        <v>0.68390406704045104</v>
      </c>
      <c r="Y821">
        <v>0.74979987948943561</v>
      </c>
      <c r="Z821">
        <v>0.91841877426618723</v>
      </c>
      <c r="AA821">
        <v>0.40165564184582903</v>
      </c>
      <c r="AB821">
        <v>0.62286186734035676</v>
      </c>
      <c r="AC821">
        <v>0.65574859074800507</v>
      </c>
      <c r="AD821">
        <v>0.62668921846170977</v>
      </c>
      <c r="AE821">
        <v>0.56085037832251616</v>
      </c>
      <c r="AH821">
        <v>5.1741143410574675E-2</v>
      </c>
      <c r="AI821">
        <v>0.10375525382981976</v>
      </c>
      <c r="AJ821">
        <v>0.14323075070809599</v>
      </c>
      <c r="AK821">
        <v>0.26149303803438739</v>
      </c>
      <c r="AL821">
        <v>8.0573458602245629E-2</v>
      </c>
      <c r="AM821">
        <v>1.4890098311099775E-2</v>
      </c>
      <c r="AN821">
        <v>8.1533552889653693E-2</v>
      </c>
      <c r="AO821">
        <v>0.1636520195558504</v>
      </c>
      <c r="AR821">
        <v>8.7651479637831161E-4</v>
      </c>
      <c r="AS821">
        <v>4.5776205639433964E-3</v>
      </c>
      <c r="AT821">
        <v>4.7660937825713635E-3</v>
      </c>
      <c r="AU821">
        <v>2.0664258810776381E-3</v>
      </c>
      <c r="AV821">
        <v>2.1729977782493082E-3</v>
      </c>
      <c r="AW821">
        <v>3.5816992720931751E-3</v>
      </c>
      <c r="AX821">
        <v>4.492353987028963E-4</v>
      </c>
      <c r="AY821">
        <v>3.5876773458210523E-4</v>
      </c>
      <c r="BB821">
        <v>5.3899021776167899E-2</v>
      </c>
      <c r="BC821">
        <v>0.1132330495130105</v>
      </c>
      <c r="BE821">
        <v>58268.575486898408</v>
      </c>
      <c r="BF821">
        <v>17.420680351518492</v>
      </c>
      <c r="BG821">
        <v>59481.11963316788</v>
      </c>
      <c r="BH821">
        <v>17.306277389276421</v>
      </c>
      <c r="BI821">
        <v>-1212.5441462694725</v>
      </c>
      <c r="BJ821">
        <v>0.11440296224207103</v>
      </c>
    </row>
    <row r="822" spans="3:62" x14ac:dyDescent="0.2">
      <c r="C822" s="121">
        <v>69986.389199305588</v>
      </c>
      <c r="D822">
        <v>15.419609785565136</v>
      </c>
      <c r="E822" s="121">
        <v>72129.867159847563</v>
      </c>
      <c r="F822" s="121">
        <v>15.332139790517475</v>
      </c>
      <c r="G822" s="121">
        <v>-2143.4779605419753</v>
      </c>
      <c r="H822" s="121">
        <v>8.7469995047660731E-2</v>
      </c>
      <c r="N822" s="121"/>
      <c r="O822" s="121"/>
      <c r="P822" s="121"/>
      <c r="R822">
        <v>130.30307116975007</v>
      </c>
      <c r="S822">
        <v>68.949637921925927</v>
      </c>
      <c r="T822">
        <v>209.43542233637018</v>
      </c>
      <c r="U822">
        <v>112.42804515467139</v>
      </c>
      <c r="X822">
        <v>0.76616705471609137</v>
      </c>
      <c r="Y822">
        <v>0.81011395251555762</v>
      </c>
      <c r="Z822">
        <v>0.80597648774695996</v>
      </c>
      <c r="AA822">
        <v>0.68446164781042984</v>
      </c>
      <c r="AB822">
        <v>0.73727571236388456</v>
      </c>
      <c r="AC822">
        <v>0.61790820048016659</v>
      </c>
      <c r="AD822">
        <v>0.65244377502245088</v>
      </c>
      <c r="AE822">
        <v>0.85251626488582777</v>
      </c>
      <c r="AH822">
        <v>0.10447551203107408</v>
      </c>
      <c r="AI822">
        <v>0.14694452034558447</v>
      </c>
      <c r="AJ822">
        <v>0.15703244456132748</v>
      </c>
      <c r="AK822">
        <v>0.10328439922989252</v>
      </c>
      <c r="AL822">
        <v>0.11526684272026744</v>
      </c>
      <c r="AM822">
        <v>3.822772315685663E-2</v>
      </c>
      <c r="AN822">
        <v>0.15268596178602145</v>
      </c>
      <c r="AO822">
        <v>0.11233657956053034</v>
      </c>
      <c r="AR822">
        <v>9.4747067105105387E-4</v>
      </c>
      <c r="AS822">
        <v>4.5021424290202505E-3</v>
      </c>
      <c r="AT822">
        <v>4.8562445345782983E-3</v>
      </c>
      <c r="AU822">
        <v>2.1890985035188937E-3</v>
      </c>
      <c r="AV822">
        <v>2.1900796124759703E-3</v>
      </c>
      <c r="AW822">
        <v>3.5765923822654866E-3</v>
      </c>
      <c r="AX822">
        <v>3.1074917486453114E-4</v>
      </c>
      <c r="AY822">
        <v>3.4206323317450697E-4</v>
      </c>
      <c r="BB822">
        <v>5.1966493216966003E-2</v>
      </c>
      <c r="BC822">
        <v>6.1095271836600906E-2</v>
      </c>
      <c r="BE822">
        <v>69986.389199305588</v>
      </c>
      <c r="BF822">
        <v>15.419609785565136</v>
      </c>
      <c r="BG822">
        <v>72129.867159847563</v>
      </c>
      <c r="BH822">
        <v>15.332139790517475</v>
      </c>
      <c r="BI822">
        <v>-2143.4779605419753</v>
      </c>
      <c r="BJ822">
        <v>8.7469995047660731E-2</v>
      </c>
    </row>
    <row r="823" spans="3:62" x14ac:dyDescent="0.2">
      <c r="C823" s="121">
        <v>68325.812632771151</v>
      </c>
      <c r="D823">
        <v>16.19453923810849</v>
      </c>
      <c r="E823" s="121">
        <v>69206.881694800235</v>
      </c>
      <c r="F823" s="121">
        <v>16.080922730562161</v>
      </c>
      <c r="G823" s="121">
        <v>-881.06906202908431</v>
      </c>
      <c r="H823" s="121">
        <v>0.1136165075463289</v>
      </c>
      <c r="N823" s="121"/>
      <c r="O823" s="121"/>
      <c r="P823" s="121"/>
      <c r="R823">
        <v>322.73735878791797</v>
      </c>
      <c r="S823">
        <v>58.835485929245721</v>
      </c>
      <c r="T823">
        <v>272.35257762915586</v>
      </c>
      <c r="U823">
        <v>79.563865297194113</v>
      </c>
      <c r="X823">
        <v>0.8247804869047578</v>
      </c>
      <c r="Y823">
        <v>0.73292345427497108</v>
      </c>
      <c r="Z823">
        <v>0.83646198101983826</v>
      </c>
      <c r="AA823">
        <v>0.72604594504751141</v>
      </c>
      <c r="AB823">
        <v>0.73743117429289184</v>
      </c>
      <c r="AC823">
        <v>0.74879727859179246</v>
      </c>
      <c r="AD823">
        <v>0.60368773178506718</v>
      </c>
      <c r="AE823">
        <v>0.77427507376036331</v>
      </c>
      <c r="AH823">
        <v>7.2675610115190081E-2</v>
      </c>
      <c r="AI823">
        <v>0.15032202799741679</v>
      </c>
      <c r="AJ823">
        <v>0.22056709588103407</v>
      </c>
      <c r="AK823">
        <v>0.26712027129700811</v>
      </c>
      <c r="AL823">
        <v>0.22484072638722463</v>
      </c>
      <c r="AM823">
        <v>6.7152273556683184E-3</v>
      </c>
      <c r="AN823">
        <v>7.384804025685221E-2</v>
      </c>
      <c r="AO823">
        <v>0.16993044316606609</v>
      </c>
      <c r="AR823">
        <v>8.1663446478417339E-4</v>
      </c>
      <c r="AS823">
        <v>4.9211044644545954E-3</v>
      </c>
      <c r="AT823">
        <v>5.096466540087996E-3</v>
      </c>
      <c r="AU823">
        <v>1.9892400192543418E-3</v>
      </c>
      <c r="AV823">
        <v>2.1901239993469268E-3</v>
      </c>
      <c r="AW823">
        <v>3.5799365236265368E-3</v>
      </c>
      <c r="AX823">
        <v>3.7882546162352468E-4</v>
      </c>
      <c r="AY823">
        <v>5.5474227254204145E-4</v>
      </c>
      <c r="BB823">
        <v>4.4117984723712728E-2</v>
      </c>
      <c r="BC823">
        <v>8.6473803918574399E-2</v>
      </c>
      <c r="BE823">
        <v>68325.812632771151</v>
      </c>
      <c r="BF823">
        <v>16.19453923810849</v>
      </c>
      <c r="BG823">
        <v>69206.881694800235</v>
      </c>
      <c r="BH823">
        <v>16.080922730562161</v>
      </c>
      <c r="BI823">
        <v>-881.06906202908431</v>
      </c>
      <c r="BJ823">
        <v>0.1136165075463289</v>
      </c>
    </row>
    <row r="824" spans="3:62" x14ac:dyDescent="0.2">
      <c r="C824" s="121">
        <v>63692.95164167045</v>
      </c>
      <c r="D824">
        <v>17.934386411828147</v>
      </c>
      <c r="E824" s="121">
        <v>65067.34426534942</v>
      </c>
      <c r="F824" s="121">
        <v>17.831518242303421</v>
      </c>
      <c r="G824" s="121">
        <v>-1374.3926236789703</v>
      </c>
      <c r="H824" s="121">
        <v>0.10286816952472577</v>
      </c>
      <c r="N824" s="121"/>
      <c r="O824" s="121"/>
      <c r="P824" s="121"/>
      <c r="R824">
        <v>327.59413776669555</v>
      </c>
      <c r="S824">
        <v>64.017332932328188</v>
      </c>
      <c r="T824">
        <v>306.99576355091892</v>
      </c>
      <c r="U824">
        <v>85.795399861145086</v>
      </c>
      <c r="X824">
        <v>0.76215009031226966</v>
      </c>
      <c r="Y824">
        <v>0.80345146353605468</v>
      </c>
      <c r="Z824">
        <v>0.71028218934989096</v>
      </c>
      <c r="AA824">
        <v>0.67452076815567763</v>
      </c>
      <c r="AB824">
        <v>0.36378284598266541</v>
      </c>
      <c r="AC824">
        <v>0.75230584317129612</v>
      </c>
      <c r="AD824">
        <v>0.73766920630077926</v>
      </c>
      <c r="AE824">
        <v>0.9112010091248286</v>
      </c>
      <c r="AH824">
        <v>0.21231010781808357</v>
      </c>
      <c r="AI824">
        <v>9.115626120388387E-2</v>
      </c>
      <c r="AJ824">
        <v>9.6131540105261148E-2</v>
      </c>
      <c r="AK824">
        <v>0.19982498814708138</v>
      </c>
      <c r="AL824">
        <v>0.22293735505852996</v>
      </c>
      <c r="AM824">
        <v>5.4131400501810312E-2</v>
      </c>
      <c r="AN824">
        <v>9.2079493092682596E-2</v>
      </c>
      <c r="AO824">
        <v>0.1881433253399698</v>
      </c>
      <c r="AR824">
        <v>9.2844887539977883E-4</v>
      </c>
      <c r="AS824">
        <v>4.5595334430151846E-3</v>
      </c>
      <c r="AT824">
        <v>4.9322374024713105E-3</v>
      </c>
      <c r="AU824">
        <v>1.7118815978002858E-3</v>
      </c>
      <c r="AV824">
        <v>1.8579617657211633E-3</v>
      </c>
      <c r="AW824">
        <v>3.3753113345154329E-3</v>
      </c>
      <c r="AX824">
        <v>4.2580497389921312E-4</v>
      </c>
      <c r="AY824">
        <v>4.2037995552391316E-4</v>
      </c>
      <c r="BB824">
        <v>4.8125347904783629E-2</v>
      </c>
      <c r="BC824">
        <v>4.3075167963480224E-2</v>
      </c>
      <c r="BE824">
        <v>63692.95164167045</v>
      </c>
      <c r="BF824">
        <v>17.934386411828147</v>
      </c>
      <c r="BG824">
        <v>65067.34426534942</v>
      </c>
      <c r="BH824">
        <v>17.831518242303421</v>
      </c>
      <c r="BI824">
        <v>-1374.3926236789703</v>
      </c>
      <c r="BJ824">
        <v>0.10286816952472577</v>
      </c>
    </row>
    <row r="825" spans="3:62" x14ac:dyDescent="0.2">
      <c r="C825" s="121">
        <v>65253.997747489993</v>
      </c>
      <c r="D825">
        <v>16.630561918739481</v>
      </c>
      <c r="E825" s="121">
        <v>66335.403696985129</v>
      </c>
      <c r="F825" s="121">
        <v>16.534382683346898</v>
      </c>
      <c r="G825" s="121">
        <v>-1081.4059494951362</v>
      </c>
      <c r="H825" s="121">
        <v>9.6179235392582996E-2</v>
      </c>
      <c r="N825" s="121"/>
      <c r="O825" s="121"/>
      <c r="P825" s="121"/>
      <c r="R825">
        <v>270.6857139606999</v>
      </c>
      <c r="S825">
        <v>61.296788701145701</v>
      </c>
      <c r="T825">
        <v>262.80869451004725</v>
      </c>
      <c r="U825">
        <v>88.395297239910676</v>
      </c>
      <c r="X825">
        <v>0.60933497556281735</v>
      </c>
      <c r="Y825">
        <v>0.91628678512348638</v>
      </c>
      <c r="Z825">
        <v>0.62391097470879486</v>
      </c>
      <c r="AA825">
        <v>0.8774299568860876</v>
      </c>
      <c r="AB825">
        <v>0.82708505485914141</v>
      </c>
      <c r="AC825">
        <v>0.90807835848175156</v>
      </c>
      <c r="AD825">
        <v>0.77632486491448038</v>
      </c>
      <c r="AE825">
        <v>0.78785181321542097</v>
      </c>
      <c r="AH825">
        <v>4.6745844515647672E-2</v>
      </c>
      <c r="AI825">
        <v>0.10184135660146543</v>
      </c>
      <c r="AJ825">
        <v>5.2243658977203289E-2</v>
      </c>
      <c r="AK825">
        <v>6.7198883650101293E-2</v>
      </c>
      <c r="AL825">
        <v>3.7582716546835981E-2</v>
      </c>
      <c r="AM825">
        <v>0.18125935644009872</v>
      </c>
      <c r="AN825">
        <v>0.17149811813132243</v>
      </c>
      <c r="AO825">
        <v>0.14781221500322284</v>
      </c>
      <c r="AR825">
        <v>8.3064904428911831E-4</v>
      </c>
      <c r="AS825">
        <v>4.300255059049859E-3</v>
      </c>
      <c r="AT825">
        <v>4.8630690239598673E-3</v>
      </c>
      <c r="AU825">
        <v>1.761162324909806E-3</v>
      </c>
      <c r="AV825">
        <v>2.2045561833187177E-3</v>
      </c>
      <c r="AW825">
        <v>3.2057124356504891E-3</v>
      </c>
      <c r="AX825">
        <v>4.6082159319937865E-4</v>
      </c>
      <c r="AY825">
        <v>4.9256889409310389E-4</v>
      </c>
      <c r="BB825">
        <v>5.1269605416412234E-2</v>
      </c>
      <c r="BC825">
        <v>9.9243558884538396E-2</v>
      </c>
      <c r="BE825">
        <v>65253.997747489993</v>
      </c>
      <c r="BF825">
        <v>16.630561918739481</v>
      </c>
      <c r="BG825">
        <v>66335.403696985129</v>
      </c>
      <c r="BH825">
        <v>16.534382683346898</v>
      </c>
      <c r="BI825">
        <v>-1081.4059494951362</v>
      </c>
      <c r="BJ825">
        <v>9.6179235392582996E-2</v>
      </c>
    </row>
    <row r="826" spans="3:62" x14ac:dyDescent="0.2">
      <c r="C826" s="121">
        <v>64808.681744624984</v>
      </c>
      <c r="D826">
        <v>16.731046177111899</v>
      </c>
      <c r="E826" s="121">
        <v>65487.708056546013</v>
      </c>
      <c r="F826" s="121">
        <v>16.664737543457857</v>
      </c>
      <c r="G826" s="121">
        <v>-679.02631192102854</v>
      </c>
      <c r="H826" s="121">
        <v>6.6308633654042382E-2</v>
      </c>
      <c r="N826" s="121"/>
      <c r="O826" s="121"/>
      <c r="P826" s="121"/>
      <c r="R826">
        <v>196.84390183861908</v>
      </c>
      <c r="S826">
        <v>67.404094022110499</v>
      </c>
      <c r="T826">
        <v>245.9645421864069</v>
      </c>
      <c r="U826">
        <v>77.208081756935158</v>
      </c>
      <c r="X826">
        <v>0.83888665939406826</v>
      </c>
      <c r="Y826">
        <v>0.77310543238595508</v>
      </c>
      <c r="Z826">
        <v>0.58324420732901705</v>
      </c>
      <c r="AA826">
        <v>0.87690871063693354</v>
      </c>
      <c r="AB826">
        <v>0.39225219132932815</v>
      </c>
      <c r="AC826">
        <v>0.61438065830376265</v>
      </c>
      <c r="AD826">
        <v>0.89360322300158734</v>
      </c>
      <c r="AE826">
        <v>0.86635493586624301</v>
      </c>
      <c r="AH826">
        <v>0.12404797399509282</v>
      </c>
      <c r="AI826">
        <v>0.1338605035706617</v>
      </c>
      <c r="AJ826">
        <v>7.0755467970307961E-2</v>
      </c>
      <c r="AK826">
        <v>9.6874309620852084E-2</v>
      </c>
      <c r="AL826">
        <v>6.5345235673400337E-2</v>
      </c>
      <c r="AM826">
        <v>0.10338178702853007</v>
      </c>
      <c r="AN826">
        <v>8.6072269829146286E-2</v>
      </c>
      <c r="AO826">
        <v>4.9771117219500338E-2</v>
      </c>
      <c r="AR826">
        <v>1.0205268998847439E-3</v>
      </c>
      <c r="AS826">
        <v>4.2634617617199012E-3</v>
      </c>
      <c r="AT826">
        <v>4.9538281350397506E-3</v>
      </c>
      <c r="AU826">
        <v>2.099395993450881E-3</v>
      </c>
      <c r="AV826">
        <v>2.0077839173345824E-3</v>
      </c>
      <c r="AW826">
        <v>3.5641915030822924E-3</v>
      </c>
      <c r="AX826">
        <v>2.8608413905922007E-4</v>
      </c>
      <c r="AY826">
        <v>5.0816621669746986E-4</v>
      </c>
      <c r="BB826">
        <v>5.6023190427857972E-2</v>
      </c>
      <c r="BC826">
        <v>3.8435286096236324E-2</v>
      </c>
      <c r="BE826">
        <v>64808.681744624984</v>
      </c>
      <c r="BF826">
        <v>16.731046177111899</v>
      </c>
      <c r="BG826">
        <v>65487.708056546013</v>
      </c>
      <c r="BH826">
        <v>16.664737543457857</v>
      </c>
      <c r="BI826">
        <v>-679.02631192102854</v>
      </c>
      <c r="BJ826">
        <v>6.6308633654042382E-2</v>
      </c>
    </row>
    <row r="827" spans="3:62" x14ac:dyDescent="0.2">
      <c r="C827" s="121">
        <v>69863.758737610406</v>
      </c>
      <c r="D827">
        <v>16.441928901548529</v>
      </c>
      <c r="E827" s="121">
        <v>71024.814586458539</v>
      </c>
      <c r="F827" s="121">
        <v>16.325908862793497</v>
      </c>
      <c r="G827" s="121">
        <v>-1161.0558488481329</v>
      </c>
      <c r="H827" s="121">
        <v>0.11602003875503186</v>
      </c>
      <c r="N827" s="121"/>
      <c r="O827" s="121"/>
      <c r="P827" s="121"/>
      <c r="R827">
        <v>191.76697928671044</v>
      </c>
      <c r="S827">
        <v>73.202626361102134</v>
      </c>
      <c r="T827">
        <v>215.54994113365854</v>
      </c>
      <c r="U827">
        <v>102.48914273429017</v>
      </c>
      <c r="X827">
        <v>0.6838620780900222</v>
      </c>
      <c r="Y827">
        <v>0.74457865453578964</v>
      </c>
      <c r="Z827">
        <v>0.65765161967662999</v>
      </c>
      <c r="AA827">
        <v>0.89546988812146444</v>
      </c>
      <c r="AB827">
        <v>0.86944901882659087</v>
      </c>
      <c r="AC827">
        <v>0.80972329083220118</v>
      </c>
      <c r="AD827">
        <v>0.6563033203348031</v>
      </c>
      <c r="AE827">
        <v>0.74003694908027295</v>
      </c>
      <c r="AH827">
        <v>3.1628558692793352E-2</v>
      </c>
      <c r="AI827">
        <v>5.1978917394511548E-2</v>
      </c>
      <c r="AJ827">
        <v>7.847588242895287E-2</v>
      </c>
      <c r="AK827">
        <v>0.17845042911170139</v>
      </c>
      <c r="AL827">
        <v>3.3628163370787778E-2</v>
      </c>
      <c r="AM827">
        <v>4.7144450934794246E-2</v>
      </c>
      <c r="AN827">
        <v>4.6467490670181966E-2</v>
      </c>
      <c r="AO827">
        <v>0.12216424535606119</v>
      </c>
      <c r="AR827">
        <v>1.0217387511572973E-3</v>
      </c>
      <c r="AS827">
        <v>4.2914473162099709E-3</v>
      </c>
      <c r="AT827">
        <v>4.9287704388107775E-3</v>
      </c>
      <c r="AU827">
        <v>2.0513290705583831E-3</v>
      </c>
      <c r="AV827">
        <v>2.0543064329657801E-3</v>
      </c>
      <c r="AW827">
        <v>3.1916716318755463E-3</v>
      </c>
      <c r="AX827">
        <v>4.0757243492806072E-4</v>
      </c>
      <c r="AY827">
        <v>5.1522701245443336E-4</v>
      </c>
      <c r="BB827">
        <v>5.2984563978531574E-2</v>
      </c>
      <c r="BC827">
        <v>1.1890355354171669E-2</v>
      </c>
      <c r="BE827">
        <v>69863.758737610406</v>
      </c>
      <c r="BF827">
        <v>16.441928901548529</v>
      </c>
      <c r="BG827">
        <v>71024.814586458539</v>
      </c>
      <c r="BH827">
        <v>16.325908862793497</v>
      </c>
      <c r="BI827">
        <v>-1161.0558488481329</v>
      </c>
      <c r="BJ827">
        <v>0.11602003875503186</v>
      </c>
    </row>
    <row r="828" spans="3:62" x14ac:dyDescent="0.2">
      <c r="C828" s="121">
        <v>66352.020034548259</v>
      </c>
      <c r="D828">
        <v>17.068277599310328</v>
      </c>
      <c r="E828" s="121">
        <v>67819.106854237238</v>
      </c>
      <c r="F828" s="121">
        <v>16.932699904577376</v>
      </c>
      <c r="G828" s="121">
        <v>-1467.0868196889787</v>
      </c>
      <c r="H828" s="121">
        <v>0.13557769473295167</v>
      </c>
      <c r="N828" s="121"/>
      <c r="O828" s="121"/>
      <c r="P828" s="121"/>
      <c r="R828">
        <v>284.62297820463402</v>
      </c>
      <c r="S828">
        <v>56.683886633223239</v>
      </c>
      <c r="T828">
        <v>263.15767530195831</v>
      </c>
      <c r="U828">
        <v>89.765683533338489</v>
      </c>
      <c r="X828">
        <v>0.77038063247650723</v>
      </c>
      <c r="Y828">
        <v>0.82289241445812022</v>
      </c>
      <c r="Z828">
        <v>0.83788401456120287</v>
      </c>
      <c r="AA828">
        <v>0.81076886545916083</v>
      </c>
      <c r="AB828">
        <v>0.66886474632351822</v>
      </c>
      <c r="AC828">
        <v>0.75386138626019084</v>
      </c>
      <c r="AD828">
        <v>0.5383201408674938</v>
      </c>
      <c r="AE828">
        <v>0.82404620629554559</v>
      </c>
      <c r="AH828">
        <v>0.17653788654670677</v>
      </c>
      <c r="AI828">
        <v>0.20926399351848668</v>
      </c>
      <c r="AJ828">
        <v>0.22195858464267537</v>
      </c>
      <c r="AK828">
        <v>7.2858649806412323E-2</v>
      </c>
      <c r="AL828">
        <v>0.12586355926220316</v>
      </c>
      <c r="AM828">
        <v>0.18025325855069851</v>
      </c>
      <c r="AN828">
        <v>3.6208237407413191E-2</v>
      </c>
      <c r="AO828">
        <v>2.3229855810468547E-2</v>
      </c>
      <c r="AR828">
        <v>1.0242275399028333E-3</v>
      </c>
      <c r="AS828">
        <v>4.1827762688959064E-3</v>
      </c>
      <c r="AT828">
        <v>5.0369358947639498E-3</v>
      </c>
      <c r="AU828">
        <v>1.7227741737483758E-3</v>
      </c>
      <c r="AV828">
        <v>1.6994455351680708E-3</v>
      </c>
      <c r="AW828">
        <v>3.4390813332381143E-3</v>
      </c>
      <c r="AX828">
        <v>4.4694144671253433E-4</v>
      </c>
      <c r="AY828">
        <v>3.7700588554250334E-4</v>
      </c>
      <c r="BB828">
        <v>5.869147561792476E-2</v>
      </c>
      <c r="BC828">
        <v>8.287624369877078E-2</v>
      </c>
      <c r="BE828">
        <v>66352.020034548259</v>
      </c>
      <c r="BF828">
        <v>17.068277599310328</v>
      </c>
      <c r="BG828">
        <v>67819.106854237238</v>
      </c>
      <c r="BH828">
        <v>16.932699904577376</v>
      </c>
      <c r="BI828">
        <v>-1467.0868196889787</v>
      </c>
      <c r="BJ828">
        <v>0.13557769473295167</v>
      </c>
    </row>
    <row r="829" spans="3:62" x14ac:dyDescent="0.2">
      <c r="C829" s="121">
        <v>67052.849014118605</v>
      </c>
      <c r="D829">
        <v>14.208731208083597</v>
      </c>
      <c r="E829" s="121">
        <v>68962.874155972881</v>
      </c>
      <c r="F829" s="121">
        <v>14.067552690333176</v>
      </c>
      <c r="G829" s="121">
        <v>-1910.0251418542757</v>
      </c>
      <c r="H829" s="121">
        <v>0.14117851775042034</v>
      </c>
      <c r="N829" s="121"/>
      <c r="O829" s="121"/>
      <c r="P829" s="121"/>
      <c r="R829">
        <v>4.7494853202333331</v>
      </c>
      <c r="S829">
        <v>54.671938331775102</v>
      </c>
      <c r="T829">
        <v>240.02739301323214</v>
      </c>
      <c r="U829">
        <v>97.25715340138504</v>
      </c>
      <c r="X829">
        <v>0.63160078631556915</v>
      </c>
      <c r="Y829">
        <v>0.78466006373951946</v>
      </c>
      <c r="Z829">
        <v>0.83140720960593961</v>
      </c>
      <c r="AA829">
        <v>0.77286875027485435</v>
      </c>
      <c r="AB829">
        <v>0.76184478665258659</v>
      </c>
      <c r="AC829">
        <v>0.59647776240146122</v>
      </c>
      <c r="AD829">
        <v>0.54235392160387952</v>
      </c>
      <c r="AE829">
        <v>0.74754120338616226</v>
      </c>
      <c r="AH829">
        <v>0.16060996138317352</v>
      </c>
      <c r="AI829">
        <v>1.8082483534844984E-2</v>
      </c>
      <c r="AJ829">
        <v>0.1266453444737522</v>
      </c>
      <c r="AK829">
        <v>0.10021781169622757</v>
      </c>
      <c r="AL829">
        <v>2.2058672826140935E-2</v>
      </c>
      <c r="AM829">
        <v>8.2722513224288807E-2</v>
      </c>
      <c r="AN829">
        <v>0.12204134947153134</v>
      </c>
      <c r="AO829">
        <v>0.17232038706213604</v>
      </c>
      <c r="AR829">
        <v>8.4454716507746262E-4</v>
      </c>
      <c r="AS829">
        <v>4.7264817280069371E-3</v>
      </c>
      <c r="AT829">
        <v>5.1428916702689342E-3</v>
      </c>
      <c r="AU829">
        <v>2.0298152137948611E-3</v>
      </c>
      <c r="AV829">
        <v>2.2680755484068005E-3</v>
      </c>
      <c r="AW829">
        <v>3.5228901383054234E-3</v>
      </c>
      <c r="AX829">
        <v>4.1775918622632968E-4</v>
      </c>
      <c r="AY829">
        <v>5.7239666653674526E-4</v>
      </c>
      <c r="BB829">
        <v>5.0658021632502659E-2</v>
      </c>
      <c r="BC829">
        <v>4.5497523280089408E-2</v>
      </c>
      <c r="BE829">
        <v>67052.849014118605</v>
      </c>
      <c r="BF829">
        <v>14.208731208083597</v>
      </c>
      <c r="BG829">
        <v>68962.874155972881</v>
      </c>
      <c r="BH829">
        <v>14.067552690333176</v>
      </c>
      <c r="BI829">
        <v>-1910.0251418542757</v>
      </c>
      <c r="BJ829">
        <v>0.14117851775042034</v>
      </c>
    </row>
    <row r="830" spans="3:62" x14ac:dyDescent="0.2">
      <c r="C830" s="121">
        <v>69027.558158495987</v>
      </c>
      <c r="D830">
        <v>17.767983975105921</v>
      </c>
      <c r="E830" s="121">
        <v>70895.794496794682</v>
      </c>
      <c r="F830" s="121">
        <v>17.634966051624538</v>
      </c>
      <c r="G830" s="121">
        <v>-1868.236338298695</v>
      </c>
      <c r="H830" s="121">
        <v>0.13301792348138264</v>
      </c>
      <c r="N830" s="121"/>
      <c r="O830" s="121"/>
      <c r="P830" s="121"/>
      <c r="R830">
        <v>276.08190756313849</v>
      </c>
      <c r="S830">
        <v>63.768144266576897</v>
      </c>
      <c r="T830">
        <v>223.9975755631105</v>
      </c>
      <c r="U830">
        <v>71.710527403304155</v>
      </c>
      <c r="X830">
        <v>0.76956840179813768</v>
      </c>
      <c r="Y830">
        <v>0.89651914061333482</v>
      </c>
      <c r="Z830">
        <v>0.70306968593389774</v>
      </c>
      <c r="AA830">
        <v>0.92975919127151763</v>
      </c>
      <c r="AB830">
        <v>0.44349885707964198</v>
      </c>
      <c r="AC830">
        <v>0.82773405183864857</v>
      </c>
      <c r="AD830">
        <v>0.69648685038925917</v>
      </c>
      <c r="AE830">
        <v>0.74929038207622034</v>
      </c>
      <c r="AH830">
        <v>3.3164748145020573E-2</v>
      </c>
      <c r="AI830">
        <v>2.4574179643222172E-2</v>
      </c>
      <c r="AJ830">
        <v>8.3413842538825556E-2</v>
      </c>
      <c r="AK830">
        <v>9.9641388651865448E-3</v>
      </c>
      <c r="AL830">
        <v>0.18921380607526372</v>
      </c>
      <c r="AM830">
        <v>4.993155641312752E-2</v>
      </c>
      <c r="AN830">
        <v>0.27432991392489103</v>
      </c>
      <c r="AO830">
        <v>0.14779942315814709</v>
      </c>
      <c r="AR830">
        <v>8.4741058877348574E-4</v>
      </c>
      <c r="AS830">
        <v>4.0158171977411009E-3</v>
      </c>
      <c r="AT830">
        <v>4.9319750401281351E-3</v>
      </c>
      <c r="AU830">
        <v>1.7286549631982488E-3</v>
      </c>
      <c r="AV830">
        <v>2.1509440114430012E-3</v>
      </c>
      <c r="AW830">
        <v>3.5619121492634909E-3</v>
      </c>
      <c r="AX830">
        <v>4.9296043306412685E-4</v>
      </c>
      <c r="AY830">
        <v>5.4804962517251976E-4</v>
      </c>
      <c r="BB830">
        <v>6.0247979922402495E-2</v>
      </c>
      <c r="BC830">
        <v>7.8318102739095674E-2</v>
      </c>
      <c r="BE830">
        <v>69027.558158495987</v>
      </c>
      <c r="BF830">
        <v>17.767983975105921</v>
      </c>
      <c r="BG830">
        <v>70895.794496794682</v>
      </c>
      <c r="BH830">
        <v>17.634966051624538</v>
      </c>
      <c r="BI830">
        <v>-1868.236338298695</v>
      </c>
      <c r="BJ830">
        <v>0.13301792348138264</v>
      </c>
    </row>
    <row r="831" spans="3:62" x14ac:dyDescent="0.2">
      <c r="C831" s="121">
        <v>73756.52563295525</v>
      </c>
      <c r="D831">
        <v>16.588772670567735</v>
      </c>
      <c r="E831" s="121">
        <v>74777.290768109684</v>
      </c>
      <c r="F831" s="121">
        <v>16.478160604228979</v>
      </c>
      <c r="G831" s="121">
        <v>-1020.7651351544337</v>
      </c>
      <c r="H831" s="121">
        <v>0.11061206633875642</v>
      </c>
      <c r="N831" s="121"/>
      <c r="O831" s="121"/>
      <c r="P831" s="121"/>
      <c r="R831">
        <v>296.22710321938916</v>
      </c>
      <c r="S831">
        <v>64.103804161587661</v>
      </c>
      <c r="T831">
        <v>260.04447722438982</v>
      </c>
      <c r="U831">
        <v>85.678815603549083</v>
      </c>
      <c r="X831">
        <v>0.68336521790439375</v>
      </c>
      <c r="Y831">
        <v>0.79155535862104309</v>
      </c>
      <c r="Z831">
        <v>0.76508049048472604</v>
      </c>
      <c r="AA831">
        <v>0.7607879688793624</v>
      </c>
      <c r="AB831">
        <v>0.80137637445734466</v>
      </c>
      <c r="AC831">
        <v>0.78766592880588837</v>
      </c>
      <c r="AD831">
        <v>0.78306457134394125</v>
      </c>
      <c r="AE831">
        <v>0.66614315547588421</v>
      </c>
      <c r="AH831">
        <v>0.11966264372778035</v>
      </c>
      <c r="AI831">
        <v>4.8919517653458922E-2</v>
      </c>
      <c r="AJ831">
        <v>7.743628975288952E-2</v>
      </c>
      <c r="AK831">
        <v>0.1301651620696801</v>
      </c>
      <c r="AL831">
        <v>7.919040564815738E-2</v>
      </c>
      <c r="AM831">
        <v>1.2625622156616667E-2</v>
      </c>
      <c r="AN831">
        <v>0.11226954394989397</v>
      </c>
      <c r="AO831">
        <v>8.3009103956212305E-2</v>
      </c>
      <c r="AR831">
        <v>6.5859203604723892E-4</v>
      </c>
      <c r="AS831">
        <v>4.2425341977397968E-3</v>
      </c>
      <c r="AT831">
        <v>5.0348802208357579E-3</v>
      </c>
      <c r="AU831">
        <v>1.8679010003071197E-3</v>
      </c>
      <c r="AV831">
        <v>1.8532759127242002E-3</v>
      </c>
      <c r="AW831">
        <v>3.3470641824860084E-3</v>
      </c>
      <c r="AX831">
        <v>4.2533268348932118E-4</v>
      </c>
      <c r="AY831">
        <v>3.4747294981209349E-4</v>
      </c>
      <c r="BB831">
        <v>4.7458134477898178E-2</v>
      </c>
      <c r="BC831">
        <v>3.8463001218381282E-2</v>
      </c>
      <c r="BE831">
        <v>73756.52563295525</v>
      </c>
      <c r="BF831">
        <v>16.588772670567735</v>
      </c>
      <c r="BG831">
        <v>74777.290768109684</v>
      </c>
      <c r="BH831">
        <v>16.478160604228979</v>
      </c>
      <c r="BI831">
        <v>-1020.7651351544337</v>
      </c>
      <c r="BJ831">
        <v>0.11061206633875642</v>
      </c>
    </row>
    <row r="832" spans="3:62" x14ac:dyDescent="0.2">
      <c r="C832" s="121">
        <v>63626.079788046547</v>
      </c>
      <c r="D832">
        <v>17.486734072754146</v>
      </c>
      <c r="E832" s="121">
        <v>64885.478347305172</v>
      </c>
      <c r="F832" s="121">
        <v>17.436357992107688</v>
      </c>
      <c r="G832" s="121">
        <v>-1259.398559258625</v>
      </c>
      <c r="H832" s="121">
        <v>5.0376080646458377E-2</v>
      </c>
      <c r="N832" s="121"/>
      <c r="O832" s="121"/>
      <c r="P832" s="121"/>
      <c r="R832">
        <v>244.05343809161454</v>
      </c>
      <c r="S832">
        <v>61.651249103453303</v>
      </c>
      <c r="T832">
        <v>273.19308679438996</v>
      </c>
      <c r="U832">
        <v>97.476637292868332</v>
      </c>
      <c r="X832">
        <v>0.84379222522945474</v>
      </c>
      <c r="Y832">
        <v>0.92930219923554669</v>
      </c>
      <c r="Z832">
        <v>0.56261137449494492</v>
      </c>
      <c r="AA832">
        <v>0.94327922689268384</v>
      </c>
      <c r="AB832">
        <v>0.60871654976491008</v>
      </c>
      <c r="AC832">
        <v>0.73208656916664272</v>
      </c>
      <c r="AD832">
        <v>0.8047900484563586</v>
      </c>
      <c r="AE832">
        <v>0.79243321665855937</v>
      </c>
      <c r="AH832">
        <v>9.000281833190038E-2</v>
      </c>
      <c r="AI832">
        <v>6.9526546067138484E-2</v>
      </c>
      <c r="AJ832">
        <v>8.2081640735527595E-2</v>
      </c>
      <c r="AK832">
        <v>5.1554079764901783E-2</v>
      </c>
      <c r="AL832">
        <v>2.3402545055450696E-2</v>
      </c>
      <c r="AM832">
        <v>5.2370840984439782E-2</v>
      </c>
      <c r="AN832">
        <v>8.7467915879917313E-2</v>
      </c>
      <c r="AO832">
        <v>9.4270803351030774E-2</v>
      </c>
      <c r="AR832">
        <v>9.5608868504215572E-4</v>
      </c>
      <c r="AS832">
        <v>4.7947907483244512E-3</v>
      </c>
      <c r="AT832">
        <v>4.9394087631393436E-3</v>
      </c>
      <c r="AU832">
        <v>1.7618937626764338E-3</v>
      </c>
      <c r="AV832">
        <v>1.7208666545924477E-3</v>
      </c>
      <c r="AW832">
        <v>3.4698778171654565E-3</v>
      </c>
      <c r="AX832">
        <v>3.6330019265937353E-4</v>
      </c>
      <c r="AY832">
        <v>3.456954810746515E-4</v>
      </c>
      <c r="BB832">
        <v>4.8680887679295223E-2</v>
      </c>
      <c r="BC832">
        <v>5.8307282110341196E-2</v>
      </c>
      <c r="BE832">
        <v>63626.079788046547</v>
      </c>
      <c r="BF832">
        <v>17.486734072754146</v>
      </c>
      <c r="BG832">
        <v>64885.478347305172</v>
      </c>
      <c r="BH832">
        <v>17.436357992107688</v>
      </c>
      <c r="BI832">
        <v>-1259.398559258625</v>
      </c>
      <c r="BJ832">
        <v>5.0376080646458377E-2</v>
      </c>
    </row>
    <row r="833" spans="3:62" x14ac:dyDescent="0.2">
      <c r="C833" s="121">
        <v>76869.879704108724</v>
      </c>
      <c r="D833">
        <v>16.302794655842977</v>
      </c>
      <c r="E833" s="121">
        <v>77878.409460220602</v>
      </c>
      <c r="F833" s="121">
        <v>16.197464186947812</v>
      </c>
      <c r="G833" s="121">
        <v>-1008.5297561118787</v>
      </c>
      <c r="H833" s="121">
        <v>0.10533046889516484</v>
      </c>
      <c r="N833" s="121"/>
      <c r="O833" s="121"/>
      <c r="P833" s="121"/>
      <c r="R833">
        <v>165.38594471623071</v>
      </c>
      <c r="S833">
        <v>62.166038949654023</v>
      </c>
      <c r="T833">
        <v>212.35425712590953</v>
      </c>
      <c r="U833">
        <v>84.284553451673247</v>
      </c>
      <c r="X833">
        <v>0.67240975082103782</v>
      </c>
      <c r="Y833">
        <v>0.62658953950340457</v>
      </c>
      <c r="Z833">
        <v>0.85439791595334724</v>
      </c>
      <c r="AA833">
        <v>0.68052531844565289</v>
      </c>
      <c r="AB833">
        <v>0.86342517878639269</v>
      </c>
      <c r="AC833">
        <v>0.76178417324534486</v>
      </c>
      <c r="AD833">
        <v>0.7486167126077462</v>
      </c>
      <c r="AE833">
        <v>0.57691348429986844</v>
      </c>
      <c r="AH833">
        <v>0.29918555369537458</v>
      </c>
      <c r="AI833">
        <v>0.13539084649794131</v>
      </c>
      <c r="AJ833">
        <v>0.15107787050923238</v>
      </c>
      <c r="AK833">
        <v>9.8804013349884423E-2</v>
      </c>
      <c r="AL833">
        <v>0.23507666347105971</v>
      </c>
      <c r="AM833">
        <v>6.7688879533818858E-2</v>
      </c>
      <c r="AN833">
        <v>0.14909225760324452</v>
      </c>
      <c r="AO833">
        <v>8.1276163481645902E-2</v>
      </c>
      <c r="AR833">
        <v>7.8340646928058482E-4</v>
      </c>
      <c r="AS833">
        <v>4.9237120311133031E-3</v>
      </c>
      <c r="AT833">
        <v>4.9862162440197366E-3</v>
      </c>
      <c r="AU833">
        <v>1.8777742903016859E-3</v>
      </c>
      <c r="AV833">
        <v>2.1088317738230389E-3</v>
      </c>
      <c r="AW833">
        <v>3.2046255356373184E-3</v>
      </c>
      <c r="AX833">
        <v>4.8195196646694249E-4</v>
      </c>
      <c r="AY833">
        <v>4.4266602905076985E-4</v>
      </c>
      <c r="BB833">
        <v>5.2927963230367303E-2</v>
      </c>
      <c r="BC833">
        <v>3.1401570546645573E-2</v>
      </c>
      <c r="BE833">
        <v>76869.879704108724</v>
      </c>
      <c r="BF833">
        <v>16.302794655842977</v>
      </c>
      <c r="BG833">
        <v>77878.409460220602</v>
      </c>
      <c r="BH833">
        <v>16.197464186947812</v>
      </c>
      <c r="BI833">
        <v>-1008.5297561118787</v>
      </c>
      <c r="BJ833">
        <v>0.10533046889516484</v>
      </c>
    </row>
    <row r="834" spans="3:62" x14ac:dyDescent="0.2">
      <c r="C834" s="121">
        <v>70429.866159125319</v>
      </c>
      <c r="D834">
        <v>17.130154821787219</v>
      </c>
      <c r="E834" s="121">
        <v>71215.21910880442</v>
      </c>
      <c r="F834" s="121">
        <v>17.020743115884699</v>
      </c>
      <c r="G834" s="121">
        <v>-785.35294967910158</v>
      </c>
      <c r="H834" s="121">
        <v>0.10941170590252014</v>
      </c>
      <c r="N834" s="121"/>
      <c r="O834" s="121"/>
      <c r="P834" s="121"/>
      <c r="R834">
        <v>415.34017569637558</v>
      </c>
      <c r="S834">
        <v>61.708158880297276</v>
      </c>
      <c r="T834">
        <v>251.21811525303974</v>
      </c>
      <c r="U834">
        <v>101.13576249908584</v>
      </c>
      <c r="X834">
        <v>0.4795813882467746</v>
      </c>
      <c r="Y834">
        <v>0.49928319640642127</v>
      </c>
      <c r="Z834">
        <v>0.82354415908943623</v>
      </c>
      <c r="AA834">
        <v>0.7763295561061081</v>
      </c>
      <c r="AB834">
        <v>0.91739196337047624</v>
      </c>
      <c r="AC834">
        <v>0.538309419095097</v>
      </c>
      <c r="AD834">
        <v>0.86289083361234742</v>
      </c>
      <c r="AE834">
        <v>0.82364379839674629</v>
      </c>
      <c r="AH834">
        <v>9.7623709099831979E-2</v>
      </c>
      <c r="AI834">
        <v>5.8022968677629683E-2</v>
      </c>
      <c r="AJ834">
        <v>0.10319387864806107</v>
      </c>
      <c r="AK834">
        <v>7.2419260363480564E-2</v>
      </c>
      <c r="AL834">
        <v>9.2724839553495753E-2</v>
      </c>
      <c r="AM834">
        <v>9.6427816671150079E-2</v>
      </c>
      <c r="AN834">
        <v>9.1730153178825824E-2</v>
      </c>
      <c r="AO834">
        <v>5.1686034356495325E-2</v>
      </c>
      <c r="AR834">
        <v>9.5426028686773634E-4</v>
      </c>
      <c r="AS834">
        <v>4.6950279402513395E-3</v>
      </c>
      <c r="AT834">
        <v>4.6636677027793632E-3</v>
      </c>
      <c r="AU834">
        <v>2.1034041250693747E-3</v>
      </c>
      <c r="AV834">
        <v>1.8939729357919271E-3</v>
      </c>
      <c r="AW834">
        <v>3.4003935983967885E-3</v>
      </c>
      <c r="AX834">
        <v>3.1515058081207188E-4</v>
      </c>
      <c r="AY834">
        <v>5.218117605892969E-4</v>
      </c>
      <c r="BB834">
        <v>5.3173346944561772E-2</v>
      </c>
      <c r="BC834">
        <v>4.924420304292354E-2</v>
      </c>
      <c r="BE834">
        <v>70429.866159125319</v>
      </c>
      <c r="BF834">
        <v>17.130154821787219</v>
      </c>
      <c r="BG834">
        <v>71215.21910880442</v>
      </c>
      <c r="BH834">
        <v>17.020743115884699</v>
      </c>
      <c r="BI834">
        <v>-785.35294967910158</v>
      </c>
      <c r="BJ834">
        <v>0.10941170590252014</v>
      </c>
    </row>
    <row r="835" spans="3:62" x14ac:dyDescent="0.2">
      <c r="C835" s="121">
        <v>71486.733875294158</v>
      </c>
      <c r="D835">
        <v>16.789925603923312</v>
      </c>
      <c r="E835" s="121">
        <v>73163.320744925048</v>
      </c>
      <c r="F835" s="121">
        <v>16.660203210969364</v>
      </c>
      <c r="G835" s="121">
        <v>-1676.5868696308899</v>
      </c>
      <c r="H835" s="121">
        <v>0.12972239295394772</v>
      </c>
      <c r="N835" s="121"/>
      <c r="O835" s="121"/>
      <c r="P835" s="121"/>
      <c r="R835">
        <v>325.7250477417245</v>
      </c>
      <c r="S835">
        <v>45.782333425000871</v>
      </c>
      <c r="T835">
        <v>256.00124801324472</v>
      </c>
      <c r="U835">
        <v>93.392833617366136</v>
      </c>
      <c r="X835">
        <v>0.71542699501704521</v>
      </c>
      <c r="Y835">
        <v>0.73466147894557376</v>
      </c>
      <c r="Z835">
        <v>0.73575343450264608</v>
      </c>
      <c r="AA835">
        <v>0.88947678501269478</v>
      </c>
      <c r="AB835">
        <v>0.76965780975686959</v>
      </c>
      <c r="AC835">
        <v>0.89201689118625205</v>
      </c>
      <c r="AD835">
        <v>0.72761453257851028</v>
      </c>
      <c r="AE835">
        <v>0.52425408049655042</v>
      </c>
      <c r="AH835">
        <v>0.28360636900483138</v>
      </c>
      <c r="AI835">
        <v>6.2305779309503539E-2</v>
      </c>
      <c r="AJ835">
        <v>0.10160855894384269</v>
      </c>
      <c r="AK835">
        <v>0.15720910390444731</v>
      </c>
      <c r="AL835">
        <v>2.9868419688836467E-2</v>
      </c>
      <c r="AM835">
        <v>8.6082482685135853E-2</v>
      </c>
      <c r="AN835">
        <v>6.9032940476630889E-2</v>
      </c>
      <c r="AO835">
        <v>6.3174510206754353E-2</v>
      </c>
      <c r="AR835">
        <v>1.0799505013214805E-3</v>
      </c>
      <c r="AS835">
        <v>4.4092650676113686E-3</v>
      </c>
      <c r="AT835">
        <v>4.7699544313301936E-3</v>
      </c>
      <c r="AU835">
        <v>2.1817797773627801E-3</v>
      </c>
      <c r="AV835">
        <v>2.2430409055953504E-3</v>
      </c>
      <c r="AW835">
        <v>3.3167243355955948E-3</v>
      </c>
      <c r="AX835">
        <v>3.4038520868650288E-4</v>
      </c>
      <c r="AY835">
        <v>4.6146658804846474E-4</v>
      </c>
      <c r="BB835">
        <v>4.7979629868991264E-2</v>
      </c>
      <c r="BC835">
        <v>6.7860132231495673E-2</v>
      </c>
      <c r="BE835">
        <v>71486.733875294158</v>
      </c>
      <c r="BF835">
        <v>16.789925603923312</v>
      </c>
      <c r="BG835">
        <v>73163.320744925048</v>
      </c>
      <c r="BH835">
        <v>16.660203210969364</v>
      </c>
      <c r="BI835">
        <v>-1676.5868696308899</v>
      </c>
      <c r="BJ835">
        <v>0.12972239295394772</v>
      </c>
    </row>
    <row r="836" spans="3:62" x14ac:dyDescent="0.2">
      <c r="C836" s="121">
        <v>67369.283360718415</v>
      </c>
      <c r="D836">
        <v>16.214950736179038</v>
      </c>
      <c r="E836" s="121">
        <v>68973.887124418397</v>
      </c>
      <c r="F836" s="121">
        <v>16.184309163101045</v>
      </c>
      <c r="G836" s="121">
        <v>-1604.6037636999827</v>
      </c>
      <c r="H836" s="121">
        <v>3.0641573077993201E-2</v>
      </c>
      <c r="N836" s="121"/>
      <c r="O836" s="121"/>
      <c r="P836" s="121"/>
      <c r="R836">
        <v>131.07805577353292</v>
      </c>
      <c r="S836">
        <v>66.422290164147043</v>
      </c>
      <c r="T836">
        <v>240.4632813572322</v>
      </c>
      <c r="U836">
        <v>110.17555794182572</v>
      </c>
      <c r="X836">
        <v>0.96102897065861415</v>
      </c>
      <c r="Y836">
        <v>0.80825476739841884</v>
      </c>
      <c r="Z836">
        <v>0.66103717960965291</v>
      </c>
      <c r="AA836">
        <v>0.63473518623551983</v>
      </c>
      <c r="AB836">
        <v>0.85916433302447892</v>
      </c>
      <c r="AC836">
        <v>0.78978704781926012</v>
      </c>
      <c r="AD836">
        <v>0.83863167250447079</v>
      </c>
      <c r="AE836">
        <v>0.71354957847317813</v>
      </c>
      <c r="AH836">
        <v>9.8883592014255117E-2</v>
      </c>
      <c r="AI836">
        <v>6.8325576211362149E-2</v>
      </c>
      <c r="AJ836">
        <v>8.7296246997357607E-2</v>
      </c>
      <c r="AK836">
        <v>4.5610376374883632E-2</v>
      </c>
      <c r="AL836">
        <v>7.5422657122212633E-2</v>
      </c>
      <c r="AM836">
        <v>0.21677352313910447</v>
      </c>
      <c r="AN836">
        <v>0.11425612858344225</v>
      </c>
      <c r="AO836">
        <v>0.11731805494041825</v>
      </c>
      <c r="AR836">
        <v>8.9145763507136877E-4</v>
      </c>
      <c r="AS836">
        <v>4.2151896444621202E-3</v>
      </c>
      <c r="AT836">
        <v>4.8273103013754398E-3</v>
      </c>
      <c r="AU836">
        <v>1.9198722858684964E-3</v>
      </c>
      <c r="AV836">
        <v>2.0160358156071645E-3</v>
      </c>
      <c r="AW836">
        <v>3.4565094577840849E-3</v>
      </c>
      <c r="AX836">
        <v>3.4126422161988578E-4</v>
      </c>
      <c r="AY836">
        <v>4.1405250290052075E-4</v>
      </c>
      <c r="BB836">
        <v>3.926195594692098E-2</v>
      </c>
      <c r="BC836">
        <v>3.7128184493056333E-2</v>
      </c>
      <c r="BE836">
        <v>67369.283360718415</v>
      </c>
      <c r="BF836">
        <v>16.214950736179038</v>
      </c>
      <c r="BG836">
        <v>68973.887124418397</v>
      </c>
      <c r="BH836">
        <v>16.184309163101045</v>
      </c>
      <c r="BI836">
        <v>-1604.6037636999827</v>
      </c>
      <c r="BJ836">
        <v>3.0641573077993201E-2</v>
      </c>
    </row>
    <row r="837" spans="3:62" x14ac:dyDescent="0.2">
      <c r="C837" s="121">
        <v>61533.4251023947</v>
      </c>
      <c r="D837">
        <v>17.025143497030463</v>
      </c>
      <c r="E837" s="121">
        <v>62628.537586752005</v>
      </c>
      <c r="F837" s="121">
        <v>16.907567300160878</v>
      </c>
      <c r="G837" s="121">
        <v>-1095.1124843573052</v>
      </c>
      <c r="H837" s="121">
        <v>0.1175761968695852</v>
      </c>
      <c r="N837" s="121"/>
      <c r="O837" s="121"/>
      <c r="P837" s="121"/>
      <c r="R837">
        <v>382.93160292748416</v>
      </c>
      <c r="S837">
        <v>69.167597476533871</v>
      </c>
      <c r="T837">
        <v>284.76831038443419</v>
      </c>
      <c r="U837">
        <v>88.490220806427587</v>
      </c>
      <c r="X837">
        <v>0.7555678039924657</v>
      </c>
      <c r="Y837">
        <v>0.73896778271477159</v>
      </c>
      <c r="Z837">
        <v>0.71331283227033482</v>
      </c>
      <c r="AA837">
        <v>0.81064028202517269</v>
      </c>
      <c r="AB837">
        <v>0.90362031009634114</v>
      </c>
      <c r="AC837">
        <v>0.38650275734727652</v>
      </c>
      <c r="AD837">
        <v>0.76857657959979231</v>
      </c>
      <c r="AE837">
        <v>0.67969950613687991</v>
      </c>
      <c r="AH837">
        <v>5.8336680043344913E-2</v>
      </c>
      <c r="AI837">
        <v>8.3152694579833319E-2</v>
      </c>
      <c r="AJ837">
        <v>0.24755745047943645</v>
      </c>
      <c r="AK837">
        <v>3.1861708108230635E-2</v>
      </c>
      <c r="AL837">
        <v>3.703137373860943E-2</v>
      </c>
      <c r="AM837">
        <v>0.2836633056193002</v>
      </c>
      <c r="AN837">
        <v>0.19235593599633538</v>
      </c>
      <c r="AO837">
        <v>0.13397211226947148</v>
      </c>
      <c r="AR837">
        <v>9.3903012375917694E-4</v>
      </c>
      <c r="AS837">
        <v>4.5240446022997149E-3</v>
      </c>
      <c r="AT837">
        <v>4.9310273597098159E-3</v>
      </c>
      <c r="AU837">
        <v>2.1203633274256006E-3</v>
      </c>
      <c r="AV837">
        <v>2.0040727855319407E-3</v>
      </c>
      <c r="AW837">
        <v>3.4322562410438184E-3</v>
      </c>
      <c r="AX837">
        <v>4.0895425796672047E-4</v>
      </c>
      <c r="AY837">
        <v>3.6709916592411903E-4</v>
      </c>
      <c r="BB837">
        <v>5.5365694887553496E-2</v>
      </c>
      <c r="BC837">
        <v>6.2198309615875913E-2</v>
      </c>
      <c r="BE837">
        <v>61533.4251023947</v>
      </c>
      <c r="BF837">
        <v>17.025143497030463</v>
      </c>
      <c r="BG837">
        <v>62628.537586752005</v>
      </c>
      <c r="BH837">
        <v>16.907567300160878</v>
      </c>
      <c r="BI837">
        <v>-1095.1124843573052</v>
      </c>
      <c r="BJ837">
        <v>0.1175761968695852</v>
      </c>
    </row>
    <row r="838" spans="3:62" x14ac:dyDescent="0.2">
      <c r="C838" s="121">
        <v>72883.708660214106</v>
      </c>
      <c r="D838">
        <v>16.492141722173333</v>
      </c>
      <c r="E838" s="121">
        <v>74808.449766946302</v>
      </c>
      <c r="F838" s="121">
        <v>16.339307842720292</v>
      </c>
      <c r="G838" s="121">
        <v>-1924.7411067321955</v>
      </c>
      <c r="H838" s="121">
        <v>0.15283387945304128</v>
      </c>
      <c r="N838" s="121"/>
      <c r="O838" s="121"/>
      <c r="P838" s="121"/>
      <c r="R838">
        <v>139.27234826869557</v>
      </c>
      <c r="S838">
        <v>72.76866587891115</v>
      </c>
      <c r="T838">
        <v>246.99808896287021</v>
      </c>
      <c r="U838">
        <v>95.970554685228578</v>
      </c>
      <c r="X838">
        <v>0.96544133017905576</v>
      </c>
      <c r="Y838">
        <v>0.67032184149551621</v>
      </c>
      <c r="Z838">
        <v>0.70944609694596528</v>
      </c>
      <c r="AA838">
        <v>0.77557645610706161</v>
      </c>
      <c r="AB838">
        <v>0.81914768715515662</v>
      </c>
      <c r="AC838">
        <v>0.84661558051157482</v>
      </c>
      <c r="AD838">
        <v>0.85194587476332218</v>
      </c>
      <c r="AE838">
        <v>0.86728942957368516</v>
      </c>
      <c r="AH838">
        <v>7.2869994979851915E-2</v>
      </c>
      <c r="AI838">
        <v>0.25377841844800431</v>
      </c>
      <c r="AJ838">
        <v>8.1574670430242358E-2</v>
      </c>
      <c r="AK838">
        <v>1.1006487146622446E-2</v>
      </c>
      <c r="AL838">
        <v>0.22940017756628328</v>
      </c>
      <c r="AM838">
        <v>4.2292534200130349E-2</v>
      </c>
      <c r="AN838">
        <v>0.21191570399659676</v>
      </c>
      <c r="AO838">
        <v>0.18607461682405502</v>
      </c>
      <c r="AR838">
        <v>8.4436849125054964E-4</v>
      </c>
      <c r="AS838">
        <v>4.469804003766677E-3</v>
      </c>
      <c r="AT838">
        <v>4.5975978568692606E-3</v>
      </c>
      <c r="AU838">
        <v>2.0786748011728529E-3</v>
      </c>
      <c r="AV838">
        <v>1.9176685335957845E-3</v>
      </c>
      <c r="AW838">
        <v>3.5982417362417918E-3</v>
      </c>
      <c r="AX838">
        <v>4.0714102181660383E-4</v>
      </c>
      <c r="AY838">
        <v>5.021875764105177E-4</v>
      </c>
      <c r="BB838">
        <v>4.8622809244024658E-2</v>
      </c>
      <c r="BC838">
        <v>2.0303302831879852E-2</v>
      </c>
      <c r="BE838">
        <v>72883.708660214106</v>
      </c>
      <c r="BF838">
        <v>16.492141722173333</v>
      </c>
      <c r="BG838">
        <v>74808.449766946302</v>
      </c>
      <c r="BH838">
        <v>16.339307842720292</v>
      </c>
      <c r="BI838">
        <v>-1924.7411067321955</v>
      </c>
      <c r="BJ838">
        <v>0.15283387945304128</v>
      </c>
    </row>
    <row r="839" spans="3:62" x14ac:dyDescent="0.2">
      <c r="C839" s="121">
        <v>68668.500755508576</v>
      </c>
      <c r="D839">
        <v>15.679571128797264</v>
      </c>
      <c r="E839" s="121">
        <v>69581.831786839277</v>
      </c>
      <c r="F839" s="121">
        <v>15.58305481359818</v>
      </c>
      <c r="G839" s="121">
        <v>-913.33103133070108</v>
      </c>
      <c r="H839" s="121">
        <v>9.6516315199083991E-2</v>
      </c>
      <c r="N839" s="121"/>
      <c r="O839" s="121"/>
      <c r="P839" s="121"/>
      <c r="R839">
        <v>-44.291449022680183</v>
      </c>
      <c r="S839">
        <v>66.688472417629342</v>
      </c>
      <c r="T839">
        <v>245.80255488127867</v>
      </c>
      <c r="U839">
        <v>85.872587707579555</v>
      </c>
      <c r="X839">
        <v>0.76214985018675008</v>
      </c>
      <c r="Y839">
        <v>0.69323466920950594</v>
      </c>
      <c r="Z839">
        <v>0.85669198324323215</v>
      </c>
      <c r="AA839">
        <v>0.7861294006807733</v>
      </c>
      <c r="AB839">
        <v>0.62615753945042107</v>
      </c>
      <c r="AC839">
        <v>0.71132910996133958</v>
      </c>
      <c r="AD839">
        <v>0.64577581472175238</v>
      </c>
      <c r="AE839">
        <v>0.93269119131510958</v>
      </c>
      <c r="AH839">
        <v>4.5173588444750612E-2</v>
      </c>
      <c r="AI839">
        <v>0.11794243832513496</v>
      </c>
      <c r="AJ839">
        <v>0.22059274716504818</v>
      </c>
      <c r="AK839">
        <v>0.23705631428114327</v>
      </c>
      <c r="AL839">
        <v>8.8063044840467342E-2</v>
      </c>
      <c r="AM839">
        <v>4.9829378243304578E-2</v>
      </c>
      <c r="AN839">
        <v>0.20784582572377397</v>
      </c>
      <c r="AO839">
        <v>0.1461336604395328</v>
      </c>
      <c r="AR839">
        <v>1.0578859455453449E-3</v>
      </c>
      <c r="AS839">
        <v>4.4202932178165613E-3</v>
      </c>
      <c r="AT839">
        <v>4.7068632173712984E-3</v>
      </c>
      <c r="AU839">
        <v>1.7177951086301583E-3</v>
      </c>
      <c r="AV839">
        <v>2.0441201626320016E-3</v>
      </c>
      <c r="AW839">
        <v>3.4792485324559586E-3</v>
      </c>
      <c r="AX839">
        <v>4.5659952215959532E-4</v>
      </c>
      <c r="AY839">
        <v>5.6417530736907473E-4</v>
      </c>
      <c r="BB839">
        <v>4.9027883355463764E-2</v>
      </c>
      <c r="BC839">
        <v>5.1473666226845016E-2</v>
      </c>
      <c r="BE839">
        <v>68668.500755508576</v>
      </c>
      <c r="BF839">
        <v>15.679571128797264</v>
      </c>
      <c r="BG839">
        <v>69581.831786839277</v>
      </c>
      <c r="BH839">
        <v>15.58305481359818</v>
      </c>
      <c r="BI839">
        <v>-913.33103133070108</v>
      </c>
      <c r="BJ839">
        <v>9.6516315199083991E-2</v>
      </c>
    </row>
    <row r="840" spans="3:62" x14ac:dyDescent="0.2">
      <c r="C840" s="121">
        <v>70482.794575517779</v>
      </c>
      <c r="D840">
        <v>18.265431676664434</v>
      </c>
      <c r="E840" s="121">
        <v>72485.238532499847</v>
      </c>
      <c r="F840" s="121">
        <v>18.148989714512805</v>
      </c>
      <c r="G840" s="121">
        <v>-2002.4439569820679</v>
      </c>
      <c r="H840" s="121">
        <v>0.1164419621516295</v>
      </c>
      <c r="N840" s="121"/>
      <c r="O840" s="121"/>
      <c r="P840" s="121"/>
      <c r="R840">
        <v>249.89202093470774</v>
      </c>
      <c r="S840">
        <v>67.87224487012837</v>
      </c>
      <c r="T840">
        <v>263.18760629232838</v>
      </c>
      <c r="U840">
        <v>89.101592762494221</v>
      </c>
      <c r="X840">
        <v>0.59735655964243073</v>
      </c>
      <c r="Y840">
        <v>0.97806269711070748</v>
      </c>
      <c r="Z840">
        <v>0.55101848749553795</v>
      </c>
      <c r="AA840">
        <v>0.79107583856675767</v>
      </c>
      <c r="AB840">
        <v>0.56466954522364232</v>
      </c>
      <c r="AC840">
        <v>0.77985927791106158</v>
      </c>
      <c r="AD840">
        <v>0.80364811416419835</v>
      </c>
      <c r="AE840">
        <v>0.66176652811578318</v>
      </c>
      <c r="AH840">
        <v>0.36087240135278975</v>
      </c>
      <c r="AI840">
        <v>9.5042385498970816E-2</v>
      </c>
      <c r="AJ840">
        <v>5.8005510375435776E-2</v>
      </c>
      <c r="AK840">
        <v>8.9445093388978325E-2</v>
      </c>
      <c r="AL840">
        <v>4.4420276831370842E-2</v>
      </c>
      <c r="AM840">
        <v>0.10286749313942456</v>
      </c>
      <c r="AN840">
        <v>0.12007390901575865</v>
      </c>
      <c r="AO840">
        <v>0.1231666671546664</v>
      </c>
      <c r="AR840">
        <v>1.0459573490259055E-3</v>
      </c>
      <c r="AS840">
        <v>4.4086362044622558E-3</v>
      </c>
      <c r="AT840">
        <v>5.048469708389014E-3</v>
      </c>
      <c r="AU840">
        <v>1.8065277658252305E-3</v>
      </c>
      <c r="AV840">
        <v>2.0358723705716786E-3</v>
      </c>
      <c r="AW840">
        <v>3.2489507895196146E-3</v>
      </c>
      <c r="AX840">
        <v>4.7443713448458436E-4</v>
      </c>
      <c r="AY840">
        <v>4.9153028035231472E-4</v>
      </c>
      <c r="BB840">
        <v>5.4787211805059299E-2</v>
      </c>
      <c r="BC840">
        <v>5.3736942616727013E-2</v>
      </c>
      <c r="BE840">
        <v>70482.794575517779</v>
      </c>
      <c r="BF840">
        <v>18.265431676664434</v>
      </c>
      <c r="BG840">
        <v>72485.238532499847</v>
      </c>
      <c r="BH840">
        <v>18.148989714512805</v>
      </c>
      <c r="BI840">
        <v>-2002.4439569820679</v>
      </c>
      <c r="BJ840">
        <v>0.1164419621516295</v>
      </c>
    </row>
    <row r="841" spans="3:62" x14ac:dyDescent="0.2">
      <c r="C841" s="121">
        <v>62162.62776709762</v>
      </c>
      <c r="D841">
        <v>17.129677942169497</v>
      </c>
      <c r="E841" s="121">
        <v>63892.916143385301</v>
      </c>
      <c r="F841" s="121">
        <v>17.018056232009528</v>
      </c>
      <c r="G841" s="121">
        <v>-1730.2883762876809</v>
      </c>
      <c r="H841" s="121">
        <v>0.11162171015996947</v>
      </c>
      <c r="N841" s="121"/>
      <c r="O841" s="121"/>
      <c r="P841" s="121"/>
      <c r="R841">
        <v>195.80000757174233</v>
      </c>
      <c r="S841">
        <v>58.83243965328348</v>
      </c>
      <c r="T841">
        <v>249.52011478899308</v>
      </c>
      <c r="U841">
        <v>97.990835804080874</v>
      </c>
      <c r="X841">
        <v>0.8395018806333443</v>
      </c>
      <c r="Y841">
        <v>0.73463433140690027</v>
      </c>
      <c r="Z841">
        <v>0.7096415516512421</v>
      </c>
      <c r="AA841">
        <v>0.73486223710224374</v>
      </c>
      <c r="AB841">
        <v>0.6013739346787933</v>
      </c>
      <c r="AC841">
        <v>0.90451279314859834</v>
      </c>
      <c r="AD841">
        <v>0.57106181216745777</v>
      </c>
      <c r="AE841">
        <v>0.65939581054858765</v>
      </c>
      <c r="AH841">
        <v>0.16597647389684667</v>
      </c>
      <c r="AI841">
        <v>6.5969766283021425E-2</v>
      </c>
      <c r="AJ841">
        <v>0.14143437491284405</v>
      </c>
      <c r="AK841">
        <v>0.13152082584679892</v>
      </c>
      <c r="AL841">
        <v>3.0216048411051188E-2</v>
      </c>
      <c r="AM841">
        <v>0.12934752879396949</v>
      </c>
      <c r="AN841">
        <v>0.25236021885715554</v>
      </c>
      <c r="AO841">
        <v>0.11759046341663781</v>
      </c>
      <c r="AR841">
        <v>6.8101643853509084E-4</v>
      </c>
      <c r="AS841">
        <v>4.4378951233997009E-3</v>
      </c>
      <c r="AT841">
        <v>4.9218116764449746E-3</v>
      </c>
      <c r="AU841">
        <v>2.1690906969594748E-3</v>
      </c>
      <c r="AV841">
        <v>1.7548802492755129E-3</v>
      </c>
      <c r="AW841">
        <v>3.5051350245852708E-3</v>
      </c>
      <c r="AX841">
        <v>4.6253630109360788E-4</v>
      </c>
      <c r="AY841">
        <v>4.6472448937318056E-4</v>
      </c>
      <c r="BB841">
        <v>4.1219242270445385E-2</v>
      </c>
      <c r="BC841">
        <v>3.2362223400440038E-2</v>
      </c>
      <c r="BE841">
        <v>62162.62776709762</v>
      </c>
      <c r="BF841">
        <v>17.129677942169497</v>
      </c>
      <c r="BG841">
        <v>63892.916143385301</v>
      </c>
      <c r="BH841">
        <v>17.018056232009528</v>
      </c>
      <c r="BI841">
        <v>-1730.2883762876809</v>
      </c>
      <c r="BJ841">
        <v>0.11162171015996947</v>
      </c>
    </row>
    <row r="842" spans="3:62" x14ac:dyDescent="0.2">
      <c r="C842" s="121">
        <v>65911.193949418972</v>
      </c>
      <c r="D842">
        <v>16.412537214120256</v>
      </c>
      <c r="E842" s="121">
        <v>67827.047480657464</v>
      </c>
      <c r="F842" s="121">
        <v>16.246036396971224</v>
      </c>
      <c r="G842" s="121">
        <v>-1915.853531238492</v>
      </c>
      <c r="H842" s="121">
        <v>0.16650081714903209</v>
      </c>
      <c r="N842" s="121"/>
      <c r="O842" s="121"/>
      <c r="P842" s="121"/>
      <c r="R842">
        <v>126.76471947306943</v>
      </c>
      <c r="S842">
        <v>66.500926623118588</v>
      </c>
      <c r="T842">
        <v>233.27892417356921</v>
      </c>
      <c r="U842">
        <v>97.31712747743903</v>
      </c>
      <c r="X842">
        <v>0.94528132971373213</v>
      </c>
      <c r="Y842">
        <v>0.63168204523138982</v>
      </c>
      <c r="Z842">
        <v>0.8095826447514336</v>
      </c>
      <c r="AA842">
        <v>0.9336988280529217</v>
      </c>
      <c r="AB842">
        <v>0.5397596577781304</v>
      </c>
      <c r="AC842">
        <v>0.70624888386059781</v>
      </c>
      <c r="AD842">
        <v>0.54883866597368736</v>
      </c>
      <c r="AE842">
        <v>0.77381793117974673</v>
      </c>
      <c r="AH842">
        <v>0.21868052475860611</v>
      </c>
      <c r="AI842">
        <v>5.5502053547968333E-2</v>
      </c>
      <c r="AJ842">
        <v>0.26945493706764567</v>
      </c>
      <c r="AK842">
        <v>0.18338537934294985</v>
      </c>
      <c r="AL842">
        <v>0.16209409727160207</v>
      </c>
      <c r="AM842">
        <v>0.11598055324049561</v>
      </c>
      <c r="AN842">
        <v>0.17206618179784272</v>
      </c>
      <c r="AO842">
        <v>0.23768040895105869</v>
      </c>
      <c r="AR842">
        <v>1.0007599598620409E-3</v>
      </c>
      <c r="AS842">
        <v>4.40319288728003E-3</v>
      </c>
      <c r="AT842">
        <v>5.1883443142826113E-3</v>
      </c>
      <c r="AU842">
        <v>1.9382212523502064E-3</v>
      </c>
      <c r="AV842">
        <v>1.9505505217654762E-3</v>
      </c>
      <c r="AW842">
        <v>3.2011951091320979E-3</v>
      </c>
      <c r="AX842">
        <v>3.605158880569555E-4</v>
      </c>
      <c r="AY842">
        <v>4.3439382032472166E-4</v>
      </c>
      <c r="BB842">
        <v>4.9048466523845133E-2</v>
      </c>
      <c r="BC842">
        <v>2.9407067330821948E-2</v>
      </c>
      <c r="BE842">
        <v>65911.193949418972</v>
      </c>
      <c r="BF842">
        <v>16.412537214120256</v>
      </c>
      <c r="BG842">
        <v>67827.047480657464</v>
      </c>
      <c r="BH842">
        <v>16.246036396971224</v>
      </c>
      <c r="BI842">
        <v>-1915.853531238492</v>
      </c>
      <c r="BJ842">
        <v>0.16650081714903209</v>
      </c>
    </row>
    <row r="843" spans="3:62" x14ac:dyDescent="0.2">
      <c r="C843" s="121">
        <v>75130.035220461767</v>
      </c>
      <c r="D843">
        <v>15.734078008249424</v>
      </c>
      <c r="E843" s="121">
        <v>77582.094955983688</v>
      </c>
      <c r="F843" s="121">
        <v>15.5724561038652</v>
      </c>
      <c r="G843" s="121">
        <v>-2452.0597355219215</v>
      </c>
      <c r="H843" s="121">
        <v>0.16162190438422464</v>
      </c>
      <c r="N843" s="121"/>
      <c r="O843" s="121"/>
      <c r="P843" s="121"/>
      <c r="R843">
        <v>381.60726016914145</v>
      </c>
      <c r="S843">
        <v>69.758481678461351</v>
      </c>
      <c r="T843">
        <v>220.62986805483061</v>
      </c>
      <c r="U843">
        <v>105.858474558978</v>
      </c>
      <c r="X843">
        <v>0.75136723629642921</v>
      </c>
      <c r="Y843">
        <v>0.86707063486361413</v>
      </c>
      <c r="Z843">
        <v>0.78539142169923803</v>
      </c>
      <c r="AA843">
        <v>0.79647023562185548</v>
      </c>
      <c r="AB843">
        <v>0.78345717491276456</v>
      </c>
      <c r="AC843">
        <v>0.90341543317615325</v>
      </c>
      <c r="AD843">
        <v>0.80479544354025856</v>
      </c>
      <c r="AE843">
        <v>0.71319548976993652</v>
      </c>
      <c r="AH843">
        <v>4.0172117466173773E-2</v>
      </c>
      <c r="AI843">
        <v>0.12382973793590613</v>
      </c>
      <c r="AJ843">
        <v>0.20211040086299747</v>
      </c>
      <c r="AK843">
        <v>0.13441231675869958</v>
      </c>
      <c r="AL843">
        <v>0.29119234183174014</v>
      </c>
      <c r="AM843">
        <v>0.11310706344957755</v>
      </c>
      <c r="AN843">
        <v>0.11851264611142531</v>
      </c>
      <c r="AO843">
        <v>0.37307575046162056</v>
      </c>
      <c r="AR843">
        <v>8.77883229407349E-4</v>
      </c>
      <c r="AS843">
        <v>4.8576329874864266E-3</v>
      </c>
      <c r="AT843">
        <v>5.0293224164354999E-3</v>
      </c>
      <c r="AU843">
        <v>1.8975718044848061E-3</v>
      </c>
      <c r="AV843">
        <v>2.0938186323938845E-3</v>
      </c>
      <c r="AW843">
        <v>3.2274485093873439E-3</v>
      </c>
      <c r="AX843">
        <v>3.8477868405808422E-4</v>
      </c>
      <c r="AY843">
        <v>4.1043828487726647E-4</v>
      </c>
      <c r="BB843">
        <v>4.8398715358042722E-2</v>
      </c>
      <c r="BC843">
        <v>3.9852118764911432E-2</v>
      </c>
      <c r="BE843">
        <v>75130.035220461767</v>
      </c>
      <c r="BF843">
        <v>15.734078008249424</v>
      </c>
      <c r="BG843">
        <v>77582.094955983688</v>
      </c>
      <c r="BH843">
        <v>15.5724561038652</v>
      </c>
      <c r="BI843">
        <v>-2452.0597355219215</v>
      </c>
      <c r="BJ843">
        <v>0.16162190438422464</v>
      </c>
    </row>
    <row r="844" spans="3:62" x14ac:dyDescent="0.2">
      <c r="C844" s="121">
        <v>68936.224508882733</v>
      </c>
      <c r="D844">
        <v>16.380785382377539</v>
      </c>
      <c r="E844" s="121">
        <v>71260.601496981428</v>
      </c>
      <c r="F844" s="121">
        <v>16.168022166494115</v>
      </c>
      <c r="G844" s="121">
        <v>-2324.3769880986947</v>
      </c>
      <c r="H844" s="121">
        <v>0.21276321588342384</v>
      </c>
      <c r="N844" s="121"/>
      <c r="O844" s="121"/>
      <c r="P844" s="121"/>
      <c r="R844">
        <v>404.55910221574885</v>
      </c>
      <c r="S844">
        <v>52.870579061254396</v>
      </c>
      <c r="T844">
        <v>261.54227768728811</v>
      </c>
      <c r="U844">
        <v>101.19115588593344</v>
      </c>
      <c r="X844">
        <v>0.97874790283636925</v>
      </c>
      <c r="Y844">
        <v>0.62134064492742991</v>
      </c>
      <c r="Z844">
        <v>0.60682309874098994</v>
      </c>
      <c r="AA844">
        <v>0.89651437159766256</v>
      </c>
      <c r="AB844">
        <v>0.64994993747762897</v>
      </c>
      <c r="AC844">
        <v>0.87391119218076696</v>
      </c>
      <c r="AD844">
        <v>0.88704972113050085</v>
      </c>
      <c r="AE844">
        <v>0.67435460427129212</v>
      </c>
      <c r="AH844">
        <v>0.21540891401548745</v>
      </c>
      <c r="AI844">
        <v>0.2147938714375035</v>
      </c>
      <c r="AJ844">
        <v>0.10889220516623277</v>
      </c>
      <c r="AK844">
        <v>0.20260236716843882</v>
      </c>
      <c r="AL844">
        <v>0.13843042223460322</v>
      </c>
      <c r="AM844">
        <v>0.18511323089545073</v>
      </c>
      <c r="AN844">
        <v>0.101000828897436</v>
      </c>
      <c r="AO844">
        <v>2.1222275616620045E-2</v>
      </c>
      <c r="AR844">
        <v>9.3411093266726475E-4</v>
      </c>
      <c r="AS844">
        <v>4.2833675103896209E-3</v>
      </c>
      <c r="AT844">
        <v>4.8752631630614484E-3</v>
      </c>
      <c r="AU844">
        <v>2.053802839927954E-3</v>
      </c>
      <c r="AV844">
        <v>1.9232329384594052E-3</v>
      </c>
      <c r="AW844">
        <v>3.2082244336267426E-3</v>
      </c>
      <c r="AX844">
        <v>4.1107719479227534E-4</v>
      </c>
      <c r="AY844">
        <v>5.4509966986104885E-4</v>
      </c>
      <c r="BB844">
        <v>4.6577910576797714E-2</v>
      </c>
      <c r="BC844">
        <v>5.104560884347964E-2</v>
      </c>
      <c r="BE844">
        <v>68936.224508882733</v>
      </c>
      <c r="BF844">
        <v>16.380785382377539</v>
      </c>
      <c r="BG844">
        <v>71260.601496981428</v>
      </c>
      <c r="BH844">
        <v>16.168022166494115</v>
      </c>
      <c r="BI844">
        <v>-2324.3769880986947</v>
      </c>
      <c r="BJ844">
        <v>0.21276321588342384</v>
      </c>
    </row>
    <row r="845" spans="3:62" x14ac:dyDescent="0.2">
      <c r="C845" s="121">
        <v>79560.380150488258</v>
      </c>
      <c r="D845">
        <v>16.068092986711253</v>
      </c>
      <c r="E845" s="121">
        <v>81689.400305101284</v>
      </c>
      <c r="F845" s="121">
        <v>15.897608371184894</v>
      </c>
      <c r="G845" s="121">
        <v>-2129.0201546130265</v>
      </c>
      <c r="H845" s="121">
        <v>0.17048461552635885</v>
      </c>
      <c r="N845" s="121"/>
      <c r="O845" s="121"/>
      <c r="P845" s="121"/>
      <c r="R845">
        <v>191.68460621742366</v>
      </c>
      <c r="S845">
        <v>64.45894064280462</v>
      </c>
      <c r="T845">
        <v>260.5065944355805</v>
      </c>
      <c r="U845">
        <v>90.889350330059344</v>
      </c>
      <c r="X845">
        <v>0.72513557971347864</v>
      </c>
      <c r="Y845">
        <v>0.71616967055799574</v>
      </c>
      <c r="Z845">
        <v>0.89280087084176696</v>
      </c>
      <c r="AA845">
        <v>0.90295027903424718</v>
      </c>
      <c r="AB845">
        <v>0.90828316344952365</v>
      </c>
      <c r="AC845">
        <v>0.78538727724509749</v>
      </c>
      <c r="AD845">
        <v>0.47108725993474576</v>
      </c>
      <c r="AE845">
        <v>0.83913167638140496</v>
      </c>
      <c r="AH845">
        <v>5.3358463075175777E-2</v>
      </c>
      <c r="AI845">
        <v>6.9210110530213642E-2</v>
      </c>
      <c r="AJ845">
        <v>0.42969049417423311</v>
      </c>
      <c r="AK845">
        <v>0.31236955651412124</v>
      </c>
      <c r="AL845">
        <v>5.7171427502175076E-2</v>
      </c>
      <c r="AM845">
        <v>6.358512492767876E-2</v>
      </c>
      <c r="AN845">
        <v>8.1434634129638028E-2</v>
      </c>
      <c r="AO845">
        <v>0.2539562136465745</v>
      </c>
      <c r="AR845">
        <v>9.1484876562941686E-4</v>
      </c>
      <c r="AS845">
        <v>4.3152519713463506E-3</v>
      </c>
      <c r="AT845">
        <v>4.5622583219803049E-3</v>
      </c>
      <c r="AU845">
        <v>2.1422852510956103E-3</v>
      </c>
      <c r="AV845">
        <v>2.009294351198343E-3</v>
      </c>
      <c r="AW845">
        <v>3.165403018789256E-3</v>
      </c>
      <c r="AX845">
        <v>4.1715484346516174E-4</v>
      </c>
      <c r="AY845">
        <v>5.0525705184256697E-4</v>
      </c>
      <c r="BB845">
        <v>5.1244613003367578E-2</v>
      </c>
      <c r="BC845">
        <v>7.8225669431844724E-2</v>
      </c>
      <c r="BE845">
        <v>79560.380150488258</v>
      </c>
      <c r="BF845">
        <v>16.068092986711253</v>
      </c>
      <c r="BG845">
        <v>81689.400305101284</v>
      </c>
      <c r="BH845">
        <v>15.897608371184894</v>
      </c>
      <c r="BI845">
        <v>-2129.0201546130265</v>
      </c>
      <c r="BJ845">
        <v>0.17048461552635885</v>
      </c>
    </row>
    <row r="846" spans="3:62" x14ac:dyDescent="0.2">
      <c r="C846" s="121">
        <v>70974.253068019272</v>
      </c>
      <c r="D846">
        <v>18.42823237424308</v>
      </c>
      <c r="E846" s="121">
        <v>72646.664064581215</v>
      </c>
      <c r="F846" s="121">
        <v>18.318419505828103</v>
      </c>
      <c r="G846" s="121">
        <v>-1672.4109965619427</v>
      </c>
      <c r="H846" s="121">
        <v>0.10981286841497706</v>
      </c>
      <c r="N846" s="121"/>
      <c r="O846" s="121"/>
      <c r="P846" s="121"/>
      <c r="R846">
        <v>216.15601422720752</v>
      </c>
      <c r="S846">
        <v>62.293266928833262</v>
      </c>
      <c r="T846">
        <v>226.29294905429066</v>
      </c>
      <c r="U846">
        <v>95.468721533812371</v>
      </c>
      <c r="X846">
        <v>0.61353622938986219</v>
      </c>
      <c r="Y846">
        <v>0.91773870066233665</v>
      </c>
      <c r="Z846">
        <v>0.77926352535300247</v>
      </c>
      <c r="AA846">
        <v>0.9315663550035429</v>
      </c>
      <c r="AB846">
        <v>0.72075548448724991</v>
      </c>
      <c r="AC846">
        <v>0.87286864377566309</v>
      </c>
      <c r="AD846">
        <v>0.65012301142137685</v>
      </c>
      <c r="AE846">
        <v>0.73633883837935066</v>
      </c>
      <c r="AH846">
        <v>0.14742895199003025</v>
      </c>
      <c r="AI846">
        <v>0.20211575797426684</v>
      </c>
      <c r="AJ846">
        <v>0.12548731716593264</v>
      </c>
      <c r="AK846">
        <v>0.16179458125645707</v>
      </c>
      <c r="AL846">
        <v>5.8415919598800659E-2</v>
      </c>
      <c r="AM846">
        <v>0.10592990786288581</v>
      </c>
      <c r="AN846">
        <v>6.7417639567240895E-2</v>
      </c>
      <c r="AO846">
        <v>0.16642368341683444</v>
      </c>
      <c r="AR846">
        <v>9.2307823674464551E-4</v>
      </c>
      <c r="AS846">
        <v>4.5996903214960971E-3</v>
      </c>
      <c r="AT846">
        <v>4.690383800256207E-3</v>
      </c>
      <c r="AU846">
        <v>1.9764130392858474E-3</v>
      </c>
      <c r="AV846">
        <v>1.985518377228769E-3</v>
      </c>
      <c r="AW846">
        <v>3.4800258269572781E-3</v>
      </c>
      <c r="AX846">
        <v>4.2099445406595937E-4</v>
      </c>
      <c r="AY846">
        <v>5.1801318290067844E-4</v>
      </c>
      <c r="BB846">
        <v>5.5669558969386301E-2</v>
      </c>
      <c r="BC846">
        <v>3.4030288070830181E-2</v>
      </c>
      <c r="BE846">
        <v>70974.253068019272</v>
      </c>
      <c r="BF846">
        <v>18.42823237424308</v>
      </c>
      <c r="BG846">
        <v>72646.664064581215</v>
      </c>
      <c r="BH846">
        <v>18.318419505828103</v>
      </c>
      <c r="BI846">
        <v>-1672.4109965619427</v>
      </c>
      <c r="BJ846">
        <v>0.10981286841497706</v>
      </c>
    </row>
    <row r="847" spans="3:62" x14ac:dyDescent="0.2">
      <c r="C847" s="121">
        <v>79022.078479419593</v>
      </c>
      <c r="D847">
        <v>16.020371424921109</v>
      </c>
      <c r="E847" s="121">
        <v>79205.0461625444</v>
      </c>
      <c r="F847" s="121">
        <v>15.910731156808675</v>
      </c>
      <c r="G847" s="121">
        <v>-182.96768312480708</v>
      </c>
      <c r="H847" s="121">
        <v>0.10964026811243421</v>
      </c>
      <c r="N847" s="121"/>
      <c r="O847" s="121"/>
      <c r="P847" s="121"/>
      <c r="R847">
        <v>241.21190921573344</v>
      </c>
      <c r="S847">
        <v>61.275975328342213</v>
      </c>
      <c r="T847">
        <v>256.3152408964354</v>
      </c>
      <c r="U847">
        <v>83.102140829175752</v>
      </c>
      <c r="X847">
        <v>0.67711168447709547</v>
      </c>
      <c r="Y847">
        <v>0.77481041161375086</v>
      </c>
      <c r="Z847">
        <v>0.80835994200551808</v>
      </c>
      <c r="AA847">
        <v>0.72285437967964417</v>
      </c>
      <c r="AB847">
        <v>0.91141057515622093</v>
      </c>
      <c r="AC847">
        <v>0.71614738688675073</v>
      </c>
      <c r="AD847">
        <v>0.85338489545484997</v>
      </c>
      <c r="AE847">
        <v>0.86263338759149666</v>
      </c>
      <c r="AH847">
        <v>0.27095908278934444</v>
      </c>
      <c r="AI847">
        <v>6.6440890391342267E-2</v>
      </c>
      <c r="AJ847">
        <v>0.10679551748951166</v>
      </c>
      <c r="AK847">
        <v>0.11768232246025245</v>
      </c>
      <c r="AL847">
        <v>0.20632085449496096</v>
      </c>
      <c r="AM847">
        <v>0.16122774628219949</v>
      </c>
      <c r="AN847">
        <v>6.3220940019238281E-2</v>
      </c>
      <c r="AO847">
        <v>0.21549664322314188</v>
      </c>
      <c r="AR847">
        <v>8.3560424409472478E-4</v>
      </c>
      <c r="AS847">
        <v>4.4768385516782885E-3</v>
      </c>
      <c r="AT847">
        <v>4.9955759603897976E-3</v>
      </c>
      <c r="AU847">
        <v>2.131332345518433E-3</v>
      </c>
      <c r="AV847">
        <v>2.0363535298172364E-3</v>
      </c>
      <c r="AW847">
        <v>3.6803671710176067E-3</v>
      </c>
      <c r="AX847">
        <v>2.8993240216859992E-4</v>
      </c>
      <c r="AY847">
        <v>4.0538115045788548E-4</v>
      </c>
      <c r="BB847">
        <v>5.2949199739897423E-2</v>
      </c>
      <c r="BC847">
        <v>3.4654935973588846E-2</v>
      </c>
      <c r="BE847">
        <v>79022.078479419593</v>
      </c>
      <c r="BF847">
        <v>16.020371424921109</v>
      </c>
      <c r="BG847">
        <v>79205.0461625444</v>
      </c>
      <c r="BH847">
        <v>15.910731156808675</v>
      </c>
      <c r="BI847">
        <v>-182.96768312480708</v>
      </c>
      <c r="BJ847">
        <v>0.10964026811243421</v>
      </c>
    </row>
    <row r="848" spans="3:62" x14ac:dyDescent="0.2">
      <c r="C848" s="121">
        <v>78011.910273417947</v>
      </c>
      <c r="D848">
        <v>16.064461426172212</v>
      </c>
      <c r="E848" s="121">
        <v>80564.845408557492</v>
      </c>
      <c r="F848" s="121">
        <v>15.867019241535919</v>
      </c>
      <c r="G848" s="121">
        <v>-2552.9351351395453</v>
      </c>
      <c r="H848" s="121">
        <v>0.19744218463629259</v>
      </c>
      <c r="N848" s="121"/>
      <c r="O848" s="121"/>
      <c r="P848" s="121"/>
      <c r="R848">
        <v>217.84204845974915</v>
      </c>
      <c r="S848">
        <v>48.023308685829683</v>
      </c>
      <c r="T848">
        <v>284.48840203979751</v>
      </c>
      <c r="U848">
        <v>97.881979039924374</v>
      </c>
      <c r="X848">
        <v>0.88533443313746263</v>
      </c>
      <c r="Y848">
        <v>0.41968790859976995</v>
      </c>
      <c r="Z848">
        <v>0.51427054719641463</v>
      </c>
      <c r="AA848">
        <v>0.94074442881193687</v>
      </c>
      <c r="AB848">
        <v>0.55316140322960061</v>
      </c>
      <c r="AC848">
        <v>0.74446057907678553</v>
      </c>
      <c r="AD848">
        <v>0.60711229151073864</v>
      </c>
      <c r="AE848">
        <v>0.81034269720055507</v>
      </c>
      <c r="AH848">
        <v>0.2576337209568158</v>
      </c>
      <c r="AI848">
        <v>6.4934047643406601E-2</v>
      </c>
      <c r="AJ848">
        <v>6.3844892705123724E-2</v>
      </c>
      <c r="AK848">
        <v>0.14946749187817954</v>
      </c>
      <c r="AL848">
        <v>0.20231041767111768</v>
      </c>
      <c r="AM848">
        <v>0.20217591801923029</v>
      </c>
      <c r="AN848">
        <v>0.10760398962538864</v>
      </c>
      <c r="AO848">
        <v>9.5567153321280074E-2</v>
      </c>
      <c r="AR848">
        <v>8.379941157591308E-4</v>
      </c>
      <c r="AS848">
        <v>4.4549111541222468E-3</v>
      </c>
      <c r="AT848">
        <v>5.0245705054386969E-3</v>
      </c>
      <c r="AU848">
        <v>1.8722916672066828E-3</v>
      </c>
      <c r="AV848">
        <v>1.7343898182893506E-3</v>
      </c>
      <c r="AW848">
        <v>3.2498736763166775E-3</v>
      </c>
      <c r="AX848">
        <v>3.8192147306756241E-4</v>
      </c>
      <c r="AY848">
        <v>2.9378915801046813E-4</v>
      </c>
      <c r="BB848">
        <v>5.2584285653822005E-2</v>
      </c>
      <c r="BC848">
        <v>2.1738118564919716E-2</v>
      </c>
      <c r="BE848">
        <v>78011.910273417947</v>
      </c>
      <c r="BF848">
        <v>16.064461426172212</v>
      </c>
      <c r="BG848">
        <v>80564.845408557492</v>
      </c>
      <c r="BH848">
        <v>15.867019241535919</v>
      </c>
      <c r="BI848">
        <v>-2552.9351351395453</v>
      </c>
      <c r="BJ848">
        <v>0.19744218463629259</v>
      </c>
    </row>
    <row r="849" spans="3:62" x14ac:dyDescent="0.2">
      <c r="C849" s="121">
        <v>70827.000660404345</v>
      </c>
      <c r="D849">
        <v>16.368145458640619</v>
      </c>
      <c r="E849" s="121">
        <v>72575.053592515658</v>
      </c>
      <c r="F849" s="121">
        <v>16.223995765633706</v>
      </c>
      <c r="G849" s="121">
        <v>-1748.0529321113136</v>
      </c>
      <c r="H849" s="121">
        <v>0.14414969300691283</v>
      </c>
      <c r="N849" s="121"/>
      <c r="O849" s="121"/>
      <c r="P849" s="121"/>
      <c r="R849">
        <v>274.34010463592921</v>
      </c>
      <c r="S849">
        <v>52.602399417585403</v>
      </c>
      <c r="T849">
        <v>238.47026749491283</v>
      </c>
      <c r="U849">
        <v>77.823827936669545</v>
      </c>
      <c r="X849">
        <v>0.608107036113257</v>
      </c>
      <c r="Y849">
        <v>0.83726948978319315</v>
      </c>
      <c r="Z849">
        <v>0.78211704264348281</v>
      </c>
      <c r="AA849">
        <v>0.68041717326224271</v>
      </c>
      <c r="AB849">
        <v>0.72577034643271987</v>
      </c>
      <c r="AC849">
        <v>0.8678313265524723</v>
      </c>
      <c r="AD849">
        <v>0.69844934030128625</v>
      </c>
      <c r="AE849">
        <v>0.71003292417714015</v>
      </c>
      <c r="AH849">
        <v>5.6273414200871619E-2</v>
      </c>
      <c r="AI849">
        <v>9.0421023543106216E-2</v>
      </c>
      <c r="AJ849">
        <v>0.29586785429231732</v>
      </c>
      <c r="AK849">
        <v>0.23303416063856774</v>
      </c>
      <c r="AL849">
        <v>0.14535852205399935</v>
      </c>
      <c r="AM849">
        <v>0.11753976143638489</v>
      </c>
      <c r="AN849">
        <v>0.30955205449159073</v>
      </c>
      <c r="AO849">
        <v>8.3125303617997082E-2</v>
      </c>
      <c r="AR849">
        <v>9.7102462918785548E-4</v>
      </c>
      <c r="AS849">
        <v>4.4060956322266665E-3</v>
      </c>
      <c r="AT849">
        <v>5.1352578726231446E-3</v>
      </c>
      <c r="AU849">
        <v>2.0381845231803863E-3</v>
      </c>
      <c r="AV849">
        <v>1.9912110918072325E-3</v>
      </c>
      <c r="AW849">
        <v>3.2616513271242001E-3</v>
      </c>
      <c r="AX849">
        <v>3.164852957430309E-4</v>
      </c>
      <c r="AY849">
        <v>4.6580783691096972E-4</v>
      </c>
      <c r="BB849">
        <v>5.4768225684088234E-2</v>
      </c>
      <c r="BC849">
        <v>3.5188209578960127E-3</v>
      </c>
      <c r="BE849">
        <v>70827.000660404345</v>
      </c>
      <c r="BF849">
        <v>16.368145458640619</v>
      </c>
      <c r="BG849">
        <v>72575.053592515658</v>
      </c>
      <c r="BH849">
        <v>16.223995765633706</v>
      </c>
      <c r="BI849">
        <v>-1748.0529321113136</v>
      </c>
      <c r="BJ849">
        <v>0.14414969300691283</v>
      </c>
    </row>
    <row r="850" spans="3:62" x14ac:dyDescent="0.2">
      <c r="C850" s="121">
        <v>66990.05456737167</v>
      </c>
      <c r="D850">
        <v>18.161065284913001</v>
      </c>
      <c r="E850" s="121">
        <v>68519.386128612969</v>
      </c>
      <c r="F850" s="121">
        <v>18.065569324324589</v>
      </c>
      <c r="G850" s="121">
        <v>-1529.3315612412989</v>
      </c>
      <c r="H850" s="121">
        <v>9.5495960588412032E-2</v>
      </c>
      <c r="N850" s="121"/>
      <c r="O850" s="121"/>
      <c r="P850" s="121"/>
      <c r="R850">
        <v>262.76674918965648</v>
      </c>
      <c r="S850">
        <v>64.333421498732136</v>
      </c>
      <c r="T850">
        <v>225.91454076967204</v>
      </c>
      <c r="U850">
        <v>93.988240088626128</v>
      </c>
      <c r="X850">
        <v>0.79462503261528517</v>
      </c>
      <c r="Y850">
        <v>0.78101281956039481</v>
      </c>
      <c r="Z850">
        <v>0.67431455104457849</v>
      </c>
      <c r="AA850">
        <v>0.91272672371556185</v>
      </c>
      <c r="AB850">
        <v>0.8441293801177302</v>
      </c>
      <c r="AC850">
        <v>0.8575108913982461</v>
      </c>
      <c r="AD850">
        <v>0.92641755986285279</v>
      </c>
      <c r="AE850">
        <v>0.87592175935719063</v>
      </c>
      <c r="AH850">
        <v>0.15769740959168355</v>
      </c>
      <c r="AI850">
        <v>0.12877172153295591</v>
      </c>
      <c r="AJ850">
        <v>0.11138129541951824</v>
      </c>
      <c r="AK850">
        <v>9.361842307105428E-2</v>
      </c>
      <c r="AL850">
        <v>8.1903570902784217E-2</v>
      </c>
      <c r="AM850">
        <v>7.0299837355298433E-2</v>
      </c>
      <c r="AN850">
        <v>1.8187549198428354E-2</v>
      </c>
      <c r="AO850">
        <v>3.2018963167169234E-2</v>
      </c>
      <c r="AR850">
        <v>8.9646046677904767E-4</v>
      </c>
      <c r="AS850">
        <v>4.4548867884807407E-3</v>
      </c>
      <c r="AT850">
        <v>5.1943447136270082E-3</v>
      </c>
      <c r="AU850">
        <v>1.8525145984962777E-3</v>
      </c>
      <c r="AV850">
        <v>1.7378125412901388E-3</v>
      </c>
      <c r="AW850">
        <v>3.5214229852738033E-3</v>
      </c>
      <c r="AX850">
        <v>4.2699122993361538E-4</v>
      </c>
      <c r="AY850">
        <v>3.1552008197688753E-4</v>
      </c>
      <c r="BB850">
        <v>5.4943908116984796E-2</v>
      </c>
      <c r="BC850">
        <v>2.5413389707779999E-2</v>
      </c>
      <c r="BE850">
        <v>66990.05456737167</v>
      </c>
      <c r="BF850">
        <v>18.161065284913001</v>
      </c>
      <c r="BG850">
        <v>68519.386128612969</v>
      </c>
      <c r="BH850">
        <v>18.065569324324589</v>
      </c>
      <c r="BI850">
        <v>-1529.3315612412989</v>
      </c>
      <c r="BJ850">
        <v>9.5495960588412032E-2</v>
      </c>
    </row>
    <row r="851" spans="3:62" x14ac:dyDescent="0.2">
      <c r="C851" s="121">
        <v>67694.242813802994</v>
      </c>
      <c r="D851">
        <v>18.402681942260628</v>
      </c>
      <c r="E851" s="121">
        <v>69091.93862279912</v>
      </c>
      <c r="F851" s="121">
        <v>18.303058725455731</v>
      </c>
      <c r="G851" s="121">
        <v>-1397.6958089961263</v>
      </c>
      <c r="H851" s="121">
        <v>9.9623216804896941E-2</v>
      </c>
      <c r="N851" s="121"/>
      <c r="O851" s="121"/>
      <c r="P851" s="121"/>
      <c r="R851">
        <v>166.32484279592973</v>
      </c>
      <c r="S851">
        <v>53.510228200644079</v>
      </c>
      <c r="T851">
        <v>280.60854327613976</v>
      </c>
      <c r="U851">
        <v>92.187140569154664</v>
      </c>
      <c r="X851">
        <v>0.94026253680128646</v>
      </c>
      <c r="Y851">
        <v>0.75612864115498202</v>
      </c>
      <c r="Z851">
        <v>0.47239951779456424</v>
      </c>
      <c r="AA851">
        <v>0.81200479226693922</v>
      </c>
      <c r="AB851">
        <v>0.92451999993342049</v>
      </c>
      <c r="AC851">
        <v>0.62169515625575411</v>
      </c>
      <c r="AD851">
        <v>0.66587230274855946</v>
      </c>
      <c r="AE851">
        <v>0.88527073747661367</v>
      </c>
      <c r="AH851">
        <v>0.21464613355751139</v>
      </c>
      <c r="AI851">
        <v>0.18651856529286215</v>
      </c>
      <c r="AJ851">
        <v>0.29460618037295727</v>
      </c>
      <c r="AK851">
        <v>0.12026961215956378</v>
      </c>
      <c r="AL851">
        <v>0.10618797401993696</v>
      </c>
      <c r="AM851">
        <v>9.5236459415507624E-2</v>
      </c>
      <c r="AN851">
        <v>7.1001551720965339E-2</v>
      </c>
      <c r="AO851">
        <v>0.13429984382569804</v>
      </c>
      <c r="AR851">
        <v>7.9519516940032369E-4</v>
      </c>
      <c r="AS851">
        <v>4.5606230609622767E-3</v>
      </c>
      <c r="AT851">
        <v>5.0706459233371692E-3</v>
      </c>
      <c r="AU851">
        <v>2.1659832172336024E-3</v>
      </c>
      <c r="AV851">
        <v>2.0560506990915384E-3</v>
      </c>
      <c r="AW851">
        <v>3.639886761891864E-3</v>
      </c>
      <c r="AX851">
        <v>3.7150128349090246E-4</v>
      </c>
      <c r="AY851">
        <v>3.5034465596249362E-4</v>
      </c>
      <c r="BB851">
        <v>5.662565522467411E-2</v>
      </c>
      <c r="BC851">
        <v>4.0753305147796924E-2</v>
      </c>
      <c r="BE851">
        <v>67694.242813802994</v>
      </c>
      <c r="BF851">
        <v>18.402681942260628</v>
      </c>
      <c r="BG851">
        <v>69091.93862279912</v>
      </c>
      <c r="BH851">
        <v>18.303058725455731</v>
      </c>
      <c r="BI851">
        <v>-1397.6958089961263</v>
      </c>
      <c r="BJ851">
        <v>9.9623216804896941E-2</v>
      </c>
    </row>
    <row r="852" spans="3:62" x14ac:dyDescent="0.2">
      <c r="C852" s="121">
        <v>70517.138183818024</v>
      </c>
      <c r="D852">
        <v>15.816533718156663</v>
      </c>
      <c r="E852" s="121">
        <v>71842.98571453421</v>
      </c>
      <c r="F852" s="121">
        <v>15.697083015161324</v>
      </c>
      <c r="G852" s="121">
        <v>-1325.8475307161862</v>
      </c>
      <c r="H852" s="121">
        <v>0.11945070299533889</v>
      </c>
      <c r="N852" s="121"/>
      <c r="O852" s="121"/>
      <c r="P852" s="121"/>
      <c r="R852">
        <v>216.09245583679905</v>
      </c>
      <c r="S852">
        <v>73.743810111576977</v>
      </c>
      <c r="T852">
        <v>268.68679113157242</v>
      </c>
      <c r="U852">
        <v>99.80526390942137</v>
      </c>
      <c r="X852">
        <v>0.9212697764715374</v>
      </c>
      <c r="Y852">
        <v>0.73120297908391563</v>
      </c>
      <c r="Z852">
        <v>0.75426879693055093</v>
      </c>
      <c r="AA852">
        <v>0.65494903021339168</v>
      </c>
      <c r="AB852">
        <v>0.84783181372568484</v>
      </c>
      <c r="AC852">
        <v>0.70257587365497898</v>
      </c>
      <c r="AD852">
        <v>0.78998061841564726</v>
      </c>
      <c r="AE852">
        <v>0.89783626477609801</v>
      </c>
      <c r="AH852">
        <v>6.5348503509050637E-2</v>
      </c>
      <c r="AI852">
        <v>5.5182505268980941E-2</v>
      </c>
      <c r="AJ852">
        <v>0.10878512084902769</v>
      </c>
      <c r="AK852">
        <v>7.3003940675491541E-2</v>
      </c>
      <c r="AL852">
        <v>1.5365041616045905E-2</v>
      </c>
      <c r="AM852">
        <v>9.0953252772890791E-2</v>
      </c>
      <c r="AN852">
        <v>0.184467306374833</v>
      </c>
      <c r="AO852">
        <v>0.1468135776449474</v>
      </c>
      <c r="AR852">
        <v>7.1962543522403747E-4</v>
      </c>
      <c r="AS852">
        <v>4.7558963324073611E-3</v>
      </c>
      <c r="AT852">
        <v>4.8493021377428334E-3</v>
      </c>
      <c r="AU852">
        <v>1.9422982645610335E-3</v>
      </c>
      <c r="AV852">
        <v>1.8410587410342583E-3</v>
      </c>
      <c r="AW852">
        <v>3.2341550802999154E-3</v>
      </c>
      <c r="AX852">
        <v>4.6315637703253643E-4</v>
      </c>
      <c r="AY852">
        <v>4.8259816238860331E-4</v>
      </c>
      <c r="BB852">
        <v>4.5439207880641631E-2</v>
      </c>
      <c r="BC852">
        <v>7.5353551292873577E-2</v>
      </c>
      <c r="BE852">
        <v>70517.138183818024</v>
      </c>
      <c r="BF852">
        <v>15.816533718156663</v>
      </c>
      <c r="BG852">
        <v>71842.98571453421</v>
      </c>
      <c r="BH852">
        <v>15.697083015161324</v>
      </c>
      <c r="BI852">
        <v>-1325.8475307161862</v>
      </c>
      <c r="BJ852">
        <v>0.11945070299533889</v>
      </c>
    </row>
    <row r="853" spans="3:62" x14ac:dyDescent="0.2">
      <c r="C853" s="121">
        <v>69194.28311465845</v>
      </c>
      <c r="D853">
        <v>17.35851188216887</v>
      </c>
      <c r="E853" s="121">
        <v>71809.010731491464</v>
      </c>
      <c r="F853" s="121">
        <v>17.242414474757776</v>
      </c>
      <c r="G853" s="121">
        <v>-2614.7276168330136</v>
      </c>
      <c r="H853" s="121">
        <v>0.1160974074110932</v>
      </c>
      <c r="N853" s="121"/>
      <c r="O853" s="121"/>
      <c r="P853" s="121"/>
      <c r="R853">
        <v>192.13926487263012</v>
      </c>
      <c r="S853">
        <v>52.188791860692255</v>
      </c>
      <c r="T853">
        <v>257.47720253136174</v>
      </c>
      <c r="U853">
        <v>82.067810961705078</v>
      </c>
      <c r="X853">
        <v>0.7929266391674834</v>
      </c>
      <c r="Y853">
        <v>0.55648180486150012</v>
      </c>
      <c r="Z853">
        <v>0.87213188721320245</v>
      </c>
      <c r="AA853">
        <v>0.83079882167036012</v>
      </c>
      <c r="AB853">
        <v>0.65206532559112562</v>
      </c>
      <c r="AC853">
        <v>0.84862815889493382</v>
      </c>
      <c r="AD853">
        <v>0.79252546758897147</v>
      </c>
      <c r="AE853">
        <v>0.42547620875138542</v>
      </c>
      <c r="AH853">
        <v>0.34332081347144583</v>
      </c>
      <c r="AI853">
        <v>4.9644597496745879E-2</v>
      </c>
      <c r="AJ853">
        <v>5.5681060208133237E-2</v>
      </c>
      <c r="AK853">
        <v>8.1646681237631302E-2</v>
      </c>
      <c r="AL853">
        <v>7.6610199369630427E-2</v>
      </c>
      <c r="AM853">
        <v>0.11162310821113097</v>
      </c>
      <c r="AN853">
        <v>3.8125180351833654E-2</v>
      </c>
      <c r="AO853">
        <v>0.22415767999552116</v>
      </c>
      <c r="AR853">
        <v>8.2388044160333954E-4</v>
      </c>
      <c r="AS853">
        <v>4.6301433633336719E-3</v>
      </c>
      <c r="AT853">
        <v>5.5071009625980993E-3</v>
      </c>
      <c r="AU853">
        <v>2.0505233163831127E-3</v>
      </c>
      <c r="AV853">
        <v>2.1340215247588334E-3</v>
      </c>
      <c r="AW853">
        <v>3.3893237629766732E-3</v>
      </c>
      <c r="AX853">
        <v>4.9630995578231474E-4</v>
      </c>
      <c r="AY853">
        <v>4.5155338138891388E-4</v>
      </c>
      <c r="BB853">
        <v>5.3855803321005924E-2</v>
      </c>
      <c r="BC853">
        <v>5.0383374612313792E-2</v>
      </c>
      <c r="BE853">
        <v>69194.28311465845</v>
      </c>
      <c r="BF853">
        <v>17.35851188216887</v>
      </c>
      <c r="BG853">
        <v>71809.010731491464</v>
      </c>
      <c r="BH853">
        <v>17.242414474757776</v>
      </c>
      <c r="BI853">
        <v>-2614.7276168330136</v>
      </c>
      <c r="BJ853">
        <v>0.1160974074110932</v>
      </c>
    </row>
    <row r="854" spans="3:62" x14ac:dyDescent="0.2">
      <c r="C854" s="121">
        <v>70558.815556984046</v>
      </c>
      <c r="D854">
        <v>18.57994772790321</v>
      </c>
      <c r="E854" s="121">
        <v>72773.039127349388</v>
      </c>
      <c r="F854" s="121">
        <v>18.458766176224582</v>
      </c>
      <c r="G854" s="121">
        <v>-2214.2235703653423</v>
      </c>
      <c r="H854" s="121">
        <v>0.1211815516786281</v>
      </c>
      <c r="N854" s="121"/>
      <c r="O854" s="121"/>
      <c r="P854" s="121"/>
      <c r="R854">
        <v>201.73415709473539</v>
      </c>
      <c r="S854">
        <v>64.9133984025231</v>
      </c>
      <c r="T854">
        <v>261.14304556151473</v>
      </c>
      <c r="U854">
        <v>93.019809271675214</v>
      </c>
      <c r="X854">
        <v>0.56544791475177147</v>
      </c>
      <c r="Y854">
        <v>0.85165195021746509</v>
      </c>
      <c r="Z854">
        <v>0.90148214058065845</v>
      </c>
      <c r="AA854">
        <v>0.31006543063842473</v>
      </c>
      <c r="AB854">
        <v>0.84059351789183467</v>
      </c>
      <c r="AC854">
        <v>0.84577930149645852</v>
      </c>
      <c r="AD854">
        <v>0.82551731456072897</v>
      </c>
      <c r="AE854">
        <v>0.87640377385898538</v>
      </c>
      <c r="AH854">
        <v>0.23601906871180045</v>
      </c>
      <c r="AI854">
        <v>0.40813904130079648</v>
      </c>
      <c r="AJ854">
        <v>9.7104546489193977E-2</v>
      </c>
      <c r="AK854">
        <v>1.8290775259365621E-2</v>
      </c>
      <c r="AL854">
        <v>2.5366784527509623E-2</v>
      </c>
      <c r="AM854">
        <v>0.10516930258423351</v>
      </c>
      <c r="AN854">
        <v>0.18970338137555443</v>
      </c>
      <c r="AO854">
        <v>0.1877091596501177</v>
      </c>
      <c r="AR854">
        <v>8.1355766087398598E-4</v>
      </c>
      <c r="AS854">
        <v>4.6941508554563249E-3</v>
      </c>
      <c r="AT854">
        <v>5.0286946434489055E-3</v>
      </c>
      <c r="AU854">
        <v>1.9546530385714223E-3</v>
      </c>
      <c r="AV854">
        <v>2.1373137603774017E-3</v>
      </c>
      <c r="AW854">
        <v>3.4789062449884778E-3</v>
      </c>
      <c r="AX854">
        <v>4.4444129248377706E-4</v>
      </c>
      <c r="AY854">
        <v>5.6555823466031274E-4</v>
      </c>
      <c r="BB854">
        <v>4.4737323496747271E-2</v>
      </c>
      <c r="BC854">
        <v>9.0468277563551691E-2</v>
      </c>
      <c r="BE854">
        <v>70558.815556984046</v>
      </c>
      <c r="BF854">
        <v>18.57994772790321</v>
      </c>
      <c r="BG854">
        <v>72773.039127349388</v>
      </c>
      <c r="BH854">
        <v>18.458766176224582</v>
      </c>
      <c r="BI854">
        <v>-2214.2235703653423</v>
      </c>
      <c r="BJ854">
        <v>0.1211815516786281</v>
      </c>
    </row>
    <row r="855" spans="3:62" x14ac:dyDescent="0.2">
      <c r="C855" s="121">
        <v>66117.238001714592</v>
      </c>
      <c r="D855">
        <v>15.402257276697828</v>
      </c>
      <c r="E855" s="121">
        <v>68328.688381661821</v>
      </c>
      <c r="F855" s="121">
        <v>15.196051955672953</v>
      </c>
      <c r="G855" s="121">
        <v>-2211.4503799472295</v>
      </c>
      <c r="H855" s="121">
        <v>0.20620532102487488</v>
      </c>
      <c r="N855" s="121"/>
      <c r="O855" s="121"/>
      <c r="P855" s="121"/>
      <c r="R855">
        <v>228.26091735587465</v>
      </c>
      <c r="S855">
        <v>66.581510914181266</v>
      </c>
      <c r="T855">
        <v>260.42939390135194</v>
      </c>
      <c r="U855">
        <v>97.956529020419566</v>
      </c>
      <c r="X855">
        <v>0.86363809603214847</v>
      </c>
      <c r="Y855">
        <v>0.66435386971475174</v>
      </c>
      <c r="Z855">
        <v>0.80163242223411557</v>
      </c>
      <c r="AA855">
        <v>0.54018738804899269</v>
      </c>
      <c r="AB855">
        <v>0.56436345864711912</v>
      </c>
      <c r="AC855">
        <v>0.49893401199621457</v>
      </c>
      <c r="AD855">
        <v>0.80688619397979544</v>
      </c>
      <c r="AE855">
        <v>0.59381197417307774</v>
      </c>
      <c r="AH855">
        <v>0.15188752757897916</v>
      </c>
      <c r="AI855">
        <v>0.13493206278228154</v>
      </c>
      <c r="AJ855">
        <v>0.16256427046291178</v>
      </c>
      <c r="AK855">
        <v>0.11039821068075062</v>
      </c>
      <c r="AL855">
        <v>0.20059807609403169</v>
      </c>
      <c r="AM855">
        <v>7.8652805629433331E-3</v>
      </c>
      <c r="AN855">
        <v>0.18522072447706772</v>
      </c>
      <c r="AO855">
        <v>0.23670102908555968</v>
      </c>
      <c r="AR855">
        <v>9.5104984495453238E-4</v>
      </c>
      <c r="AS855">
        <v>4.4884840165916274E-3</v>
      </c>
      <c r="AT855">
        <v>5.5906351573227209E-3</v>
      </c>
      <c r="AU855">
        <v>2.2028746750298867E-3</v>
      </c>
      <c r="AV855">
        <v>2.0704010966134945E-3</v>
      </c>
      <c r="AW855">
        <v>3.7436823095774452E-3</v>
      </c>
      <c r="AX855">
        <v>3.3838976431234603E-4</v>
      </c>
      <c r="AY855">
        <v>3.0921650905936266E-4</v>
      </c>
      <c r="BB855">
        <v>5.3509152086995471E-2</v>
      </c>
      <c r="BC855">
        <v>5.4602898667280519E-2</v>
      </c>
      <c r="BE855">
        <v>66117.238001714592</v>
      </c>
      <c r="BF855">
        <v>15.402257276697828</v>
      </c>
      <c r="BG855">
        <v>68328.688381661821</v>
      </c>
      <c r="BH855">
        <v>15.196051955672953</v>
      </c>
      <c r="BI855">
        <v>-2211.4503799472295</v>
      </c>
      <c r="BJ855">
        <v>0.20620532102487488</v>
      </c>
    </row>
    <row r="856" spans="3:62" x14ac:dyDescent="0.2">
      <c r="C856" s="121">
        <v>76164.140456580702</v>
      </c>
      <c r="D856">
        <v>16.404483375975609</v>
      </c>
      <c r="E856" s="121">
        <v>77107.229708353698</v>
      </c>
      <c r="F856" s="121">
        <v>16.296622381199384</v>
      </c>
      <c r="G856" s="121">
        <v>-943.08925177299534</v>
      </c>
      <c r="H856" s="121">
        <v>0.10786099477622457</v>
      </c>
      <c r="N856" s="121"/>
      <c r="O856" s="121"/>
      <c r="P856" s="121"/>
      <c r="R856">
        <v>314.99231257608176</v>
      </c>
      <c r="S856">
        <v>61.157913963924372</v>
      </c>
      <c r="T856">
        <v>226.17210514061642</v>
      </c>
      <c r="U856">
        <v>86.185384745670916</v>
      </c>
      <c r="X856">
        <v>0.96378343218434459</v>
      </c>
      <c r="Y856">
        <v>0.52867051947122323</v>
      </c>
      <c r="Z856">
        <v>0.576399496557225</v>
      </c>
      <c r="AA856">
        <v>0.58532969275443325</v>
      </c>
      <c r="AB856">
        <v>0.94137306637396134</v>
      </c>
      <c r="AC856">
        <v>0.60240127886949091</v>
      </c>
      <c r="AD856">
        <v>0.79843079439610753</v>
      </c>
      <c r="AE856">
        <v>0.65652635797147341</v>
      </c>
      <c r="AH856">
        <v>3.595223151193816E-2</v>
      </c>
      <c r="AI856">
        <v>0.14125523903169257</v>
      </c>
      <c r="AJ856">
        <v>6.9483670529723041E-2</v>
      </c>
      <c r="AK856">
        <v>2.2262491365988346E-2</v>
      </c>
      <c r="AL856">
        <v>0.18664141059276529</v>
      </c>
      <c r="AM856">
        <v>9.5978523779954195E-2</v>
      </c>
      <c r="AN856">
        <v>8.4014981636986841E-2</v>
      </c>
      <c r="AO856">
        <v>7.8579497543150412E-2</v>
      </c>
      <c r="AR856">
        <v>1.1347640753098798E-3</v>
      </c>
      <c r="AS856">
        <v>4.2506408966961539E-3</v>
      </c>
      <c r="AT856">
        <v>4.887798664102389E-3</v>
      </c>
      <c r="AU856">
        <v>2.0509832157619146E-3</v>
      </c>
      <c r="AV856">
        <v>1.908627783658334E-3</v>
      </c>
      <c r="AW856">
        <v>3.6301033919622361E-3</v>
      </c>
      <c r="AX856">
        <v>4.0279917728891501E-4</v>
      </c>
      <c r="AY856">
        <v>5.1221568644288507E-4</v>
      </c>
      <c r="BB856">
        <v>5.6878492418188764E-2</v>
      </c>
      <c r="BC856">
        <v>6.8262622390558469E-2</v>
      </c>
      <c r="BE856">
        <v>76164.140456580702</v>
      </c>
      <c r="BF856">
        <v>16.404483375975609</v>
      </c>
      <c r="BG856">
        <v>77107.229708353698</v>
      </c>
      <c r="BH856">
        <v>16.296622381199384</v>
      </c>
      <c r="BI856">
        <v>-943.08925177299534</v>
      </c>
      <c r="BJ856">
        <v>0.10786099477622457</v>
      </c>
    </row>
    <row r="857" spans="3:62" x14ac:dyDescent="0.2">
      <c r="C857" s="121">
        <v>70304.076404762731</v>
      </c>
      <c r="D857">
        <v>15.173043682954955</v>
      </c>
      <c r="E857" s="121">
        <v>72912.27254260637</v>
      </c>
      <c r="F857" s="121">
        <v>15.009015068265771</v>
      </c>
      <c r="G857" s="121">
        <v>-2608.196137843639</v>
      </c>
      <c r="H857" s="121">
        <v>0.16402861468918317</v>
      </c>
      <c r="N857" s="121"/>
      <c r="O857" s="121"/>
      <c r="P857" s="121"/>
      <c r="R857">
        <v>217.26856364648211</v>
      </c>
      <c r="S857">
        <v>68.415319117472279</v>
      </c>
      <c r="T857">
        <v>222.03171295130625</v>
      </c>
      <c r="U857">
        <v>97.428219771296156</v>
      </c>
      <c r="X857">
        <v>0.85192690835733687</v>
      </c>
      <c r="Y857">
        <v>0.85828497553586847</v>
      </c>
      <c r="Z857">
        <v>0.74836112699926649</v>
      </c>
      <c r="AA857">
        <v>0.78384886637974605</v>
      </c>
      <c r="AB857">
        <v>0.85113913231475302</v>
      </c>
      <c r="AC857">
        <v>0.59259359558953395</v>
      </c>
      <c r="AD857">
        <v>0.50614792301690059</v>
      </c>
      <c r="AE857">
        <v>0.79325873125445279</v>
      </c>
      <c r="AH857">
        <v>0.23891765045923785</v>
      </c>
      <c r="AI857">
        <v>0.15199665180984268</v>
      </c>
      <c r="AJ857">
        <v>1.2351506990660122E-2</v>
      </c>
      <c r="AK857">
        <v>8.2016598889333769E-2</v>
      </c>
      <c r="AL857">
        <v>0.11752024553864293</v>
      </c>
      <c r="AM857">
        <v>0.10021190287006043</v>
      </c>
      <c r="AN857">
        <v>0.20613098358041437</v>
      </c>
      <c r="AO857">
        <v>8.2852676113002732E-2</v>
      </c>
      <c r="AR857">
        <v>9.1652213313964115E-4</v>
      </c>
      <c r="AS857">
        <v>4.5904334680548775E-3</v>
      </c>
      <c r="AT857">
        <v>4.9890385548885252E-3</v>
      </c>
      <c r="AU857">
        <v>2.19089217356494E-3</v>
      </c>
      <c r="AV857">
        <v>1.692156401343239E-3</v>
      </c>
      <c r="AW857">
        <v>3.6071392909894362E-3</v>
      </c>
      <c r="AX857">
        <v>4.7404361152769692E-4</v>
      </c>
      <c r="AY857">
        <v>3.7959574243332666E-4</v>
      </c>
      <c r="BB857">
        <v>5.0154697505632173E-2</v>
      </c>
      <c r="BC857">
        <v>4.1816252107449978E-2</v>
      </c>
      <c r="BE857">
        <v>70304.076404762731</v>
      </c>
      <c r="BF857">
        <v>15.173043682954955</v>
      </c>
      <c r="BG857">
        <v>72912.27254260637</v>
      </c>
      <c r="BH857">
        <v>15.009015068265771</v>
      </c>
      <c r="BI857">
        <v>-2608.196137843639</v>
      </c>
      <c r="BJ857">
        <v>0.16402861468918317</v>
      </c>
    </row>
    <row r="858" spans="3:62" x14ac:dyDescent="0.2">
      <c r="C858" s="121">
        <v>61887.979137950402</v>
      </c>
      <c r="D858">
        <v>19.357143009012116</v>
      </c>
      <c r="E858" s="121">
        <v>63588.498330367118</v>
      </c>
      <c r="F858" s="121">
        <v>19.26336605116466</v>
      </c>
      <c r="G858" s="121">
        <v>-1700.5191924167157</v>
      </c>
      <c r="H858" s="121">
        <v>9.3776957847456544E-2</v>
      </c>
      <c r="N858" s="121"/>
      <c r="O858" s="121"/>
      <c r="P858" s="121"/>
      <c r="R858">
        <v>89.490202821029186</v>
      </c>
      <c r="S858">
        <v>61.747106365505068</v>
      </c>
      <c r="T858">
        <v>226.35270896708352</v>
      </c>
      <c r="U858">
        <v>97.21150430975716</v>
      </c>
      <c r="X858">
        <v>0.86437864562909594</v>
      </c>
      <c r="Y858">
        <v>0.72895671005326623</v>
      </c>
      <c r="Z858">
        <v>0.74142329816600683</v>
      </c>
      <c r="AA858">
        <v>0.77065028005100289</v>
      </c>
      <c r="AB858">
        <v>0.7048088320309448</v>
      </c>
      <c r="AC858">
        <v>0.76314978234680331</v>
      </c>
      <c r="AD858">
        <v>0.7490846543592895</v>
      </c>
      <c r="AE858">
        <v>0.64806943927909688</v>
      </c>
      <c r="AH858">
        <v>2.052334548940915E-2</v>
      </c>
      <c r="AI858">
        <v>7.9497519604873945E-2</v>
      </c>
      <c r="AJ858">
        <v>6.789281537292613E-2</v>
      </c>
      <c r="AK858">
        <v>2.6036370008908571E-2</v>
      </c>
      <c r="AL858">
        <v>0.19866518377070763</v>
      </c>
      <c r="AM858">
        <v>6.7793427701424269E-2</v>
      </c>
      <c r="AN858">
        <v>9.7973697344726163E-2</v>
      </c>
      <c r="AO858">
        <v>3.1976289444704875E-2</v>
      </c>
      <c r="AR858">
        <v>1.070126019789841E-3</v>
      </c>
      <c r="AS858">
        <v>4.1227145889560389E-3</v>
      </c>
      <c r="AT858">
        <v>4.8092743594837862E-3</v>
      </c>
      <c r="AU858">
        <v>1.7958946996546438E-3</v>
      </c>
      <c r="AV858">
        <v>2.1702563255725504E-3</v>
      </c>
      <c r="AW858">
        <v>3.4176707410370488E-3</v>
      </c>
      <c r="AX858">
        <v>3.3737613191965615E-4</v>
      </c>
      <c r="AY858">
        <v>4.0016045957957279E-4</v>
      </c>
      <c r="BB858">
        <v>4.6508939764053722E-2</v>
      </c>
      <c r="BC858">
        <v>6.1269679928027232E-2</v>
      </c>
      <c r="BE858">
        <v>61887.979137950402</v>
      </c>
      <c r="BF858">
        <v>19.357143009012116</v>
      </c>
      <c r="BG858">
        <v>63588.498330367118</v>
      </c>
      <c r="BH858">
        <v>19.26336605116466</v>
      </c>
      <c r="BI858">
        <v>-1700.5191924167157</v>
      </c>
      <c r="BJ858">
        <v>9.3776957847456544E-2</v>
      </c>
    </row>
    <row r="859" spans="3:62" x14ac:dyDescent="0.2">
      <c r="C859" s="121">
        <v>70347.207783972757</v>
      </c>
      <c r="D859">
        <v>13.278053019016197</v>
      </c>
      <c r="E859" s="121">
        <v>72019.816958377764</v>
      </c>
      <c r="F859" s="121">
        <v>13.207023862934969</v>
      </c>
      <c r="G859" s="121">
        <v>-1672.6091744050063</v>
      </c>
      <c r="H859" s="121">
        <v>7.1029156081227285E-2</v>
      </c>
      <c r="N859" s="121"/>
      <c r="O859" s="121"/>
      <c r="P859" s="121"/>
      <c r="R859">
        <v>280.32552054971484</v>
      </c>
      <c r="S859">
        <v>63.327216826698965</v>
      </c>
      <c r="T859">
        <v>229.05837430100451</v>
      </c>
      <c r="U859">
        <v>85.900766337820826</v>
      </c>
      <c r="X859">
        <v>0.8247459968846611</v>
      </c>
      <c r="Y859">
        <v>0.63809906592088672</v>
      </c>
      <c r="Z859">
        <v>0.66998795355449303</v>
      </c>
      <c r="AA859">
        <v>0.52950487344283692</v>
      </c>
      <c r="AB859">
        <v>0.91391777940312058</v>
      </c>
      <c r="AC859">
        <v>0.80595588218295455</v>
      </c>
      <c r="AD859">
        <v>0.71215402117268223</v>
      </c>
      <c r="AE859">
        <v>0.66161664427884104</v>
      </c>
      <c r="AH859">
        <v>0.21506216404523504</v>
      </c>
      <c r="AI859">
        <v>0.1118164056040355</v>
      </c>
      <c r="AJ859">
        <v>0.26731327106712677</v>
      </c>
      <c r="AK859">
        <v>6.7864323597283338E-2</v>
      </c>
      <c r="AL859">
        <v>0.19877617174377737</v>
      </c>
      <c r="AM859">
        <v>0.27036596866226137</v>
      </c>
      <c r="AN859">
        <v>4.0084804924848561E-2</v>
      </c>
      <c r="AO859">
        <v>3.7734699427076857E-2</v>
      </c>
      <c r="AR859">
        <v>9.0428553326127314E-4</v>
      </c>
      <c r="AS859">
        <v>4.4422187893823862E-3</v>
      </c>
      <c r="AT859">
        <v>5.0807615297574493E-3</v>
      </c>
      <c r="AU859">
        <v>1.7633752716596184E-3</v>
      </c>
      <c r="AV859">
        <v>1.8251076768806933E-3</v>
      </c>
      <c r="AW859">
        <v>3.4533555555905648E-3</v>
      </c>
      <c r="AX859">
        <v>3.9984930973635535E-4</v>
      </c>
      <c r="AY859">
        <v>4.3107036558291011E-4</v>
      </c>
      <c r="BB859">
        <v>4.8464907991248814E-2</v>
      </c>
      <c r="BC859">
        <v>4.7558838729263586E-2</v>
      </c>
      <c r="BE859">
        <v>70347.207783972757</v>
      </c>
      <c r="BF859">
        <v>13.278053019016197</v>
      </c>
      <c r="BG859">
        <v>72019.816958377764</v>
      </c>
      <c r="BH859">
        <v>13.207023862934969</v>
      </c>
      <c r="BI859">
        <v>-1672.6091744050063</v>
      </c>
      <c r="BJ859">
        <v>7.1029156081227285E-2</v>
      </c>
    </row>
    <row r="860" spans="3:62" x14ac:dyDescent="0.2">
      <c r="C860" s="121">
        <v>68018.631264921365</v>
      </c>
      <c r="D860">
        <v>14.331374784256822</v>
      </c>
      <c r="E860" s="121">
        <v>69922.876446385402</v>
      </c>
      <c r="F860" s="121">
        <v>14.215769038649066</v>
      </c>
      <c r="G860" s="121">
        <v>-1904.2451814640372</v>
      </c>
      <c r="H860" s="121">
        <v>0.11560574560775549</v>
      </c>
      <c r="N860" s="121"/>
      <c r="O860" s="121"/>
      <c r="P860" s="121"/>
      <c r="R860">
        <v>156.11863959555734</v>
      </c>
      <c r="S860">
        <v>71.47512751608177</v>
      </c>
      <c r="T860">
        <v>256.76477389807184</v>
      </c>
      <c r="U860">
        <v>94.448341216762756</v>
      </c>
      <c r="X860">
        <v>0.80513474338641344</v>
      </c>
      <c r="Y860">
        <v>0.64990650981731302</v>
      </c>
      <c r="Z860">
        <v>0.57103362155169846</v>
      </c>
      <c r="AA860">
        <v>0.762255068676155</v>
      </c>
      <c r="AB860">
        <v>0.62975438131845107</v>
      </c>
      <c r="AC860">
        <v>0.69854213665886855</v>
      </c>
      <c r="AD860">
        <v>0.85074361191829695</v>
      </c>
      <c r="AE860">
        <v>0.81555435991114789</v>
      </c>
      <c r="AH860">
        <v>0.13321855804373239</v>
      </c>
      <c r="AI860">
        <v>0.11342444444922994</v>
      </c>
      <c r="AJ860">
        <v>0.17428229522057348</v>
      </c>
      <c r="AK860">
        <v>0.27840827353200603</v>
      </c>
      <c r="AL860">
        <v>6.0330345586364298E-2</v>
      </c>
      <c r="AM860">
        <v>0.10880930815617429</v>
      </c>
      <c r="AN860">
        <v>0.21797487772735491</v>
      </c>
      <c r="AO860">
        <v>0.11366717536210902</v>
      </c>
      <c r="AR860">
        <v>9.127515092377525E-4</v>
      </c>
      <c r="AS860">
        <v>4.5019799645461545E-3</v>
      </c>
      <c r="AT860">
        <v>4.7942501907949145E-3</v>
      </c>
      <c r="AU860">
        <v>1.8933325865712607E-3</v>
      </c>
      <c r="AV860">
        <v>1.7900268842214486E-3</v>
      </c>
      <c r="AW860">
        <v>3.492474430218051E-3</v>
      </c>
      <c r="AX860">
        <v>3.6857521165585007E-4</v>
      </c>
      <c r="AY860">
        <v>5.4995081914499533E-4</v>
      </c>
      <c r="BB860">
        <v>4.3275171000304896E-2</v>
      </c>
      <c r="BC860">
        <v>2.6468052081220918E-2</v>
      </c>
      <c r="BE860">
        <v>68018.631264921365</v>
      </c>
      <c r="BF860">
        <v>14.331374784256822</v>
      </c>
      <c r="BG860">
        <v>69922.876446385402</v>
      </c>
      <c r="BH860">
        <v>14.215769038649066</v>
      </c>
      <c r="BI860">
        <v>-1904.2451814640372</v>
      </c>
      <c r="BJ860">
        <v>0.11560574560775549</v>
      </c>
    </row>
    <row r="861" spans="3:62" x14ac:dyDescent="0.2">
      <c r="C861" s="121">
        <v>70733.53082038858</v>
      </c>
      <c r="D861">
        <v>16.9511215894419</v>
      </c>
      <c r="E861" s="121">
        <v>73066.818413029279</v>
      </c>
      <c r="F861" s="121">
        <v>16.779641072768314</v>
      </c>
      <c r="G861" s="121">
        <v>-2333.2875926406996</v>
      </c>
      <c r="H861" s="121">
        <v>0.17148051667358644</v>
      </c>
      <c r="N861" s="121"/>
      <c r="O861" s="121"/>
      <c r="P861" s="121"/>
      <c r="R861">
        <v>388.97000574603686</v>
      </c>
      <c r="S861">
        <v>69.524251340254125</v>
      </c>
      <c r="T861">
        <v>220.00110415073968</v>
      </c>
      <c r="U861">
        <v>106.50608249088424</v>
      </c>
      <c r="X861">
        <v>0.56520902663265005</v>
      </c>
      <c r="Y861">
        <v>0.36140640409062802</v>
      </c>
      <c r="Z861">
        <v>0.91374118198389676</v>
      </c>
      <c r="AA861">
        <v>0.93542664933078368</v>
      </c>
      <c r="AB861">
        <v>0.89104147995484551</v>
      </c>
      <c r="AC861">
        <v>0.82277579937057332</v>
      </c>
      <c r="AD861">
        <v>0.82069989434391744</v>
      </c>
      <c r="AE861">
        <v>0.64915803163380026</v>
      </c>
      <c r="AH861">
        <v>7.1163663823587964E-3</v>
      </c>
      <c r="AI861">
        <v>4.6250284120640028E-2</v>
      </c>
      <c r="AJ861">
        <v>5.8092796555182069E-2</v>
      </c>
      <c r="AK861">
        <v>0.16917824065581333</v>
      </c>
      <c r="AL861">
        <v>0.28651059443120908</v>
      </c>
      <c r="AM861">
        <v>0.14911855259455487</v>
      </c>
      <c r="AN861">
        <v>0.16014620505802024</v>
      </c>
      <c r="AO861">
        <v>9.8762954956596816E-2</v>
      </c>
      <c r="AR861">
        <v>9.3746417790885328E-4</v>
      </c>
      <c r="AS861">
        <v>4.2751531290772119E-3</v>
      </c>
      <c r="AT861">
        <v>5.0632567389194971E-3</v>
      </c>
      <c r="AU861">
        <v>1.944672279394015E-3</v>
      </c>
      <c r="AV861">
        <v>2.0863500062331397E-3</v>
      </c>
      <c r="AW861">
        <v>3.6805058007558511E-3</v>
      </c>
      <c r="AX861">
        <v>5.3149625131998501E-4</v>
      </c>
      <c r="AY861">
        <v>3.9505066955967548E-4</v>
      </c>
      <c r="BB861">
        <v>5.1113893066985883E-2</v>
      </c>
      <c r="BC861">
        <v>5.9216224536867035E-2</v>
      </c>
      <c r="BE861">
        <v>70733.53082038858</v>
      </c>
      <c r="BF861">
        <v>16.9511215894419</v>
      </c>
      <c r="BG861">
        <v>73066.818413029279</v>
      </c>
      <c r="BH861">
        <v>16.779641072768314</v>
      </c>
      <c r="BI861">
        <v>-2333.2875926406996</v>
      </c>
      <c r="BJ861">
        <v>0.17148051667358644</v>
      </c>
    </row>
    <row r="862" spans="3:62" x14ac:dyDescent="0.2">
      <c r="C862" s="121">
        <v>77975.89274506527</v>
      </c>
      <c r="D862">
        <v>15.200203326610826</v>
      </c>
      <c r="E862" s="121">
        <v>80223.250457668357</v>
      </c>
      <c r="F862" s="121">
        <v>15.010262927591157</v>
      </c>
      <c r="G862" s="121">
        <v>-2247.3577126030868</v>
      </c>
      <c r="H862" s="121">
        <v>0.18994039901966886</v>
      </c>
      <c r="N862" s="121"/>
      <c r="O862" s="121"/>
      <c r="P862" s="121"/>
      <c r="R862">
        <v>395.53456437363735</v>
      </c>
      <c r="S862">
        <v>66.00787221829053</v>
      </c>
      <c r="T862">
        <v>220.03808165870583</v>
      </c>
      <c r="U862">
        <v>90.140749826569433</v>
      </c>
      <c r="X862">
        <v>0.70740403225470438</v>
      </c>
      <c r="Y862">
        <v>0.77994563961639984</v>
      </c>
      <c r="Z862">
        <v>0.76766804140089051</v>
      </c>
      <c r="AA862">
        <v>0.7465084730006798</v>
      </c>
      <c r="AB862">
        <v>0.81856922744475402</v>
      </c>
      <c r="AC862">
        <v>0.79931913791812181</v>
      </c>
      <c r="AD862">
        <v>0.34786245545003253</v>
      </c>
      <c r="AE862">
        <v>0.8477747932324986</v>
      </c>
      <c r="AH862">
        <v>0.10908450701990469</v>
      </c>
      <c r="AI862">
        <v>0.22253822527247613</v>
      </c>
      <c r="AJ862">
        <v>8.2009295098721235E-2</v>
      </c>
      <c r="AK862">
        <v>0.24035285523568151</v>
      </c>
      <c r="AL862">
        <v>0.1996820808017481</v>
      </c>
      <c r="AM862">
        <v>0.11105466130815278</v>
      </c>
      <c r="AN862">
        <v>8.0048617201822214E-3</v>
      </c>
      <c r="AO862">
        <v>9.9103808619668499E-2</v>
      </c>
      <c r="AR862">
        <v>8.4239414971294072E-4</v>
      </c>
      <c r="AS862">
        <v>4.2840653819694674E-3</v>
      </c>
      <c r="AT862">
        <v>4.8959123033309364E-3</v>
      </c>
      <c r="AU862">
        <v>2.1192081751898462E-3</v>
      </c>
      <c r="AV862">
        <v>1.9949264584440988E-3</v>
      </c>
      <c r="AW862">
        <v>3.2711137564696499E-3</v>
      </c>
      <c r="AX862">
        <v>4.1366681643018044E-4</v>
      </c>
      <c r="AY862">
        <v>4.670301834791557E-4</v>
      </c>
      <c r="BB862">
        <v>4.1040486887279397E-2</v>
      </c>
      <c r="BC862">
        <v>2.7645102719599423E-2</v>
      </c>
      <c r="BE862">
        <v>77975.89274506527</v>
      </c>
      <c r="BF862">
        <v>15.200203326610826</v>
      </c>
      <c r="BG862">
        <v>80223.250457668357</v>
      </c>
      <c r="BH862">
        <v>15.010262927591157</v>
      </c>
      <c r="BI862">
        <v>-2247.3577126030868</v>
      </c>
      <c r="BJ862">
        <v>0.18994039901966886</v>
      </c>
    </row>
    <row r="863" spans="3:62" x14ac:dyDescent="0.2">
      <c r="C863" s="121">
        <v>67713.505719626075</v>
      </c>
      <c r="D863">
        <v>16.645204359717258</v>
      </c>
      <c r="E863" s="121">
        <v>69290.365227817718</v>
      </c>
      <c r="F863" s="121">
        <v>16.50577122357193</v>
      </c>
      <c r="G863" s="121">
        <v>-1576.8595081916428</v>
      </c>
      <c r="H863" s="121">
        <v>0.13943313614532826</v>
      </c>
      <c r="N863" s="121"/>
      <c r="O863" s="121"/>
      <c r="P863" s="121"/>
      <c r="R863">
        <v>369.2591614617661</v>
      </c>
      <c r="S863">
        <v>58.494487183171742</v>
      </c>
      <c r="T863">
        <v>279.5521192502386</v>
      </c>
      <c r="U863">
        <v>82.331015160377092</v>
      </c>
      <c r="X863">
        <v>0.81874063641787365</v>
      </c>
      <c r="Y863">
        <v>0.70671571008936418</v>
      </c>
      <c r="Z863">
        <v>0.73260110479506524</v>
      </c>
      <c r="AA863">
        <v>0.76661137485968511</v>
      </c>
      <c r="AB863">
        <v>0.48097264996103795</v>
      </c>
      <c r="AC863">
        <v>0.85551325517529553</v>
      </c>
      <c r="AD863">
        <v>0.91805121111245469</v>
      </c>
      <c r="AE863">
        <v>0.88721818869226166</v>
      </c>
      <c r="AH863">
        <v>9.6852460575718502E-2</v>
      </c>
      <c r="AI863">
        <v>0.16730894261770601</v>
      </c>
      <c r="AJ863">
        <v>0.21549984554649404</v>
      </c>
      <c r="AK863">
        <v>0.11861234253607289</v>
      </c>
      <c r="AL863">
        <v>5.488140267067898E-2</v>
      </c>
      <c r="AM863">
        <v>0.17493947353222972</v>
      </c>
      <c r="AN863">
        <v>2.8233930225153303E-2</v>
      </c>
      <c r="AO863">
        <v>6.2609076240831563E-3</v>
      </c>
      <c r="AR863">
        <v>8.7597882159496353E-4</v>
      </c>
      <c r="AS863">
        <v>4.3469511561372975E-3</v>
      </c>
      <c r="AT863">
        <v>4.6483676727735925E-3</v>
      </c>
      <c r="AU863">
        <v>1.8640208228760931E-3</v>
      </c>
      <c r="AV863">
        <v>1.896392339622239E-3</v>
      </c>
      <c r="AW863">
        <v>3.6645061230046183E-3</v>
      </c>
      <c r="AX863">
        <v>5.1658991376402064E-4</v>
      </c>
      <c r="AY863">
        <v>4.4026428682102673E-4</v>
      </c>
      <c r="BB863">
        <v>5.4937649722728743E-2</v>
      </c>
      <c r="BC863">
        <v>6.6771567728535874E-2</v>
      </c>
      <c r="BE863">
        <v>67713.505719626075</v>
      </c>
      <c r="BF863">
        <v>16.645204359717258</v>
      </c>
      <c r="BG863">
        <v>69290.365227817718</v>
      </c>
      <c r="BH863">
        <v>16.50577122357193</v>
      </c>
      <c r="BI863">
        <v>-1576.8595081916428</v>
      </c>
      <c r="BJ863">
        <v>0.13943313614532826</v>
      </c>
    </row>
    <row r="864" spans="3:62" x14ac:dyDescent="0.2">
      <c r="C864" s="121">
        <v>68906.144098349891</v>
      </c>
      <c r="D864">
        <v>16.029248354438998</v>
      </c>
      <c r="E864" s="121">
        <v>70163.846514492849</v>
      </c>
      <c r="F864" s="121">
        <v>15.936621001751874</v>
      </c>
      <c r="G864" s="121">
        <v>-1257.7024161429581</v>
      </c>
      <c r="H864" s="121">
        <v>9.2627352687124187E-2</v>
      </c>
      <c r="N864" s="121"/>
      <c r="O864" s="121"/>
      <c r="P864" s="121"/>
      <c r="R864">
        <v>178.03514712778124</v>
      </c>
      <c r="S864">
        <v>66.203277946846072</v>
      </c>
      <c r="T864">
        <v>256.53408813344129</v>
      </c>
      <c r="U864">
        <v>87.616236825790395</v>
      </c>
      <c r="X864">
        <v>0.9422619244853766</v>
      </c>
      <c r="Y864">
        <v>0.85654040102717477</v>
      </c>
      <c r="Z864">
        <v>0.61706365719478251</v>
      </c>
      <c r="AA864">
        <v>0.87142242787924651</v>
      </c>
      <c r="AB864">
        <v>0.62705592700932278</v>
      </c>
      <c r="AC864">
        <v>0.86282951867829993</v>
      </c>
      <c r="AD864">
        <v>0.69998815289633765</v>
      </c>
      <c r="AE864">
        <v>0.74701011569303422</v>
      </c>
      <c r="AH864">
        <v>0.20120804672078374</v>
      </c>
      <c r="AI864">
        <v>0.25546937286722671</v>
      </c>
      <c r="AJ864">
        <v>0.15944855767216037</v>
      </c>
      <c r="AK864">
        <v>7.3762539810825922E-2</v>
      </c>
      <c r="AL864">
        <v>0.14199524095633931</v>
      </c>
      <c r="AM864">
        <v>0.10628211121151354</v>
      </c>
      <c r="AN864">
        <v>5.1217273881401182E-2</v>
      </c>
      <c r="AO864">
        <v>5.8854338179904375E-2</v>
      </c>
      <c r="AR864">
        <v>8.263426449707542E-4</v>
      </c>
      <c r="AS864">
        <v>4.4052770461864305E-3</v>
      </c>
      <c r="AT864">
        <v>4.8211619654521792E-3</v>
      </c>
      <c r="AU864">
        <v>1.9040282750233226E-3</v>
      </c>
      <c r="AV864">
        <v>1.7511609744858732E-3</v>
      </c>
      <c r="AW864">
        <v>3.4879436483397086E-3</v>
      </c>
      <c r="AX864">
        <v>3.9947557073338746E-4</v>
      </c>
      <c r="AY864">
        <v>4.4602531529209865E-4</v>
      </c>
      <c r="BB864">
        <v>4.6238576980585824E-2</v>
      </c>
      <c r="BC864">
        <v>6.226554771254833E-2</v>
      </c>
      <c r="BE864">
        <v>68906.144098349891</v>
      </c>
      <c r="BF864">
        <v>16.029248354438998</v>
      </c>
      <c r="BG864">
        <v>70163.846514492849</v>
      </c>
      <c r="BH864">
        <v>15.936621001751874</v>
      </c>
      <c r="BI864">
        <v>-1257.7024161429581</v>
      </c>
      <c r="BJ864">
        <v>9.2627352687124187E-2</v>
      </c>
    </row>
    <row r="865" spans="3:62" x14ac:dyDescent="0.2">
      <c r="C865" s="121">
        <v>79502.033577358918</v>
      </c>
      <c r="D865">
        <v>14.614937518268398</v>
      </c>
      <c r="E865" s="121">
        <v>80468.758942191766</v>
      </c>
      <c r="F865" s="121">
        <v>14.496618129187857</v>
      </c>
      <c r="G865" s="121">
        <v>-966.72536483284784</v>
      </c>
      <c r="H865" s="121">
        <v>0.11831938908054163</v>
      </c>
      <c r="N865" s="121"/>
      <c r="O865" s="121"/>
      <c r="P865" s="121"/>
      <c r="R865">
        <v>260.23917532977487</v>
      </c>
      <c r="S865">
        <v>66.298324189460089</v>
      </c>
      <c r="T865">
        <v>253.3090127016435</v>
      </c>
      <c r="U865">
        <v>75.011663180247268</v>
      </c>
      <c r="X865">
        <v>0.63491800855375424</v>
      </c>
      <c r="Y865">
        <v>0.81524611799756264</v>
      </c>
      <c r="Z865">
        <v>0.51734680187930737</v>
      </c>
      <c r="AA865">
        <v>0.66669000194809525</v>
      </c>
      <c r="AB865">
        <v>0.56404513417890179</v>
      </c>
      <c r="AC865">
        <v>0.80645489074394905</v>
      </c>
      <c r="AD865">
        <v>0.91076321824327267</v>
      </c>
      <c r="AE865">
        <v>0.87595404814543976</v>
      </c>
      <c r="AH865">
        <v>0.11938766942887902</v>
      </c>
      <c r="AI865">
        <v>9.7300521649681504E-2</v>
      </c>
      <c r="AJ865">
        <v>0.12337650439289793</v>
      </c>
      <c r="AK865">
        <v>0.35646462065343243</v>
      </c>
      <c r="AL865">
        <v>8.003590160257168E-2</v>
      </c>
      <c r="AM865">
        <v>0.32428811262330903</v>
      </c>
      <c r="AN865">
        <v>0.10324497027064239</v>
      </c>
      <c r="AO865">
        <v>0.24633242630645202</v>
      </c>
      <c r="AR865">
        <v>9.6838101517260355E-4</v>
      </c>
      <c r="AS865">
        <v>4.5040749468910901E-3</v>
      </c>
      <c r="AT865">
        <v>4.9976557548387923E-3</v>
      </c>
      <c r="AU865">
        <v>1.8548804589069864E-3</v>
      </c>
      <c r="AV865">
        <v>2.2764169965451275E-3</v>
      </c>
      <c r="AW865">
        <v>3.3956324388724037E-3</v>
      </c>
      <c r="AX865">
        <v>3.4015501012677482E-4</v>
      </c>
      <c r="AY865">
        <v>4.0482139555291565E-4</v>
      </c>
      <c r="BB865">
        <v>4.6822742876064111E-2</v>
      </c>
      <c r="BC865">
        <v>5.2497301000922425E-2</v>
      </c>
      <c r="BE865">
        <v>79502.033577358918</v>
      </c>
      <c r="BF865">
        <v>14.614937518268398</v>
      </c>
      <c r="BG865">
        <v>80468.758942191766</v>
      </c>
      <c r="BH865">
        <v>14.496618129187857</v>
      </c>
      <c r="BI865">
        <v>-966.72536483284784</v>
      </c>
      <c r="BJ865">
        <v>0.11831938908054163</v>
      </c>
    </row>
    <row r="866" spans="3:62" x14ac:dyDescent="0.2">
      <c r="C866" s="121">
        <v>72793.953722631573</v>
      </c>
      <c r="D866">
        <v>15.853942142804783</v>
      </c>
      <c r="E866" s="121">
        <v>74073.048225767547</v>
      </c>
      <c r="F866" s="121">
        <v>15.733075620353279</v>
      </c>
      <c r="G866" s="121">
        <v>-1279.0945031359734</v>
      </c>
      <c r="H866" s="121">
        <v>0.12086652245150376</v>
      </c>
      <c r="N866" s="121"/>
      <c r="O866" s="121"/>
      <c r="P866" s="121"/>
      <c r="R866">
        <v>184.08597747886338</v>
      </c>
      <c r="S866">
        <v>54.992571773308192</v>
      </c>
      <c r="T866">
        <v>242.56385692118852</v>
      </c>
      <c r="U866">
        <v>105.70046007681992</v>
      </c>
      <c r="X866">
        <v>0.78689390742269283</v>
      </c>
      <c r="Y866">
        <v>0.80478684713311011</v>
      </c>
      <c r="Z866">
        <v>0.83917984284897429</v>
      </c>
      <c r="AA866">
        <v>0.7245151879772892</v>
      </c>
      <c r="AB866">
        <v>0.5690346487778255</v>
      </c>
      <c r="AC866">
        <v>0.730353571939379</v>
      </c>
      <c r="AD866">
        <v>0.76629012880209246</v>
      </c>
      <c r="AE866">
        <v>0.77571641856765405</v>
      </c>
      <c r="AH866">
        <v>0.16655318249771511</v>
      </c>
      <c r="AI866">
        <v>0.1501533225650219</v>
      </c>
      <c r="AJ866">
        <v>6.8502168276286968E-2</v>
      </c>
      <c r="AK866">
        <v>0.1007349947085181</v>
      </c>
      <c r="AL866">
        <v>0.13280158931954</v>
      </c>
      <c r="AM866">
        <v>0.15480528541374672</v>
      </c>
      <c r="AN866">
        <v>0.1192120396992461</v>
      </c>
      <c r="AO866">
        <v>5.5537615236224358E-2</v>
      </c>
      <c r="AR866">
        <v>8.0673663270136131E-4</v>
      </c>
      <c r="AS866">
        <v>4.4999604517141911E-3</v>
      </c>
      <c r="AT866">
        <v>5.2267182541271273E-3</v>
      </c>
      <c r="AU866">
        <v>1.8296219605589195E-3</v>
      </c>
      <c r="AV866">
        <v>2.0572495543135227E-3</v>
      </c>
      <c r="AW866">
        <v>3.3936831679301444E-3</v>
      </c>
      <c r="AX866">
        <v>2.8591385091590029E-4</v>
      </c>
      <c r="AY866">
        <v>4.1673338304063005E-4</v>
      </c>
      <c r="BB866">
        <v>4.3263812348286031E-2</v>
      </c>
      <c r="BC866">
        <v>4.1029096395649202E-2</v>
      </c>
      <c r="BE866">
        <v>72793.953722631573</v>
      </c>
      <c r="BF866">
        <v>15.853942142804783</v>
      </c>
      <c r="BG866">
        <v>74073.048225767547</v>
      </c>
      <c r="BH866">
        <v>15.733075620353279</v>
      </c>
      <c r="BI866">
        <v>-1279.0945031359734</v>
      </c>
      <c r="BJ866">
        <v>0.12086652245150376</v>
      </c>
    </row>
    <row r="867" spans="3:62" x14ac:dyDescent="0.2">
      <c r="C867" s="121">
        <v>70126.54300656436</v>
      </c>
      <c r="D867">
        <v>16.340023913456907</v>
      </c>
      <c r="E867" s="121">
        <v>71754.58416437071</v>
      </c>
      <c r="F867" s="121">
        <v>16.206596823076367</v>
      </c>
      <c r="G867" s="121">
        <v>-1628.0411578063504</v>
      </c>
      <c r="H867" s="121">
        <v>0.13342709038053968</v>
      </c>
      <c r="N867" s="121"/>
      <c r="O867" s="121"/>
      <c r="P867" s="121"/>
      <c r="R867">
        <v>136.79206116455407</v>
      </c>
      <c r="S867">
        <v>80.885355971805879</v>
      </c>
      <c r="T867">
        <v>226.28293438091069</v>
      </c>
      <c r="U867">
        <v>91.189360016275174</v>
      </c>
      <c r="X867">
        <v>0.75350108682178718</v>
      </c>
      <c r="Y867">
        <v>0.8457328181975664</v>
      </c>
      <c r="Z867">
        <v>0.80836339402849888</v>
      </c>
      <c r="AA867">
        <v>0.70717497875636115</v>
      </c>
      <c r="AB867">
        <v>0.8135307643817522</v>
      </c>
      <c r="AC867">
        <v>0.72680339186465126</v>
      </c>
      <c r="AD867">
        <v>0.63638704084631925</v>
      </c>
      <c r="AE867">
        <v>0.41110971352679715</v>
      </c>
      <c r="AH867">
        <v>0.11784041548750623</v>
      </c>
      <c r="AI867">
        <v>0.15890435665740532</v>
      </c>
      <c r="AJ867">
        <v>2.4622949581549314E-2</v>
      </c>
      <c r="AK867">
        <v>0.19589772623524271</v>
      </c>
      <c r="AL867">
        <v>9.7728852131641952E-2</v>
      </c>
      <c r="AM867">
        <v>0.34417118716092054</v>
      </c>
      <c r="AN867">
        <v>2.894267249815563E-2</v>
      </c>
      <c r="AO867">
        <v>0.19809305794793275</v>
      </c>
      <c r="AR867">
        <v>8.7109060074384067E-4</v>
      </c>
      <c r="AS867">
        <v>4.6715769521318284E-3</v>
      </c>
      <c r="AT867">
        <v>5.104856347974196E-3</v>
      </c>
      <c r="AU867">
        <v>1.9421512836335115E-3</v>
      </c>
      <c r="AV867">
        <v>1.9790356574024941E-3</v>
      </c>
      <c r="AW867">
        <v>3.4829534242079019E-3</v>
      </c>
      <c r="AX867">
        <v>5.1507210140899762E-4</v>
      </c>
      <c r="AY867">
        <v>3.5455981849272358E-4</v>
      </c>
      <c r="BB867">
        <v>4.9639653484877151E-2</v>
      </c>
      <c r="BC867">
        <v>3.7345963324742312E-2</v>
      </c>
      <c r="BE867">
        <v>70126.54300656436</v>
      </c>
      <c r="BF867">
        <v>16.340023913456907</v>
      </c>
      <c r="BG867">
        <v>71754.58416437071</v>
      </c>
      <c r="BH867">
        <v>16.206596823076367</v>
      </c>
      <c r="BI867">
        <v>-1628.0411578063504</v>
      </c>
      <c r="BJ867">
        <v>0.13342709038053968</v>
      </c>
    </row>
    <row r="868" spans="3:62" x14ac:dyDescent="0.2">
      <c r="C868" s="121">
        <v>67640.007551685339</v>
      </c>
      <c r="D868">
        <v>17.612827476929862</v>
      </c>
      <c r="E868" s="121">
        <v>68769.145345418088</v>
      </c>
      <c r="F868" s="121">
        <v>17.50909462442398</v>
      </c>
      <c r="G868" s="121">
        <v>-1129.1377937327488</v>
      </c>
      <c r="H868" s="121">
        <v>0.10373285250588182</v>
      </c>
      <c r="N868" s="121"/>
      <c r="O868" s="121"/>
      <c r="P868" s="121"/>
      <c r="R868">
        <v>346.2723346894802</v>
      </c>
      <c r="S868">
        <v>65.676955904355495</v>
      </c>
      <c r="T868">
        <v>280.2562581213603</v>
      </c>
      <c r="U868">
        <v>94.450931866372443</v>
      </c>
      <c r="X868">
        <v>0.64643388109312483</v>
      </c>
      <c r="Y868">
        <v>0.5818871101663281</v>
      </c>
      <c r="Z868">
        <v>0.59470330316648756</v>
      </c>
      <c r="AA868">
        <v>0.8457999446236627</v>
      </c>
      <c r="AB868">
        <v>0.45033160510652798</v>
      </c>
      <c r="AC868">
        <v>0.80024250653540774</v>
      </c>
      <c r="AD868">
        <v>0.80697780570297983</v>
      </c>
      <c r="AE868">
        <v>0.82020703452971433</v>
      </c>
      <c r="AH868">
        <v>0.17965683701494928</v>
      </c>
      <c r="AI868">
        <v>0.14770305919688964</v>
      </c>
      <c r="AJ868">
        <v>0.14735357137626925</v>
      </c>
      <c r="AK868">
        <v>8.0142247381765674E-2</v>
      </c>
      <c r="AL868">
        <v>0.42708996627926377</v>
      </c>
      <c r="AM868">
        <v>0.12563851605719611</v>
      </c>
      <c r="AN868">
        <v>9.7636148733437067E-2</v>
      </c>
      <c r="AO868">
        <v>9.4088430694003522E-2</v>
      </c>
      <c r="AR868">
        <v>9.2402947975456229E-4</v>
      </c>
      <c r="AS868">
        <v>4.4978563827055007E-3</v>
      </c>
      <c r="AT868">
        <v>4.7306778067365005E-3</v>
      </c>
      <c r="AU868">
        <v>2.0970103929888184E-3</v>
      </c>
      <c r="AV868">
        <v>2.0603152861993212E-3</v>
      </c>
      <c r="AW868">
        <v>3.5830945661512459E-3</v>
      </c>
      <c r="AX868">
        <v>5.1961619886142785E-4</v>
      </c>
      <c r="AY868">
        <v>4.8918253719154592E-4</v>
      </c>
      <c r="BB868">
        <v>5.3735453894612983E-2</v>
      </c>
      <c r="BC868">
        <v>4.6322101956156929E-2</v>
      </c>
      <c r="BE868">
        <v>67640.007551685339</v>
      </c>
      <c r="BF868">
        <v>17.612827476929862</v>
      </c>
      <c r="BG868">
        <v>68769.145345418088</v>
      </c>
      <c r="BH868">
        <v>17.50909462442398</v>
      </c>
      <c r="BI868">
        <v>-1129.1377937327488</v>
      </c>
      <c r="BJ868">
        <v>0.10373285250588182</v>
      </c>
    </row>
    <row r="869" spans="3:62" x14ac:dyDescent="0.2">
      <c r="C869" s="121">
        <v>70218.678131270761</v>
      </c>
      <c r="D869">
        <v>16.246192814990518</v>
      </c>
      <c r="E869" s="121">
        <v>71688.525932650649</v>
      </c>
      <c r="F869" s="121">
        <v>16.172078232648854</v>
      </c>
      <c r="G869" s="121">
        <v>-1469.8478013798886</v>
      </c>
      <c r="H869" s="121">
        <v>7.4114582341664459E-2</v>
      </c>
      <c r="N869" s="121"/>
      <c r="O869" s="121"/>
      <c r="P869" s="121"/>
      <c r="R869">
        <v>239.95728733683853</v>
      </c>
      <c r="S869">
        <v>61.649626031044612</v>
      </c>
      <c r="T869">
        <v>263.79711784986995</v>
      </c>
      <c r="U869">
        <v>104.21875417474851</v>
      </c>
      <c r="X869">
        <v>0.66415311874107363</v>
      </c>
      <c r="Y869">
        <v>0.83401357604144233</v>
      </c>
      <c r="Z869">
        <v>0.65061780232151323</v>
      </c>
      <c r="AA869">
        <v>0.74574694324432278</v>
      </c>
      <c r="AB869">
        <v>0.76318379087063026</v>
      </c>
      <c r="AC869">
        <v>0.66240845194572384</v>
      </c>
      <c r="AD869">
        <v>0.8386004495611874</v>
      </c>
      <c r="AE869">
        <v>0.96761703276565258</v>
      </c>
      <c r="AH869">
        <v>0.106510934518662</v>
      </c>
      <c r="AI869">
        <v>8.84737192876206E-2</v>
      </c>
      <c r="AJ869">
        <v>6.5831995294160173E-2</v>
      </c>
      <c r="AK869">
        <v>0.12296481506043822</v>
      </c>
      <c r="AL869">
        <v>4.135318310813263E-2</v>
      </c>
      <c r="AM869">
        <v>0.10995065462747511</v>
      </c>
      <c r="AN869">
        <v>0.22363887540423832</v>
      </c>
      <c r="AO869">
        <v>9.3903155163673424E-2</v>
      </c>
      <c r="AR869">
        <v>8.8074040995573556E-4</v>
      </c>
      <c r="AS869">
        <v>4.578758908666547E-3</v>
      </c>
      <c r="AT869">
        <v>4.8465971161887602E-3</v>
      </c>
      <c r="AU869">
        <v>1.9508505703612017E-3</v>
      </c>
      <c r="AV869">
        <v>2.1307185288276242E-3</v>
      </c>
      <c r="AW869">
        <v>3.1981618752557083E-3</v>
      </c>
      <c r="AX869">
        <v>3.6827742943084513E-4</v>
      </c>
      <c r="AY869">
        <v>4.4673058044086833E-4</v>
      </c>
      <c r="BB869">
        <v>5.0499847406175191E-2</v>
      </c>
      <c r="BC869">
        <v>9.4842597229357062E-2</v>
      </c>
      <c r="BE869">
        <v>70218.678131270761</v>
      </c>
      <c r="BF869">
        <v>16.246192814990518</v>
      </c>
      <c r="BG869">
        <v>71688.525932650649</v>
      </c>
      <c r="BH869">
        <v>16.172078232648854</v>
      </c>
      <c r="BI869">
        <v>-1469.8478013798886</v>
      </c>
      <c r="BJ869">
        <v>7.4114582341664459E-2</v>
      </c>
    </row>
    <row r="870" spans="3:62" x14ac:dyDescent="0.2">
      <c r="C870" s="121">
        <v>68749.877074886608</v>
      </c>
      <c r="D870">
        <v>17.782631883715826</v>
      </c>
      <c r="E870" s="121">
        <v>71084.232479088096</v>
      </c>
      <c r="F870" s="121">
        <v>17.669338018595447</v>
      </c>
      <c r="G870" s="121">
        <v>-2334.3554042014875</v>
      </c>
      <c r="H870" s="121">
        <v>0.11329386512037942</v>
      </c>
      <c r="N870" s="121"/>
      <c r="O870" s="121"/>
      <c r="P870" s="121"/>
      <c r="R870">
        <v>303.55612907868567</v>
      </c>
      <c r="S870">
        <v>65.825012562443817</v>
      </c>
      <c r="T870">
        <v>277.31701114372413</v>
      </c>
      <c r="U870">
        <v>105.21609459836827</v>
      </c>
      <c r="X870">
        <v>0.70350590343271402</v>
      </c>
      <c r="Y870">
        <v>0.43146952777145392</v>
      </c>
      <c r="Z870">
        <v>0.75320831489684603</v>
      </c>
      <c r="AA870">
        <v>0.46942824408751982</v>
      </c>
      <c r="AB870">
        <v>0.90157722206470847</v>
      </c>
      <c r="AC870">
        <v>0.73494137971792217</v>
      </c>
      <c r="AD870">
        <v>0.92712799821064573</v>
      </c>
      <c r="AE870">
        <v>0.94367340243671738</v>
      </c>
      <c r="AH870">
        <v>0.25620143748348245</v>
      </c>
      <c r="AI870">
        <v>9.9161517119053744E-2</v>
      </c>
      <c r="AJ870">
        <v>0.25257613592130068</v>
      </c>
      <c r="AK870">
        <v>3.367768387980552E-2</v>
      </c>
      <c r="AL870">
        <v>5.3277354247431519E-2</v>
      </c>
      <c r="AM870">
        <v>8.3448372455982023E-2</v>
      </c>
      <c r="AN870">
        <v>3.2133192289541812E-2</v>
      </c>
      <c r="AO870">
        <v>0.2199829159735982</v>
      </c>
      <c r="AR870">
        <v>9.2051521807279268E-4</v>
      </c>
      <c r="AS870">
        <v>4.6037822879743118E-3</v>
      </c>
      <c r="AT870">
        <v>4.9375116851055334E-3</v>
      </c>
      <c r="AU870">
        <v>2.0200343896658035E-3</v>
      </c>
      <c r="AV870">
        <v>1.886001418010619E-3</v>
      </c>
      <c r="AW870">
        <v>3.4339928595021885E-3</v>
      </c>
      <c r="AX870">
        <v>3.3021591262953333E-4</v>
      </c>
      <c r="AY870">
        <v>4.0297737779022673E-4</v>
      </c>
      <c r="BB870">
        <v>5.5578863084448149E-2</v>
      </c>
      <c r="BC870">
        <v>7.5461769991044592E-2</v>
      </c>
      <c r="BE870">
        <v>68749.877074886608</v>
      </c>
      <c r="BF870">
        <v>17.782631883715826</v>
      </c>
      <c r="BG870">
        <v>71084.232479088096</v>
      </c>
      <c r="BH870">
        <v>17.669338018595447</v>
      </c>
      <c r="BI870">
        <v>-2334.3554042014875</v>
      </c>
      <c r="BJ870">
        <v>0.11329386512037942</v>
      </c>
    </row>
    <row r="871" spans="3:62" x14ac:dyDescent="0.2">
      <c r="C871" s="121">
        <v>71895.361852061091</v>
      </c>
      <c r="D871">
        <v>17.267419965140785</v>
      </c>
      <c r="E871" s="121">
        <v>73956.690751061818</v>
      </c>
      <c r="F871" s="121">
        <v>17.126369479604595</v>
      </c>
      <c r="G871" s="121">
        <v>-2061.3288990007277</v>
      </c>
      <c r="H871" s="121">
        <v>0.14105048553619071</v>
      </c>
      <c r="N871" s="121"/>
      <c r="O871" s="121"/>
      <c r="P871" s="121"/>
      <c r="R871">
        <v>161.97147323447587</v>
      </c>
      <c r="S871">
        <v>65.83543370221264</v>
      </c>
      <c r="T871">
        <v>273.93414313680887</v>
      </c>
      <c r="U871">
        <v>90.232395878321029</v>
      </c>
      <c r="X871">
        <v>0.84002319391473146</v>
      </c>
      <c r="Y871">
        <v>0.58777802472644447</v>
      </c>
      <c r="Z871">
        <v>0.88884980576594741</v>
      </c>
      <c r="AA871">
        <v>0.8468676134834483</v>
      </c>
      <c r="AB871">
        <v>0.74748703543095729</v>
      </c>
      <c r="AC871">
        <v>0.76754780616568796</v>
      </c>
      <c r="AD871">
        <v>0.89512597226187629</v>
      </c>
      <c r="AE871">
        <v>0.74684587642901867</v>
      </c>
      <c r="AH871">
        <v>7.8926587669220671E-2</v>
      </c>
      <c r="AI871">
        <v>0.11360762988482609</v>
      </c>
      <c r="AJ871">
        <v>0.1501235054101735</v>
      </c>
      <c r="AK871">
        <v>9.1972343245267263E-2</v>
      </c>
      <c r="AL871">
        <v>0.18017208146188834</v>
      </c>
      <c r="AM871">
        <v>5.4109397731438857E-2</v>
      </c>
      <c r="AN871">
        <v>6.8849860221639414E-2</v>
      </c>
      <c r="AO871">
        <v>0.13756496699686838</v>
      </c>
      <c r="AR871">
        <v>8.7225421566082865E-4</v>
      </c>
      <c r="AS871">
        <v>4.4833842690808045E-3</v>
      </c>
      <c r="AT871">
        <v>4.9161330969427989E-3</v>
      </c>
      <c r="AU871">
        <v>1.972734605074267E-3</v>
      </c>
      <c r="AV871">
        <v>2.2904496403002295E-3</v>
      </c>
      <c r="AW871">
        <v>3.2559656382637405E-3</v>
      </c>
      <c r="AX871">
        <v>4.4671271595331241E-4</v>
      </c>
      <c r="AY871">
        <v>4.0164423618610777E-4</v>
      </c>
      <c r="BB871">
        <v>5.6975178236556068E-2</v>
      </c>
      <c r="BC871">
        <v>1.5550962208114199E-2</v>
      </c>
      <c r="BE871">
        <v>71895.361852061091</v>
      </c>
      <c r="BF871">
        <v>17.267419965140785</v>
      </c>
      <c r="BG871">
        <v>73956.690751061818</v>
      </c>
      <c r="BH871">
        <v>17.126369479604595</v>
      </c>
      <c r="BI871">
        <v>-2061.3288990007277</v>
      </c>
      <c r="BJ871">
        <v>0.14105048553619071</v>
      </c>
    </row>
    <row r="872" spans="3:62" x14ac:dyDescent="0.2">
      <c r="C872" s="121">
        <v>76226.1736907499</v>
      </c>
      <c r="D872">
        <v>16.841594437455853</v>
      </c>
      <c r="E872" s="121">
        <v>78750.838698260544</v>
      </c>
      <c r="F872" s="121">
        <v>16.709730968478382</v>
      </c>
      <c r="G872" s="121">
        <v>-2524.6650075106445</v>
      </c>
      <c r="H872" s="121">
        <v>0.13186346897747114</v>
      </c>
      <c r="N872" s="121"/>
      <c r="O872" s="121"/>
      <c r="P872" s="121"/>
      <c r="R872">
        <v>239.32732991934421</v>
      </c>
      <c r="S872">
        <v>53.817523455824372</v>
      </c>
      <c r="T872">
        <v>264.88689501860466</v>
      </c>
      <c r="U872">
        <v>102.45195986969583</v>
      </c>
      <c r="X872">
        <v>0.91065987759643852</v>
      </c>
      <c r="Y872">
        <v>0.84120859282722149</v>
      </c>
      <c r="Z872">
        <v>0.8883194502934012</v>
      </c>
      <c r="AA872">
        <v>0.63407005497148972</v>
      </c>
      <c r="AB872">
        <v>0.79371737117251695</v>
      </c>
      <c r="AC872">
        <v>0.81289760002089162</v>
      </c>
      <c r="AD872">
        <v>0.93521611744113542</v>
      </c>
      <c r="AE872">
        <v>0.63537231071028455</v>
      </c>
      <c r="AH872">
        <v>6.8244900449014434E-2</v>
      </c>
      <c r="AI872">
        <v>8.5390040234836095E-2</v>
      </c>
      <c r="AJ872">
        <v>2.4124655740980661E-2</v>
      </c>
      <c r="AK872">
        <v>6.9460102222625442E-2</v>
      </c>
      <c r="AL872">
        <v>1.7886804126249323E-2</v>
      </c>
      <c r="AM872">
        <v>7.8750916492471568E-3</v>
      </c>
      <c r="AN872">
        <v>0.20593227292100491</v>
      </c>
      <c r="AO872">
        <v>0.24995330683574335</v>
      </c>
      <c r="AR872">
        <v>9.6753910874114446E-4</v>
      </c>
      <c r="AS872">
        <v>4.3976968990259453E-3</v>
      </c>
      <c r="AT872">
        <v>4.8567760916995214E-3</v>
      </c>
      <c r="AU872">
        <v>2.0774035375844546E-3</v>
      </c>
      <c r="AV872">
        <v>2.1898380741643964E-3</v>
      </c>
      <c r="AW872">
        <v>3.1361712372082167E-3</v>
      </c>
      <c r="AX872">
        <v>3.6151436605850334E-4</v>
      </c>
      <c r="AY872">
        <v>4.0131185185567336E-4</v>
      </c>
      <c r="BB872">
        <v>5.6872800466822637E-2</v>
      </c>
      <c r="BC872">
        <v>4.2974309537300637E-2</v>
      </c>
      <c r="BE872">
        <v>76226.1736907499</v>
      </c>
      <c r="BF872">
        <v>16.841594437455853</v>
      </c>
      <c r="BG872">
        <v>78750.838698260544</v>
      </c>
      <c r="BH872">
        <v>16.709730968478382</v>
      </c>
      <c r="BI872">
        <v>-2524.6650075106445</v>
      </c>
      <c r="BJ872">
        <v>0.13186346897747114</v>
      </c>
    </row>
    <row r="873" spans="3:62" x14ac:dyDescent="0.2">
      <c r="C873" s="121">
        <v>69043.22474851436</v>
      </c>
      <c r="D873">
        <v>15.0808837355713</v>
      </c>
      <c r="E873" s="121">
        <v>70923.497671692254</v>
      </c>
      <c r="F873" s="121">
        <v>14.947356480261712</v>
      </c>
      <c r="G873" s="121">
        <v>-1880.272923177894</v>
      </c>
      <c r="H873" s="121">
        <v>0.13352725530958764</v>
      </c>
      <c r="N873" s="121"/>
      <c r="O873" s="121"/>
      <c r="P873" s="121"/>
      <c r="R873">
        <v>276.35695325575062</v>
      </c>
      <c r="S873">
        <v>56.964337227236555</v>
      </c>
      <c r="T873">
        <v>236.62434800995155</v>
      </c>
      <c r="U873">
        <v>103.10739952750956</v>
      </c>
      <c r="X873">
        <v>0.45075616699938492</v>
      </c>
      <c r="Y873">
        <v>0.84727949579988582</v>
      </c>
      <c r="Z873">
        <v>0.58239781429284754</v>
      </c>
      <c r="AA873">
        <v>0.75335794100656961</v>
      </c>
      <c r="AB873">
        <v>0.89881796549778015</v>
      </c>
      <c r="AC873">
        <v>0.80712389679655483</v>
      </c>
      <c r="AD873">
        <v>0.89007795002147572</v>
      </c>
      <c r="AE873">
        <v>0.50401052101978061</v>
      </c>
      <c r="AH873">
        <v>0.14457393198685609</v>
      </c>
      <c r="AI873">
        <v>8.3066281221030991E-2</v>
      </c>
      <c r="AJ873">
        <v>0.14558697773703788</v>
      </c>
      <c r="AK873">
        <v>0.14940751610745306</v>
      </c>
      <c r="AL873">
        <v>0.15575475712463283</v>
      </c>
      <c r="AM873">
        <v>7.0416587891964255E-2</v>
      </c>
      <c r="AN873">
        <v>0.10023856963667255</v>
      </c>
      <c r="AO873">
        <v>2.8812230197239552E-2</v>
      </c>
      <c r="AR873">
        <v>9.3953338035546174E-4</v>
      </c>
      <c r="AS873">
        <v>4.1123697848253534E-3</v>
      </c>
      <c r="AT873">
        <v>5.0047971813252934E-3</v>
      </c>
      <c r="AU873">
        <v>2.087140012702271E-3</v>
      </c>
      <c r="AV873">
        <v>1.7521712685643063E-3</v>
      </c>
      <c r="AW873">
        <v>3.5529726168135323E-3</v>
      </c>
      <c r="AX873">
        <v>4.1308563825692701E-4</v>
      </c>
      <c r="AY873">
        <v>3.6414296574281528E-4</v>
      </c>
      <c r="BB873">
        <v>5.6057264421413011E-2</v>
      </c>
      <c r="BC873">
        <v>4.1952871528524532E-2</v>
      </c>
      <c r="BE873">
        <v>69043.22474851436</v>
      </c>
      <c r="BF873">
        <v>15.0808837355713</v>
      </c>
      <c r="BG873">
        <v>70923.497671692254</v>
      </c>
      <c r="BH873">
        <v>14.947356480261712</v>
      </c>
      <c r="BI873">
        <v>-1880.272923177894</v>
      </c>
      <c r="BJ873">
        <v>0.13352725530958764</v>
      </c>
    </row>
    <row r="874" spans="3:62" x14ac:dyDescent="0.2">
      <c r="C874" s="121">
        <v>69949.194680282308</v>
      </c>
      <c r="D874">
        <v>17.0661267791412</v>
      </c>
      <c r="E874" s="121">
        <v>71734.48764305863</v>
      </c>
      <c r="F874" s="121">
        <v>16.908649252391481</v>
      </c>
      <c r="G874" s="121">
        <v>-1785.2929627763224</v>
      </c>
      <c r="H874" s="121">
        <v>0.15747752674971949</v>
      </c>
      <c r="N874" s="121"/>
      <c r="O874" s="121"/>
      <c r="P874" s="121"/>
      <c r="R874">
        <v>455.41773255245062</v>
      </c>
      <c r="S874">
        <v>70.27569742157452</v>
      </c>
      <c r="T874">
        <v>231.54893884938005</v>
      </c>
      <c r="U874">
        <v>115.46972303878273</v>
      </c>
      <c r="X874">
        <v>0.85644537711702395</v>
      </c>
      <c r="Y874">
        <v>0.84618093074720091</v>
      </c>
      <c r="Z874">
        <v>0.71790224789309198</v>
      </c>
      <c r="AA874">
        <v>0.81888235653995756</v>
      </c>
      <c r="AB874">
        <v>0.77081280047064094</v>
      </c>
      <c r="AC874">
        <v>0.76048738261462678</v>
      </c>
      <c r="AD874">
        <v>0.67334147593249472</v>
      </c>
      <c r="AE874">
        <v>0.73294808985947824</v>
      </c>
      <c r="AH874">
        <v>0.3927750894474773</v>
      </c>
      <c r="AI874">
        <v>0.1933556904420265</v>
      </c>
      <c r="AJ874">
        <v>0.36518438924643581</v>
      </c>
      <c r="AK874">
        <v>4.5065883830674114E-2</v>
      </c>
      <c r="AL874">
        <v>0.14413645892723959</v>
      </c>
      <c r="AM874">
        <v>9.1337240716885315E-2</v>
      </c>
      <c r="AN874">
        <v>0.25046842794716973</v>
      </c>
      <c r="AO874">
        <v>0.33049338608853895</v>
      </c>
      <c r="AR874">
        <v>9.8751604908542401E-4</v>
      </c>
      <c r="AS874">
        <v>4.905779690338119E-3</v>
      </c>
      <c r="AT874">
        <v>4.8181889527018282E-3</v>
      </c>
      <c r="AU874">
        <v>1.9152959588936509E-3</v>
      </c>
      <c r="AV874">
        <v>2.0252821242864316E-3</v>
      </c>
      <c r="AW874">
        <v>3.3621751694425414E-3</v>
      </c>
      <c r="AX874">
        <v>5.5244173269153318E-4</v>
      </c>
      <c r="AY874">
        <v>4.2374914338035751E-4</v>
      </c>
      <c r="BB874">
        <v>4.97855646422381E-2</v>
      </c>
      <c r="BC874">
        <v>4.981562468613665E-2</v>
      </c>
      <c r="BE874">
        <v>69949.194680282308</v>
      </c>
      <c r="BF874">
        <v>17.0661267791412</v>
      </c>
      <c r="BG874">
        <v>71734.48764305863</v>
      </c>
      <c r="BH874">
        <v>16.908649252391481</v>
      </c>
      <c r="BI874">
        <v>-1785.2929627763224</v>
      </c>
      <c r="BJ874">
        <v>0.15747752674971949</v>
      </c>
    </row>
    <row r="875" spans="3:62" x14ac:dyDescent="0.2">
      <c r="C875" s="121">
        <v>71849.512809503009</v>
      </c>
      <c r="D875">
        <v>20.123359084164186</v>
      </c>
      <c r="E875" s="121">
        <v>73881.880662958982</v>
      </c>
      <c r="F875" s="121">
        <v>20.035209873166028</v>
      </c>
      <c r="G875" s="121">
        <v>-2032.3678534559731</v>
      </c>
      <c r="H875" s="121">
        <v>8.8149210998157201E-2</v>
      </c>
      <c r="N875" s="121"/>
      <c r="O875" s="121"/>
      <c r="P875" s="121"/>
      <c r="R875">
        <v>183.06975472784882</v>
      </c>
      <c r="S875">
        <v>67.98324675167072</v>
      </c>
      <c r="T875">
        <v>283.26922753233771</v>
      </c>
      <c r="U875">
        <v>89.230838946422651</v>
      </c>
      <c r="X875">
        <v>0.72035332770203753</v>
      </c>
      <c r="Y875">
        <v>0.82158938874326504</v>
      </c>
      <c r="Z875">
        <v>0.79029600633278341</v>
      </c>
      <c r="AA875">
        <v>0.68725555014310202</v>
      </c>
      <c r="AB875">
        <v>0.7267275915729644</v>
      </c>
      <c r="AC875">
        <v>0.97406572323333107</v>
      </c>
      <c r="AD875">
        <v>0.8619832160592924</v>
      </c>
      <c r="AE875">
        <v>0.7428172093507841</v>
      </c>
      <c r="AH875">
        <v>0.10803374515903141</v>
      </c>
      <c r="AI875">
        <v>0.1042004385431361</v>
      </c>
      <c r="AJ875">
        <v>0.15719206699992905</v>
      </c>
      <c r="AK875">
        <v>0.13802205993532368</v>
      </c>
      <c r="AL875">
        <v>0.18277323789597755</v>
      </c>
      <c r="AM875">
        <v>0.19530871219389567</v>
      </c>
      <c r="AN875">
        <v>9.0803227156878386E-2</v>
      </c>
      <c r="AO875">
        <v>7.1601019673667166E-2</v>
      </c>
      <c r="AR875">
        <v>9.9505517994791237E-4</v>
      </c>
      <c r="AS875">
        <v>4.331104435579298E-3</v>
      </c>
      <c r="AT875">
        <v>5.1198164879217023E-3</v>
      </c>
      <c r="AU875">
        <v>2.1335461233877862E-3</v>
      </c>
      <c r="AV875">
        <v>2.1348681146060589E-3</v>
      </c>
      <c r="AW875">
        <v>3.532040195733499E-3</v>
      </c>
      <c r="AX875">
        <v>3.5543039184002294E-4</v>
      </c>
      <c r="AY875">
        <v>4.9697606950394047E-4</v>
      </c>
      <c r="BB875">
        <v>5.2991867405977722E-2</v>
      </c>
      <c r="BC875">
        <v>4.3839160539169635E-2</v>
      </c>
      <c r="BE875">
        <v>71849.512809503009</v>
      </c>
      <c r="BF875">
        <v>20.123359084164186</v>
      </c>
      <c r="BG875">
        <v>73881.880662958982</v>
      </c>
      <c r="BH875">
        <v>20.035209873166028</v>
      </c>
      <c r="BI875">
        <v>-2032.3678534559731</v>
      </c>
      <c r="BJ875">
        <v>8.8149210998157201E-2</v>
      </c>
    </row>
    <row r="876" spans="3:62" x14ac:dyDescent="0.2">
      <c r="C876" s="121">
        <v>76911.659923559171</v>
      </c>
      <c r="D876">
        <v>15.879740215322231</v>
      </c>
      <c r="E876" s="121">
        <v>79540.867761451664</v>
      </c>
      <c r="F876" s="121">
        <v>15.719401858914635</v>
      </c>
      <c r="G876" s="121">
        <v>-2629.2078378924925</v>
      </c>
      <c r="H876" s="121">
        <v>0.16033835640759619</v>
      </c>
      <c r="N876" s="121"/>
      <c r="O876" s="121"/>
      <c r="P876" s="121"/>
      <c r="R876">
        <v>119.73103587977442</v>
      </c>
      <c r="S876">
        <v>55.894446124794158</v>
      </c>
      <c r="T876">
        <v>256.3906590766934</v>
      </c>
      <c r="U876">
        <v>94.889247023549089</v>
      </c>
      <c r="X876">
        <v>0.90616773880800339</v>
      </c>
      <c r="Y876">
        <v>0.73607086620825402</v>
      </c>
      <c r="Z876">
        <v>0.83889211588904056</v>
      </c>
      <c r="AA876">
        <v>0.56220028571617409</v>
      </c>
      <c r="AB876">
        <v>0.82739202360027964</v>
      </c>
      <c r="AC876">
        <v>0.8972419448324318</v>
      </c>
      <c r="AD876">
        <v>0.75736802440207895</v>
      </c>
      <c r="AE876">
        <v>0.91150672038743619</v>
      </c>
      <c r="AH876">
        <v>0.20389414595502564</v>
      </c>
      <c r="AI876">
        <v>2.87658353717406E-2</v>
      </c>
      <c r="AJ876">
        <v>9.2582090634254932E-2</v>
      </c>
      <c r="AK876">
        <v>1.1788128036230638E-2</v>
      </c>
      <c r="AL876">
        <v>4.0332410873887059E-2</v>
      </c>
      <c r="AM876">
        <v>0.19460719439823793</v>
      </c>
      <c r="AN876">
        <v>0.15401850875792122</v>
      </c>
      <c r="AO876">
        <v>0.21269670297755072</v>
      </c>
      <c r="AR876">
        <v>8.8366814420216453E-4</v>
      </c>
      <c r="AS876">
        <v>4.9443639434865183E-3</v>
      </c>
      <c r="AT876">
        <v>4.8365987660231764E-3</v>
      </c>
      <c r="AU876">
        <v>1.6928108896374513E-3</v>
      </c>
      <c r="AV876">
        <v>1.7793510076234817E-3</v>
      </c>
      <c r="AW876">
        <v>3.4948578821394349E-3</v>
      </c>
      <c r="AX876">
        <v>4.4920046613083908E-4</v>
      </c>
      <c r="AY876">
        <v>4.0289626080096825E-4</v>
      </c>
      <c r="BB876">
        <v>5.3880442836871323E-2</v>
      </c>
      <c r="BC876">
        <v>2.3432971341218699E-2</v>
      </c>
      <c r="BE876">
        <v>76911.659923559171</v>
      </c>
      <c r="BF876">
        <v>15.879740215322231</v>
      </c>
      <c r="BG876">
        <v>79540.867761451664</v>
      </c>
      <c r="BH876">
        <v>15.719401858914635</v>
      </c>
      <c r="BI876">
        <v>-2629.2078378924925</v>
      </c>
      <c r="BJ876">
        <v>0.16033835640759619</v>
      </c>
    </row>
    <row r="877" spans="3:62" x14ac:dyDescent="0.2">
      <c r="C877" s="121">
        <v>70527.712084771279</v>
      </c>
      <c r="D877">
        <v>16.416376484311197</v>
      </c>
      <c r="E877" s="121">
        <v>72261.105343149335</v>
      </c>
      <c r="F877" s="121">
        <v>16.384433662351462</v>
      </c>
      <c r="G877" s="121">
        <v>-1733.3932583780552</v>
      </c>
      <c r="H877" s="121">
        <v>3.1942821959734857E-2</v>
      </c>
      <c r="N877" s="121"/>
      <c r="O877" s="121"/>
      <c r="P877" s="121"/>
      <c r="R877">
        <v>186.63772549405232</v>
      </c>
      <c r="S877">
        <v>63.139358450556919</v>
      </c>
      <c r="T877">
        <v>273.57782698328469</v>
      </c>
      <c r="U877">
        <v>105.17470473554364</v>
      </c>
      <c r="X877">
        <v>0.87323079497048361</v>
      </c>
      <c r="Y877">
        <v>0.7801521124385753</v>
      </c>
      <c r="Z877">
        <v>0.88229399153106003</v>
      </c>
      <c r="AA877">
        <v>0.79590775148434001</v>
      </c>
      <c r="AB877">
        <v>0.88269960797455105</v>
      </c>
      <c r="AC877">
        <v>0.82130092864696747</v>
      </c>
      <c r="AD877">
        <v>0.92230923824317879</v>
      </c>
      <c r="AE877">
        <v>0.90565066535657901</v>
      </c>
      <c r="AH877">
        <v>0.12716809927411454</v>
      </c>
      <c r="AI877">
        <v>4.3827876535493249E-2</v>
      </c>
      <c r="AJ877">
        <v>0.15908290997740981</v>
      </c>
      <c r="AK877">
        <v>7.6752044770881156E-2</v>
      </c>
      <c r="AL877">
        <v>8.2454703326602319E-2</v>
      </c>
      <c r="AM877">
        <v>0.3066337326910813</v>
      </c>
      <c r="AN877">
        <v>8.766049898986028E-2</v>
      </c>
      <c r="AO877">
        <v>5.6846373810059858E-2</v>
      </c>
      <c r="AR877">
        <v>7.8452970084355372E-4</v>
      </c>
      <c r="AS877">
        <v>4.1784214472997631E-3</v>
      </c>
      <c r="AT877">
        <v>4.7977400614694198E-3</v>
      </c>
      <c r="AU877">
        <v>1.9863738031484328E-3</v>
      </c>
      <c r="AV877">
        <v>1.9407856765954992E-3</v>
      </c>
      <c r="AW877">
        <v>3.4990073230225516E-3</v>
      </c>
      <c r="AX877">
        <v>4.4563359351235121E-4</v>
      </c>
      <c r="AY877">
        <v>4.6998477275705941E-4</v>
      </c>
      <c r="BB877">
        <v>4.9489040468206236E-2</v>
      </c>
      <c r="BC877">
        <v>3.3383654501637113E-2</v>
      </c>
      <c r="BE877">
        <v>70527.712084771279</v>
      </c>
      <c r="BF877">
        <v>16.416376484311197</v>
      </c>
      <c r="BG877">
        <v>72261.105343149335</v>
      </c>
      <c r="BH877">
        <v>16.384433662351462</v>
      </c>
      <c r="BI877">
        <v>-1733.3932583780552</v>
      </c>
      <c r="BJ877">
        <v>3.1942821959734857E-2</v>
      </c>
    </row>
    <row r="878" spans="3:62" x14ac:dyDescent="0.2">
      <c r="C878" s="121">
        <v>71178.304384341798</v>
      </c>
      <c r="D878">
        <v>17.555512055741612</v>
      </c>
      <c r="E878" s="121">
        <v>72772.431095768407</v>
      </c>
      <c r="F878" s="121">
        <v>17.414742531982405</v>
      </c>
      <c r="G878" s="121">
        <v>-1594.1267114266084</v>
      </c>
      <c r="H878" s="121">
        <v>0.14076952375920726</v>
      </c>
      <c r="N878" s="121"/>
      <c r="O878" s="121"/>
      <c r="P878" s="121"/>
      <c r="R878">
        <v>161.24388076811215</v>
      </c>
      <c r="S878">
        <v>55.7717097458331</v>
      </c>
      <c r="T878">
        <v>239.18092815649746</v>
      </c>
      <c r="U878">
        <v>99.518438472735255</v>
      </c>
      <c r="X878">
        <v>0.73874133126397978</v>
      </c>
      <c r="Y878">
        <v>0.73598705024574718</v>
      </c>
      <c r="Z878">
        <v>0.85033888936614122</v>
      </c>
      <c r="AA878">
        <v>0.78311918239695766</v>
      </c>
      <c r="AB878">
        <v>0.88780681700451547</v>
      </c>
      <c r="AC878">
        <v>0.78822252077897348</v>
      </c>
      <c r="AD878">
        <v>0.6821471333931618</v>
      </c>
      <c r="AE878">
        <v>0.84039873961826606</v>
      </c>
      <c r="AH878">
        <v>0.13672265660844818</v>
      </c>
      <c r="AI878">
        <v>0.10226781665530771</v>
      </c>
      <c r="AJ878">
        <v>0.22323727741559463</v>
      </c>
      <c r="AK878">
        <v>0.14825830823474151</v>
      </c>
      <c r="AL878">
        <v>8.9686875419967227E-2</v>
      </c>
      <c r="AM878">
        <v>0.13153603947017256</v>
      </c>
      <c r="AN878">
        <v>3.9228656013049701E-2</v>
      </c>
      <c r="AO878">
        <v>0.27012755861491466</v>
      </c>
      <c r="AR878">
        <v>1.0294343581086496E-3</v>
      </c>
      <c r="AS878">
        <v>4.2723251678452E-3</v>
      </c>
      <c r="AT878">
        <v>5.155964502669752E-3</v>
      </c>
      <c r="AU878">
        <v>2.0183245209672851E-3</v>
      </c>
      <c r="AV878">
        <v>1.8105229203576971E-3</v>
      </c>
      <c r="AW878">
        <v>3.1620688828483149E-3</v>
      </c>
      <c r="AX878">
        <v>3.1405783593856876E-4</v>
      </c>
      <c r="AY878">
        <v>3.277353788811142E-4</v>
      </c>
      <c r="BB878">
        <v>3.8095810909449218E-2</v>
      </c>
      <c r="BC878">
        <v>4.8052074476284012E-2</v>
      </c>
      <c r="BE878">
        <v>71178.304384341798</v>
      </c>
      <c r="BF878">
        <v>17.555512055741612</v>
      </c>
      <c r="BG878">
        <v>72772.431095768407</v>
      </c>
      <c r="BH878">
        <v>17.414742531982405</v>
      </c>
      <c r="BI878">
        <v>-1594.1267114266084</v>
      </c>
      <c r="BJ878">
        <v>0.14076952375920726</v>
      </c>
    </row>
    <row r="879" spans="3:62" x14ac:dyDescent="0.2">
      <c r="C879" s="121">
        <v>72553.875767744597</v>
      </c>
      <c r="D879">
        <v>15.259704761599428</v>
      </c>
      <c r="E879" s="121">
        <v>73665.203410757284</v>
      </c>
      <c r="F879" s="121">
        <v>15.17753995316251</v>
      </c>
      <c r="G879" s="121">
        <v>-1111.3276430126862</v>
      </c>
      <c r="H879" s="121">
        <v>8.216480843691798E-2</v>
      </c>
      <c r="N879" s="121"/>
      <c r="O879" s="121"/>
      <c r="P879" s="121"/>
      <c r="R879">
        <v>235.4857539293458</v>
      </c>
      <c r="S879">
        <v>51.754354543027439</v>
      </c>
      <c r="T879">
        <v>276.73310397559908</v>
      </c>
      <c r="U879">
        <v>75.374784523229209</v>
      </c>
      <c r="X879">
        <v>0.73350866647763091</v>
      </c>
      <c r="Y879">
        <v>0.59492091500923494</v>
      </c>
      <c r="Z879">
        <v>0.8226822620197658</v>
      </c>
      <c r="AA879">
        <v>0.79977401520659153</v>
      </c>
      <c r="AB879">
        <v>0.87676045618746634</v>
      </c>
      <c r="AC879">
        <v>0.74228995267986297</v>
      </c>
      <c r="AD879">
        <v>0.95322924235239459</v>
      </c>
      <c r="AE879">
        <v>0.89657735152874241</v>
      </c>
      <c r="AH879">
        <v>0.20320176378761223</v>
      </c>
      <c r="AI879">
        <v>0.16381252914303501</v>
      </c>
      <c r="AJ879">
        <v>1.8305243241032443E-2</v>
      </c>
      <c r="AK879">
        <v>4.5853301340733843E-2</v>
      </c>
      <c r="AL879">
        <v>0.18899441884060297</v>
      </c>
      <c r="AM879">
        <v>2.3984117682440576E-2</v>
      </c>
      <c r="AN879">
        <v>8.792590847745263E-2</v>
      </c>
      <c r="AO879">
        <v>5.4055873568141233E-2</v>
      </c>
      <c r="AR879">
        <v>8.6072866796486555E-4</v>
      </c>
      <c r="AS879">
        <v>4.3608603725832466E-3</v>
      </c>
      <c r="AT879">
        <v>4.4678072689458724E-3</v>
      </c>
      <c r="AU879">
        <v>1.9900179671281408E-3</v>
      </c>
      <c r="AV879">
        <v>2.1817494518808767E-3</v>
      </c>
      <c r="AW879">
        <v>3.5439935822001445E-3</v>
      </c>
      <c r="AX879">
        <v>3.37464691728352E-4</v>
      </c>
      <c r="AY879">
        <v>5.1865770156844793E-4</v>
      </c>
      <c r="BB879">
        <v>4.9499826107161915E-2</v>
      </c>
      <c r="BC879">
        <v>5.2810634763069908E-2</v>
      </c>
      <c r="BE879">
        <v>72553.875767744597</v>
      </c>
      <c r="BF879">
        <v>15.259704761599428</v>
      </c>
      <c r="BG879">
        <v>73665.203410757284</v>
      </c>
      <c r="BH879">
        <v>15.17753995316251</v>
      </c>
      <c r="BI879">
        <v>-1111.3276430126862</v>
      </c>
      <c r="BJ879">
        <v>8.216480843691798E-2</v>
      </c>
    </row>
    <row r="880" spans="3:62" x14ac:dyDescent="0.2">
      <c r="C880" s="121">
        <v>68419.971838989673</v>
      </c>
      <c r="D880">
        <v>17.880343958488709</v>
      </c>
      <c r="E880" s="121">
        <v>70801.574705477004</v>
      </c>
      <c r="F880" s="121">
        <v>17.755092078874732</v>
      </c>
      <c r="G880" s="121">
        <v>-2381.6028664873302</v>
      </c>
      <c r="H880" s="121">
        <v>0.12525187961397677</v>
      </c>
      <c r="N880" s="121"/>
      <c r="O880" s="121"/>
      <c r="P880" s="121"/>
      <c r="R880">
        <v>130.92200678823787</v>
      </c>
      <c r="S880">
        <v>62.778238250866814</v>
      </c>
      <c r="T880">
        <v>256.94635739625772</v>
      </c>
      <c r="U880">
        <v>101.92607970808272</v>
      </c>
      <c r="X880">
        <v>0.94905675032990644</v>
      </c>
      <c r="Y880">
        <v>0.81113861739188309</v>
      </c>
      <c r="Z880">
        <v>0.9088052085737035</v>
      </c>
      <c r="AA880">
        <v>0.82031390231099566</v>
      </c>
      <c r="AB880">
        <v>0.7511106800131685</v>
      </c>
      <c r="AC880">
        <v>0.83073282910116497</v>
      </c>
      <c r="AD880">
        <v>0.57215621377642134</v>
      </c>
      <c r="AE880">
        <v>0.84664152232634904</v>
      </c>
      <c r="AH880">
        <v>0.10114931339233124</v>
      </c>
      <c r="AI880">
        <v>4.61288188024227E-2</v>
      </c>
      <c r="AJ880">
        <v>0.28019225520996927</v>
      </c>
      <c r="AK880">
        <v>0.14901048439256381</v>
      </c>
      <c r="AL880">
        <v>9.774380861107046E-2</v>
      </c>
      <c r="AM880">
        <v>0.10855496311914892</v>
      </c>
      <c r="AN880">
        <v>8.3589197024377504E-2</v>
      </c>
      <c r="AO880">
        <v>0.21224566403070078</v>
      </c>
      <c r="AR880">
        <v>7.2904605563329323E-4</v>
      </c>
      <c r="AS880">
        <v>4.3510676804713062E-3</v>
      </c>
      <c r="AT880">
        <v>5.103279423378182E-3</v>
      </c>
      <c r="AU880">
        <v>2.0841004702755184E-3</v>
      </c>
      <c r="AV880">
        <v>2.0841383917786782E-3</v>
      </c>
      <c r="AW880">
        <v>3.3646905300633891E-3</v>
      </c>
      <c r="AX880">
        <v>3.6979526996187612E-4</v>
      </c>
      <c r="AY880">
        <v>4.1275865873303692E-4</v>
      </c>
      <c r="BB880">
        <v>5.7251478800326772E-2</v>
      </c>
      <c r="BC880">
        <v>6.8928733538845544E-2</v>
      </c>
      <c r="BE880">
        <v>68419.971838989673</v>
      </c>
      <c r="BF880">
        <v>17.880343958488709</v>
      </c>
      <c r="BG880">
        <v>70801.574705477004</v>
      </c>
      <c r="BH880">
        <v>17.755092078874732</v>
      </c>
      <c r="BI880">
        <v>-2381.6028664873302</v>
      </c>
      <c r="BJ880">
        <v>0.12525187961397677</v>
      </c>
    </row>
    <row r="881" spans="3:62" x14ac:dyDescent="0.2">
      <c r="C881" s="121">
        <v>66293.335581900435</v>
      </c>
      <c r="D881">
        <v>15.617547297064213</v>
      </c>
      <c r="E881" s="121">
        <v>67485.962662602484</v>
      </c>
      <c r="F881" s="121">
        <v>15.537540237929447</v>
      </c>
      <c r="G881" s="121">
        <v>-1192.6270807020483</v>
      </c>
      <c r="H881" s="121">
        <v>8.0007059134766578E-2</v>
      </c>
      <c r="N881" s="121"/>
      <c r="O881" s="121"/>
      <c r="P881" s="121"/>
      <c r="R881">
        <v>308.93682016982007</v>
      </c>
      <c r="S881">
        <v>62.186258983607537</v>
      </c>
      <c r="T881">
        <v>200.14784971674013</v>
      </c>
      <c r="U881">
        <v>96.057617204067213</v>
      </c>
      <c r="X881">
        <v>0.69113192429026737</v>
      </c>
      <c r="Y881">
        <v>0.7661823299599837</v>
      </c>
      <c r="Z881">
        <v>0.88746050939205856</v>
      </c>
      <c r="AA881">
        <v>0.67265305778614415</v>
      </c>
      <c r="AB881">
        <v>0.87443219455900423</v>
      </c>
      <c r="AC881">
        <v>0.75979610014375465</v>
      </c>
      <c r="AD881">
        <v>0.66071140608383649</v>
      </c>
      <c r="AE881">
        <v>0.81553827460376094</v>
      </c>
      <c r="AH881">
        <v>6.2402941197984063E-2</v>
      </c>
      <c r="AI881">
        <v>8.2915413369542779E-2</v>
      </c>
      <c r="AJ881">
        <v>0.135775262502004</v>
      </c>
      <c r="AK881">
        <v>0.19811390838597087</v>
      </c>
      <c r="AL881">
        <v>3.7144597038697436E-2</v>
      </c>
      <c r="AM881">
        <v>0.30603925923111563</v>
      </c>
      <c r="AN881">
        <v>0.29761578028847746</v>
      </c>
      <c r="AO881">
        <v>5.3653206732990011E-2</v>
      </c>
      <c r="AR881">
        <v>9.0989681009412404E-4</v>
      </c>
      <c r="AS881">
        <v>4.4121228469929013E-3</v>
      </c>
      <c r="AT881">
        <v>4.7736379425141447E-3</v>
      </c>
      <c r="AU881">
        <v>1.9354102435436733E-3</v>
      </c>
      <c r="AV881">
        <v>2.1128707515776224E-3</v>
      </c>
      <c r="AW881">
        <v>3.7942727754955996E-3</v>
      </c>
      <c r="AX881">
        <v>3.8631697529629044E-4</v>
      </c>
      <c r="AY881">
        <v>4.4469645221461386E-4</v>
      </c>
      <c r="BB881">
        <v>5.0166451738509199E-2</v>
      </c>
      <c r="BC881">
        <v>4.3360755564663678E-2</v>
      </c>
      <c r="BE881">
        <v>66293.335581900435</v>
      </c>
      <c r="BF881">
        <v>15.617547297064213</v>
      </c>
      <c r="BG881">
        <v>67485.962662602484</v>
      </c>
      <c r="BH881">
        <v>15.537540237929447</v>
      </c>
      <c r="BI881">
        <v>-1192.6270807020483</v>
      </c>
      <c r="BJ881">
        <v>8.0007059134766578E-2</v>
      </c>
    </row>
    <row r="882" spans="3:62" x14ac:dyDescent="0.2">
      <c r="C882" s="121">
        <v>63937.14926267531</v>
      </c>
      <c r="D882">
        <v>18.529565976518587</v>
      </c>
      <c r="E882" s="121">
        <v>65663.914419875946</v>
      </c>
      <c r="F882" s="121">
        <v>18.428976442907508</v>
      </c>
      <c r="G882" s="121">
        <v>-1726.7651572006362</v>
      </c>
      <c r="H882" s="121">
        <v>0.10058953361107825</v>
      </c>
      <c r="N882" s="121"/>
      <c r="O882" s="121"/>
      <c r="P882" s="121"/>
      <c r="R882">
        <v>207.44396488501121</v>
      </c>
      <c r="S882">
        <v>62.601108630458519</v>
      </c>
      <c r="T882">
        <v>302.67357168207513</v>
      </c>
      <c r="U882">
        <v>79.567361108259703</v>
      </c>
      <c r="X882">
        <v>0.88941801599239323</v>
      </c>
      <c r="Y882">
        <v>0.53065699462690141</v>
      </c>
      <c r="Z882">
        <v>0.80427857979300599</v>
      </c>
      <c r="AA882">
        <v>0.78180754100866379</v>
      </c>
      <c r="AB882">
        <v>0.87744384623592653</v>
      </c>
      <c r="AC882">
        <v>0.92925815431639114</v>
      </c>
      <c r="AD882">
        <v>0.85792782598888284</v>
      </c>
      <c r="AE882">
        <v>0.87969586125522459</v>
      </c>
      <c r="AH882">
        <v>8.0085946745354852E-2</v>
      </c>
      <c r="AI882">
        <v>9.4567549218939062E-2</v>
      </c>
      <c r="AJ882">
        <v>9.8932023385184698E-2</v>
      </c>
      <c r="AK882">
        <v>7.8055088682504659E-2</v>
      </c>
      <c r="AL882">
        <v>0.2316911482843782</v>
      </c>
      <c r="AM882">
        <v>1.4029256329181949E-2</v>
      </c>
      <c r="AN882">
        <v>0.24933258910383538</v>
      </c>
      <c r="AO882">
        <v>3.6132578218651457E-2</v>
      </c>
      <c r="AR882">
        <v>8.6720955641476634E-4</v>
      </c>
      <c r="AS882">
        <v>4.4718222386013959E-3</v>
      </c>
      <c r="AT882">
        <v>4.6768363770450464E-3</v>
      </c>
      <c r="AU882">
        <v>2.0507370882556497E-3</v>
      </c>
      <c r="AV882">
        <v>2.2088036504193109E-3</v>
      </c>
      <c r="AW882">
        <v>3.4697189351778901E-3</v>
      </c>
      <c r="AX882">
        <v>3.7756620112554761E-4</v>
      </c>
      <c r="AY882">
        <v>5.585344075008658E-4</v>
      </c>
      <c r="BB882">
        <v>4.5175376114062984E-2</v>
      </c>
      <c r="BC882">
        <v>2.3048849811721936E-2</v>
      </c>
      <c r="BE882">
        <v>63937.14926267531</v>
      </c>
      <c r="BF882">
        <v>18.529565976518587</v>
      </c>
      <c r="BG882">
        <v>65663.914419875946</v>
      </c>
      <c r="BH882">
        <v>18.428976442907508</v>
      </c>
      <c r="BI882">
        <v>-1726.7651572006362</v>
      </c>
      <c r="BJ882">
        <v>0.10058953361107825</v>
      </c>
    </row>
    <row r="883" spans="3:62" x14ac:dyDescent="0.2">
      <c r="C883" s="121">
        <v>65093.161730118132</v>
      </c>
      <c r="D883">
        <v>17.174438733011556</v>
      </c>
      <c r="E883" s="121">
        <v>66459.862883446636</v>
      </c>
      <c r="F883" s="121">
        <v>17.072446975808283</v>
      </c>
      <c r="G883" s="121">
        <v>-1366.701153328504</v>
      </c>
      <c r="H883" s="121">
        <v>0.10199175720327247</v>
      </c>
      <c r="N883" s="121"/>
      <c r="O883" s="121"/>
      <c r="P883" s="121"/>
      <c r="R883">
        <v>291.06181376526325</v>
      </c>
      <c r="S883">
        <v>66.1833591119061</v>
      </c>
      <c r="T883">
        <v>237.0266341334513</v>
      </c>
      <c r="U883">
        <v>86.531137885792603</v>
      </c>
      <c r="X883">
        <v>0.68533669979883549</v>
      </c>
      <c r="Y883">
        <v>0.83615617510304396</v>
      </c>
      <c r="Z883">
        <v>0.92801275371731951</v>
      </c>
      <c r="AA883">
        <v>0.60146776995161733</v>
      </c>
      <c r="AB883">
        <v>0.80370115559732147</v>
      </c>
      <c r="AC883">
        <v>0.49489208574081539</v>
      </c>
      <c r="AD883">
        <v>0.474774930820758</v>
      </c>
      <c r="AE883">
        <v>0.89482770560511704</v>
      </c>
      <c r="AH883">
        <v>0.14188897852426885</v>
      </c>
      <c r="AI883">
        <v>0.12788076497351997</v>
      </c>
      <c r="AJ883">
        <v>0.20971267747209099</v>
      </c>
      <c r="AK883">
        <v>0.14229806946732293</v>
      </c>
      <c r="AL883">
        <v>5.3205931905737636E-2</v>
      </c>
      <c r="AM883">
        <v>3.1974370377836125E-2</v>
      </c>
      <c r="AN883">
        <v>0.20548296186423531</v>
      </c>
      <c r="AO883">
        <v>0.21235693087001684</v>
      </c>
      <c r="AR883">
        <v>8.6418523052723994E-4</v>
      </c>
      <c r="AS883">
        <v>4.4048360183072165E-3</v>
      </c>
      <c r="AT883">
        <v>5.2197992901976686E-3</v>
      </c>
      <c r="AU883">
        <v>2.0836625958066124E-3</v>
      </c>
      <c r="AV883">
        <v>2.1497240250265559E-3</v>
      </c>
      <c r="AW883">
        <v>3.0465597448585263E-3</v>
      </c>
      <c r="AX883">
        <v>3.6048630318770035E-4</v>
      </c>
      <c r="AY883">
        <v>3.7171407465540001E-4</v>
      </c>
      <c r="BB883">
        <v>5.354998173797465E-2</v>
      </c>
      <c r="BC883">
        <v>2.3525704090472204E-2</v>
      </c>
      <c r="BE883">
        <v>65093.161730118132</v>
      </c>
      <c r="BF883">
        <v>17.174438733011556</v>
      </c>
      <c r="BG883">
        <v>66459.862883446636</v>
      </c>
      <c r="BH883">
        <v>17.072446975808283</v>
      </c>
      <c r="BI883">
        <v>-1366.701153328504</v>
      </c>
      <c r="BJ883">
        <v>0.10199175720327247</v>
      </c>
    </row>
    <row r="884" spans="3:62" x14ac:dyDescent="0.2">
      <c r="C884" s="121">
        <v>66959.731601485211</v>
      </c>
      <c r="D884">
        <v>16.895014935848859</v>
      </c>
      <c r="E884" s="121">
        <v>68350.82798077575</v>
      </c>
      <c r="F884" s="121">
        <v>16.828711054256154</v>
      </c>
      <c r="G884" s="121">
        <v>-1391.0963792905386</v>
      </c>
      <c r="H884" s="121">
        <v>6.6303881592705949E-2</v>
      </c>
      <c r="N884" s="121"/>
      <c r="O884" s="121"/>
      <c r="P884" s="121"/>
      <c r="R884">
        <v>276.84625844459538</v>
      </c>
      <c r="S884">
        <v>68.790234190278781</v>
      </c>
      <c r="T884">
        <v>237.61368445150512</v>
      </c>
      <c r="U884">
        <v>99.501578566903518</v>
      </c>
      <c r="X884">
        <v>0.85045451134629257</v>
      </c>
      <c r="Y884">
        <v>0.47035853352459839</v>
      </c>
      <c r="Z884">
        <v>0.5708308829669253</v>
      </c>
      <c r="AA884">
        <v>0.84629278147018483</v>
      </c>
      <c r="AB884">
        <v>0.63768850408671451</v>
      </c>
      <c r="AC884">
        <v>0.63705971846758247</v>
      </c>
      <c r="AD884">
        <v>0.6480588679576148</v>
      </c>
      <c r="AE884">
        <v>0.55636877895690418</v>
      </c>
      <c r="AH884">
        <v>2.94652180176731E-2</v>
      </c>
      <c r="AI884">
        <v>0.19581836666059715</v>
      </c>
      <c r="AJ884">
        <v>0.21899549633137083</v>
      </c>
      <c r="AK884">
        <v>7.1578977207281458E-2</v>
      </c>
      <c r="AL884">
        <v>8.7318751865406607E-2</v>
      </c>
      <c r="AM884">
        <v>0.28618748923212234</v>
      </c>
      <c r="AN884">
        <v>1.1505271087514646E-2</v>
      </c>
      <c r="AO884">
        <v>9.469590090960478E-2</v>
      </c>
      <c r="AR884">
        <v>8.6784418301978075E-4</v>
      </c>
      <c r="AS884">
        <v>4.7316930591503326E-3</v>
      </c>
      <c r="AT884">
        <v>4.9362912351538397E-3</v>
      </c>
      <c r="AU884">
        <v>2.1374286318859292E-3</v>
      </c>
      <c r="AV884">
        <v>1.9515180199442983E-3</v>
      </c>
      <c r="AW884">
        <v>3.2670656206386845E-3</v>
      </c>
      <c r="AX884">
        <v>3.8780595941245819E-4</v>
      </c>
      <c r="AY884">
        <v>4.0304617601125131E-4</v>
      </c>
      <c r="BB884">
        <v>5.4446741008084665E-2</v>
      </c>
      <c r="BC884">
        <v>3.8078736078731891E-2</v>
      </c>
      <c r="BE884">
        <v>66959.731601485211</v>
      </c>
      <c r="BF884">
        <v>16.895014935848859</v>
      </c>
      <c r="BG884">
        <v>68350.82798077575</v>
      </c>
      <c r="BH884">
        <v>16.828711054256154</v>
      </c>
      <c r="BI884">
        <v>-1391.0963792905386</v>
      </c>
      <c r="BJ884">
        <v>6.6303881592705949E-2</v>
      </c>
    </row>
    <row r="885" spans="3:62" x14ac:dyDescent="0.2">
      <c r="C885" s="121">
        <v>68977.679571877336</v>
      </c>
      <c r="D885">
        <v>17.355439247736854</v>
      </c>
      <c r="E885" s="121">
        <v>71110.726630294739</v>
      </c>
      <c r="F885" s="121">
        <v>17.207655853028179</v>
      </c>
      <c r="G885" s="121">
        <v>-2133.0470584174036</v>
      </c>
      <c r="H885" s="121">
        <v>0.14778339470867508</v>
      </c>
      <c r="N885" s="121"/>
      <c r="O885" s="121"/>
      <c r="P885" s="121"/>
      <c r="R885">
        <v>148.08423332244982</v>
      </c>
      <c r="S885">
        <v>46.73110578351119</v>
      </c>
      <c r="T885">
        <v>212.8569026735791</v>
      </c>
      <c r="U885">
        <v>80.645318224345559</v>
      </c>
      <c r="X885">
        <v>0.77091349847111101</v>
      </c>
      <c r="Y885">
        <v>0.88177945348680042</v>
      </c>
      <c r="Z885">
        <v>0.90457231570787788</v>
      </c>
      <c r="AA885">
        <v>0.35992671121113545</v>
      </c>
      <c r="AB885">
        <v>0.87251511150104233</v>
      </c>
      <c r="AC885">
        <v>0.89110028591324764</v>
      </c>
      <c r="AD885">
        <v>0.87670721083312753</v>
      </c>
      <c r="AE885">
        <v>0.96867175042792542</v>
      </c>
      <c r="AH885">
        <v>0.30246013510591185</v>
      </c>
      <c r="AI885">
        <v>1.9041166867590054E-2</v>
      </c>
      <c r="AJ885">
        <v>0.13793051468271844</v>
      </c>
      <c r="AK885">
        <v>3.8406136171855731E-3</v>
      </c>
      <c r="AL885">
        <v>3.823387058485106E-2</v>
      </c>
      <c r="AM885">
        <v>6.2274085476799801E-2</v>
      </c>
      <c r="AN885">
        <v>6.9421025676362547E-2</v>
      </c>
      <c r="AO885">
        <v>7.5829153426283269E-2</v>
      </c>
      <c r="AR885">
        <v>9.0303331913355045E-4</v>
      </c>
      <c r="AS885">
        <v>4.5758322845509403E-3</v>
      </c>
      <c r="AT885">
        <v>4.5226126269498146E-3</v>
      </c>
      <c r="AU885">
        <v>1.8459127256741095E-3</v>
      </c>
      <c r="AV885">
        <v>2.0201218363443685E-3</v>
      </c>
      <c r="AW885">
        <v>3.3906162275333298E-3</v>
      </c>
      <c r="AX885">
        <v>3.7514592346251291E-4</v>
      </c>
      <c r="AY885">
        <v>4.5934866980279487E-4</v>
      </c>
      <c r="BB885">
        <v>5.5946864341205771E-2</v>
      </c>
      <c r="BC885">
        <v>2.614329165692688E-2</v>
      </c>
      <c r="BE885">
        <v>68977.679571877336</v>
      </c>
      <c r="BF885">
        <v>17.355439247736854</v>
      </c>
      <c r="BG885">
        <v>71110.726630294739</v>
      </c>
      <c r="BH885">
        <v>17.207655853028179</v>
      </c>
      <c r="BI885">
        <v>-2133.0470584174036</v>
      </c>
      <c r="BJ885">
        <v>0.14778339470867508</v>
      </c>
    </row>
    <row r="886" spans="3:62" x14ac:dyDescent="0.2">
      <c r="C886" s="121">
        <v>64313.515762919284</v>
      </c>
      <c r="D886">
        <v>16.486178922655466</v>
      </c>
      <c r="E886" s="121">
        <v>65725.20226808959</v>
      </c>
      <c r="F886" s="121">
        <v>16.350787572451736</v>
      </c>
      <c r="G886" s="121">
        <v>-1411.6865051703062</v>
      </c>
      <c r="H886" s="121">
        <v>0.13539135020372939</v>
      </c>
      <c r="N886" s="121"/>
      <c r="O886" s="121"/>
      <c r="P886" s="121"/>
      <c r="R886">
        <v>337.52521101473837</v>
      </c>
      <c r="S886">
        <v>61.085106469281854</v>
      </c>
      <c r="T886">
        <v>233.15421228407411</v>
      </c>
      <c r="U886">
        <v>105.6384176970482</v>
      </c>
      <c r="X886">
        <v>0.61010044299969246</v>
      </c>
      <c r="Y886">
        <v>0.65094899543488083</v>
      </c>
      <c r="Z886">
        <v>0.55042406438384106</v>
      </c>
      <c r="AA886">
        <v>0.74311792566174883</v>
      </c>
      <c r="AB886">
        <v>0.77809589907826182</v>
      </c>
      <c r="AC886">
        <v>0.91301610443624603</v>
      </c>
      <c r="AD886">
        <v>0.7291659870707986</v>
      </c>
      <c r="AE886">
        <v>0.59612389221393558</v>
      </c>
      <c r="AH886">
        <v>7.3104354957774342E-2</v>
      </c>
      <c r="AI886">
        <v>0.42730785574986196</v>
      </c>
      <c r="AJ886">
        <v>0.14728672379617014</v>
      </c>
      <c r="AK886">
        <v>0.11741057168590918</v>
      </c>
      <c r="AL886">
        <v>0.18603587654377418</v>
      </c>
      <c r="AM886">
        <v>0.16823183825327337</v>
      </c>
      <c r="AN886">
        <v>4.2715508610955633E-2</v>
      </c>
      <c r="AO886">
        <v>0.23086291582553309</v>
      </c>
      <c r="AR886">
        <v>8.8986117461575809E-4</v>
      </c>
      <c r="AS886">
        <v>4.5756218695306439E-3</v>
      </c>
      <c r="AT886">
        <v>5.080528786236771E-3</v>
      </c>
      <c r="AU886">
        <v>2.3102738083200514E-3</v>
      </c>
      <c r="AV886">
        <v>1.9476787019245862E-3</v>
      </c>
      <c r="AW886">
        <v>3.4662250944590411E-3</v>
      </c>
      <c r="AX886">
        <v>3.8802317998877544E-4</v>
      </c>
      <c r="AY886">
        <v>4.7253887159603991E-4</v>
      </c>
      <c r="BB886">
        <v>4.7344756024199457E-2</v>
      </c>
      <c r="BC886">
        <v>0.1065934732931213</v>
      </c>
      <c r="BE886">
        <v>64313.515762919284</v>
      </c>
      <c r="BF886">
        <v>16.486178922655466</v>
      </c>
      <c r="BG886">
        <v>65725.20226808959</v>
      </c>
      <c r="BH886">
        <v>16.350787572451736</v>
      </c>
      <c r="BI886">
        <v>-1411.6865051703062</v>
      </c>
      <c r="BJ886">
        <v>0.13539135020372939</v>
      </c>
    </row>
    <row r="887" spans="3:62" x14ac:dyDescent="0.2">
      <c r="C887" s="121">
        <v>78863.139652785321</v>
      </c>
      <c r="D887">
        <v>14.555589332080075</v>
      </c>
      <c r="E887" s="121">
        <v>80516.065970045223</v>
      </c>
      <c r="F887" s="121">
        <v>14.480873108086049</v>
      </c>
      <c r="G887" s="121">
        <v>-1652.9263172599021</v>
      </c>
      <c r="H887" s="121">
        <v>7.4716223994025555E-2</v>
      </c>
      <c r="N887" s="121"/>
      <c r="O887" s="121"/>
      <c r="P887" s="121"/>
      <c r="R887">
        <v>227.52446374789804</v>
      </c>
      <c r="S887">
        <v>67.114176633126391</v>
      </c>
      <c r="T887">
        <v>285.32508402010654</v>
      </c>
      <c r="U887">
        <v>97.349704285938856</v>
      </c>
      <c r="X887">
        <v>0.82779027353239953</v>
      </c>
      <c r="Y887">
        <v>0.85802884970035165</v>
      </c>
      <c r="Z887">
        <v>0.88968746911195218</v>
      </c>
      <c r="AA887">
        <v>0.87141637688571061</v>
      </c>
      <c r="AB887">
        <v>0.79761614747814058</v>
      </c>
      <c r="AC887">
        <v>0.82980088240705241</v>
      </c>
      <c r="AD887">
        <v>0.65386269593846558</v>
      </c>
      <c r="AE887">
        <v>0.77651455794180047</v>
      </c>
      <c r="AH887">
        <v>9.1256890001935265E-2</v>
      </c>
      <c r="AI887">
        <v>0.17813944290359274</v>
      </c>
      <c r="AJ887">
        <v>9.8291208124710261E-2</v>
      </c>
      <c r="AK887">
        <v>0.40461759840804168</v>
      </c>
      <c r="AL887">
        <v>0.22172428794705112</v>
      </c>
      <c r="AM887">
        <v>5.9458883152379127E-2</v>
      </c>
      <c r="AN887">
        <v>3.0849083926130505E-2</v>
      </c>
      <c r="AO887">
        <v>8.1116410250976045E-2</v>
      </c>
      <c r="AR887">
        <v>9.619125898809866E-4</v>
      </c>
      <c r="AS887">
        <v>4.701104110171217E-3</v>
      </c>
      <c r="AT887">
        <v>4.8518424715797105E-3</v>
      </c>
      <c r="AU887">
        <v>1.8108294095889883E-3</v>
      </c>
      <c r="AV887">
        <v>1.9259014497737409E-3</v>
      </c>
      <c r="AW887">
        <v>3.5676498471115536E-3</v>
      </c>
      <c r="AX887">
        <v>4.0122432679068343E-4</v>
      </c>
      <c r="AY887">
        <v>4.8899620808429134E-4</v>
      </c>
      <c r="BB887">
        <v>4.7742881548929611E-2</v>
      </c>
      <c r="BC887">
        <v>2.6617950138420762E-2</v>
      </c>
      <c r="BE887">
        <v>78863.139652785321</v>
      </c>
      <c r="BF887">
        <v>14.555589332080075</v>
      </c>
      <c r="BG887">
        <v>80516.065970045223</v>
      </c>
      <c r="BH887">
        <v>14.480873108086049</v>
      </c>
      <c r="BI887">
        <v>-1652.9263172599021</v>
      </c>
      <c r="BJ887">
        <v>7.4716223994025555E-2</v>
      </c>
    </row>
    <row r="888" spans="3:62" x14ac:dyDescent="0.2">
      <c r="C888" s="121">
        <v>69648.47107106715</v>
      </c>
      <c r="D888">
        <v>16.875225681268919</v>
      </c>
      <c r="E888" s="121">
        <v>71886.901422457857</v>
      </c>
      <c r="F888" s="121">
        <v>16.737874362051585</v>
      </c>
      <c r="G888" s="121">
        <v>-2238.4303513907071</v>
      </c>
      <c r="H888" s="121">
        <v>0.13735131921733412</v>
      </c>
      <c r="N888" s="121"/>
      <c r="O888" s="121"/>
      <c r="P888" s="121"/>
      <c r="R888">
        <v>359.10006127602179</v>
      </c>
      <c r="S888">
        <v>64.082533411166551</v>
      </c>
      <c r="T888">
        <v>287.46256793041829</v>
      </c>
      <c r="U888">
        <v>99.847531969719512</v>
      </c>
      <c r="X888">
        <v>0.84684330231065608</v>
      </c>
      <c r="Y888">
        <v>0.55408253660965967</v>
      </c>
      <c r="Z888">
        <v>0.64505619431678229</v>
      </c>
      <c r="AA888">
        <v>0.75234450339458925</v>
      </c>
      <c r="AB888">
        <v>0.76070075910327095</v>
      </c>
      <c r="AC888">
        <v>0.74136245102608955</v>
      </c>
      <c r="AD888">
        <v>0.67613886664072398</v>
      </c>
      <c r="AE888">
        <v>0.7216838916554249</v>
      </c>
      <c r="AH888">
        <v>0.1904814783591019</v>
      </c>
      <c r="AI888">
        <v>0.14793824396533661</v>
      </c>
      <c r="AJ888">
        <v>0.16755396642566867</v>
      </c>
      <c r="AK888">
        <v>0.13453806970731441</v>
      </c>
      <c r="AL888">
        <v>0.14937597550537418</v>
      </c>
      <c r="AM888">
        <v>7.0910775508722268E-2</v>
      </c>
      <c r="AN888">
        <v>0.11774519323116106</v>
      </c>
      <c r="AO888">
        <v>8.0749468926382795E-2</v>
      </c>
      <c r="AR888">
        <v>8.8533383081197377E-4</v>
      </c>
      <c r="AS888">
        <v>4.3266295289737852E-3</v>
      </c>
      <c r="AT888">
        <v>5.2109003211167071E-3</v>
      </c>
      <c r="AU888">
        <v>1.8328699878534241E-3</v>
      </c>
      <c r="AV888">
        <v>1.8946851704715929E-3</v>
      </c>
      <c r="AW888">
        <v>3.2500451212224115E-3</v>
      </c>
      <c r="AX888">
        <v>3.8207887267716387E-4</v>
      </c>
      <c r="AY888">
        <v>4.993208788237613E-4</v>
      </c>
      <c r="BB888">
        <v>5.60251463055782E-2</v>
      </c>
      <c r="BC888">
        <v>5.925333984771719E-2</v>
      </c>
      <c r="BE888">
        <v>69648.47107106715</v>
      </c>
      <c r="BF888">
        <v>16.875225681268919</v>
      </c>
      <c r="BG888">
        <v>71886.901422457857</v>
      </c>
      <c r="BH888">
        <v>16.737874362051585</v>
      </c>
      <c r="BI888">
        <v>-2238.4303513907071</v>
      </c>
      <c r="BJ888">
        <v>0.13735131921733412</v>
      </c>
    </row>
    <row r="889" spans="3:62" x14ac:dyDescent="0.2">
      <c r="C889" s="121">
        <v>73117.944099226544</v>
      </c>
      <c r="D889">
        <v>16.018222882139906</v>
      </c>
      <c r="E889" s="121">
        <v>75376.074349180257</v>
      </c>
      <c r="F889" s="121">
        <v>15.873675867612249</v>
      </c>
      <c r="G889" s="121">
        <v>-2258.1302499537123</v>
      </c>
      <c r="H889" s="121">
        <v>0.14454701452765661</v>
      </c>
      <c r="N889" s="121"/>
      <c r="O889" s="121"/>
      <c r="P889" s="121"/>
      <c r="R889">
        <v>182.2845686040605</v>
      </c>
      <c r="S889">
        <v>60.204336014767229</v>
      </c>
      <c r="T889">
        <v>267.22732486303318</v>
      </c>
      <c r="U889">
        <v>105.14284214915872</v>
      </c>
      <c r="X889">
        <v>0.81996619025073625</v>
      </c>
      <c r="Y889">
        <v>0.71513230722924992</v>
      </c>
      <c r="Z889">
        <v>0.68176053669397352</v>
      </c>
      <c r="AA889">
        <v>0.86871816921535949</v>
      </c>
      <c r="AB889">
        <v>0.62245038218161708</v>
      </c>
      <c r="AC889">
        <v>0.67827146963330665</v>
      </c>
      <c r="AD889">
        <v>0.97018219374350556</v>
      </c>
      <c r="AE889">
        <v>0.87953813094448052</v>
      </c>
      <c r="AH889">
        <v>0.1970624700840603</v>
      </c>
      <c r="AI889">
        <v>5.3944584730029055E-2</v>
      </c>
      <c r="AJ889">
        <v>0.11354378176583102</v>
      </c>
      <c r="AK889">
        <v>0.19875013691059251</v>
      </c>
      <c r="AL889">
        <v>0.14260521045361019</v>
      </c>
      <c r="AM889">
        <v>1.3984275666435453E-2</v>
      </c>
      <c r="AN889">
        <v>0.15445484130627163</v>
      </c>
      <c r="AO889">
        <v>0.12500104662008815</v>
      </c>
      <c r="AR889">
        <v>1.061797618338356E-3</v>
      </c>
      <c r="AS889">
        <v>4.4232424796070893E-3</v>
      </c>
      <c r="AT889">
        <v>5.0223462962951659E-3</v>
      </c>
      <c r="AU889">
        <v>1.9869089542115638E-3</v>
      </c>
      <c r="AV889">
        <v>2.0473572194603662E-3</v>
      </c>
      <c r="AW889">
        <v>3.4208802162924989E-3</v>
      </c>
      <c r="AX889">
        <v>4.4482917097055097E-4</v>
      </c>
      <c r="AY889">
        <v>3.9733265867920924E-4</v>
      </c>
      <c r="BB889">
        <v>4.9625133781114342E-2</v>
      </c>
      <c r="BC889">
        <v>5.9395272089606155E-2</v>
      </c>
      <c r="BE889">
        <v>73117.944099226544</v>
      </c>
      <c r="BF889">
        <v>16.018222882139906</v>
      </c>
      <c r="BG889">
        <v>75376.074349180257</v>
      </c>
      <c r="BH889">
        <v>15.873675867612249</v>
      </c>
      <c r="BI889">
        <v>-2258.1302499537123</v>
      </c>
      <c r="BJ889">
        <v>0.14454701452765661</v>
      </c>
    </row>
    <row r="890" spans="3:62" x14ac:dyDescent="0.2">
      <c r="C890" s="121">
        <v>69200.910044172124</v>
      </c>
      <c r="D890">
        <v>16.43461575769205</v>
      </c>
      <c r="E890" s="121">
        <v>71298.931984160416</v>
      </c>
      <c r="F890" s="121">
        <v>16.297448072519014</v>
      </c>
      <c r="G890" s="121">
        <v>-2098.0219399882917</v>
      </c>
      <c r="H890" s="121">
        <v>0.13716768517303635</v>
      </c>
      <c r="N890" s="121"/>
      <c r="O890" s="121"/>
      <c r="P890" s="121"/>
      <c r="R890">
        <v>181.72944706771301</v>
      </c>
      <c r="S890">
        <v>66.770292619326142</v>
      </c>
      <c r="T890">
        <v>292.98314322861029</v>
      </c>
      <c r="U890">
        <v>92.182768925259552</v>
      </c>
      <c r="X890">
        <v>0.93368591648810639</v>
      </c>
      <c r="Y890">
        <v>0.51760013117358861</v>
      </c>
      <c r="Z890">
        <v>0.62922178381281346</v>
      </c>
      <c r="AA890">
        <v>0.82098229716665427</v>
      </c>
      <c r="AB890">
        <v>0.87814129181454426</v>
      </c>
      <c r="AC890">
        <v>0.77142940299533325</v>
      </c>
      <c r="AD890">
        <v>0.53970985776822977</v>
      </c>
      <c r="AE890">
        <v>0.7281576328570325</v>
      </c>
      <c r="AH890">
        <v>9.2488045524025564E-2</v>
      </c>
      <c r="AI890">
        <v>6.7166096833813693E-2</v>
      </c>
      <c r="AJ890">
        <v>9.3304562790214041E-2</v>
      </c>
      <c r="AK890">
        <v>1.3537635244582402E-2</v>
      </c>
      <c r="AL890">
        <v>0.290105037604375</v>
      </c>
      <c r="AM890">
        <v>0.25860991629737751</v>
      </c>
      <c r="AN890">
        <v>9.1245468481950143E-2</v>
      </c>
      <c r="AO890">
        <v>5.9786843434993964E-2</v>
      </c>
      <c r="AR890">
        <v>8.4433182784462524E-4</v>
      </c>
      <c r="AS890">
        <v>4.5131960007996907E-3</v>
      </c>
      <c r="AT890">
        <v>4.8794004436074918E-3</v>
      </c>
      <c r="AU890">
        <v>1.8941786971936384E-3</v>
      </c>
      <c r="AV890">
        <v>2.4570658445833837E-3</v>
      </c>
      <c r="AW890">
        <v>3.1999642627097446E-3</v>
      </c>
      <c r="AX890">
        <v>4.214012965445546E-4</v>
      </c>
      <c r="AY890">
        <v>5.3636856959971002E-4</v>
      </c>
      <c r="BB890">
        <v>5.2112160477840841E-2</v>
      </c>
      <c r="BC890">
        <v>4.681171026414932E-2</v>
      </c>
      <c r="BE890">
        <v>69200.910044172124</v>
      </c>
      <c r="BF890">
        <v>16.43461575769205</v>
      </c>
      <c r="BG890">
        <v>71298.931984160416</v>
      </c>
      <c r="BH890">
        <v>16.297448072519014</v>
      </c>
      <c r="BI890">
        <v>-2098.0219399882917</v>
      </c>
      <c r="BJ890">
        <v>0.13716768517303635</v>
      </c>
    </row>
    <row r="891" spans="3:62" x14ac:dyDescent="0.2">
      <c r="C891" s="121">
        <v>68890.421861303446</v>
      </c>
      <c r="D891">
        <v>17.820660763536129</v>
      </c>
      <c r="E891" s="121">
        <v>70830.746481507696</v>
      </c>
      <c r="F891" s="121">
        <v>17.666036187751928</v>
      </c>
      <c r="G891" s="121">
        <v>-1940.3246202042501</v>
      </c>
      <c r="H891" s="121">
        <v>0.15462457578420086</v>
      </c>
      <c r="N891" s="121"/>
      <c r="O891" s="121"/>
      <c r="P891" s="121"/>
      <c r="R891">
        <v>333.96139780692931</v>
      </c>
      <c r="S891">
        <v>67.462768429752316</v>
      </c>
      <c r="T891">
        <v>252.39985051899052</v>
      </c>
      <c r="U891">
        <v>104.60947431027276</v>
      </c>
      <c r="X891">
        <v>0.91321983262505424</v>
      </c>
      <c r="Y891">
        <v>0.85785177310535787</v>
      </c>
      <c r="Z891">
        <v>0.85150805905088656</v>
      </c>
      <c r="AA891">
        <v>0.71605671167349294</v>
      </c>
      <c r="AB891">
        <v>0.76400498934554351</v>
      </c>
      <c r="AC891">
        <v>0.89300965965111956</v>
      </c>
      <c r="AD891">
        <v>0.81486390203957804</v>
      </c>
      <c r="AE891">
        <v>0.8763811168452762</v>
      </c>
      <c r="AH891">
        <v>0.11976881742199319</v>
      </c>
      <c r="AI891">
        <v>1.0896696099540581E-2</v>
      </c>
      <c r="AJ891">
        <v>0.11109168855565921</v>
      </c>
      <c r="AK891">
        <v>3.4443181175286997E-2</v>
      </c>
      <c r="AL891">
        <v>2.7243349841031383E-2</v>
      </c>
      <c r="AM891">
        <v>0.11759223357887083</v>
      </c>
      <c r="AN891">
        <v>3.7580744501822583E-2</v>
      </c>
      <c r="AO891">
        <v>4.8378597074787977E-2</v>
      </c>
      <c r="AR891">
        <v>7.3252685579186603E-4</v>
      </c>
      <c r="AS891">
        <v>4.6066197494830652E-3</v>
      </c>
      <c r="AT891">
        <v>4.890795727140804E-3</v>
      </c>
      <c r="AU891">
        <v>1.7329449327345226E-3</v>
      </c>
      <c r="AV891">
        <v>1.9985358628125116E-3</v>
      </c>
      <c r="AW891">
        <v>3.463285192504495E-3</v>
      </c>
      <c r="AX891">
        <v>3.2976770805273126E-4</v>
      </c>
      <c r="AY891">
        <v>6.1778762877462423E-4</v>
      </c>
      <c r="BB891">
        <v>4.5801832925829199E-2</v>
      </c>
      <c r="BC891">
        <v>5.0720191912241752E-2</v>
      </c>
      <c r="BE891">
        <v>68890.421861303446</v>
      </c>
      <c r="BF891">
        <v>17.820660763536129</v>
      </c>
      <c r="BG891">
        <v>70830.746481507696</v>
      </c>
      <c r="BH891">
        <v>17.666036187751928</v>
      </c>
      <c r="BI891">
        <v>-1940.3246202042501</v>
      </c>
      <c r="BJ891">
        <v>0.15462457578420086</v>
      </c>
    </row>
    <row r="892" spans="3:62" x14ac:dyDescent="0.2">
      <c r="C892" s="121">
        <v>73436.438840520146</v>
      </c>
      <c r="D892">
        <v>16.701579808436374</v>
      </c>
      <c r="E892" s="121">
        <v>75244.246720149647</v>
      </c>
      <c r="F892" s="121">
        <v>16.566132997681894</v>
      </c>
      <c r="G892" s="121">
        <v>-1807.8078796295013</v>
      </c>
      <c r="H892" s="121">
        <v>0.1354468107544804</v>
      </c>
      <c r="N892" s="121"/>
      <c r="O892" s="121"/>
      <c r="P892" s="121"/>
      <c r="R892">
        <v>256.29863552512461</v>
      </c>
      <c r="S892">
        <v>70.389796543444476</v>
      </c>
      <c r="T892">
        <v>224.06001450535143</v>
      </c>
      <c r="U892">
        <v>101.97267924761857</v>
      </c>
      <c r="X892">
        <v>0.8017958664384619</v>
      </c>
      <c r="Y892">
        <v>0.69369514072648453</v>
      </c>
      <c r="Z892">
        <v>0.74615920122547119</v>
      </c>
      <c r="AA892">
        <v>0.82085242371800193</v>
      </c>
      <c r="AB892">
        <v>0.53560361489240271</v>
      </c>
      <c r="AC892">
        <v>0.8970068797304046</v>
      </c>
      <c r="AD892">
        <v>0.8956830745991704</v>
      </c>
      <c r="AE892">
        <v>0.4459580720016813</v>
      </c>
      <c r="AH892">
        <v>0.15268111409101315</v>
      </c>
      <c r="AI892">
        <v>0.2028400274153016</v>
      </c>
      <c r="AJ892">
        <v>9.8752038065599512E-2</v>
      </c>
      <c r="AK892">
        <v>3.9274677167423722E-2</v>
      </c>
      <c r="AL892">
        <v>0.18916522240926981</v>
      </c>
      <c r="AM892">
        <v>7.4130426605793387E-2</v>
      </c>
      <c r="AN892">
        <v>0.1820583108254219</v>
      </c>
      <c r="AO892">
        <v>0.18726356851549353</v>
      </c>
      <c r="AR892">
        <v>9.2256562436210388E-4</v>
      </c>
      <c r="AS892">
        <v>4.1366992888650063E-3</v>
      </c>
      <c r="AT892">
        <v>4.6500323645999727E-3</v>
      </c>
      <c r="AU892">
        <v>2.0079274719905227E-3</v>
      </c>
      <c r="AV892">
        <v>1.9835277262614756E-3</v>
      </c>
      <c r="AW892">
        <v>3.3500703497690216E-3</v>
      </c>
      <c r="AX892">
        <v>3.9094944698654177E-4</v>
      </c>
      <c r="AY892">
        <v>4.4604671899957143E-4</v>
      </c>
      <c r="BB892">
        <v>4.090412192334817E-2</v>
      </c>
      <c r="BC892">
        <v>7.3374136505059417E-2</v>
      </c>
      <c r="BE892">
        <v>73436.438840520146</v>
      </c>
      <c r="BF892">
        <v>16.701579808436374</v>
      </c>
      <c r="BG892">
        <v>75244.246720149647</v>
      </c>
      <c r="BH892">
        <v>16.566132997681894</v>
      </c>
      <c r="BI892">
        <v>-1807.8078796295013</v>
      </c>
      <c r="BJ892">
        <v>0.1354468107544804</v>
      </c>
    </row>
    <row r="893" spans="3:62" x14ac:dyDescent="0.2">
      <c r="C893" s="121">
        <v>70061.550263839075</v>
      </c>
      <c r="D893">
        <v>16.275332880870103</v>
      </c>
      <c r="E893" s="121">
        <v>71542.908986483875</v>
      </c>
      <c r="F893" s="121">
        <v>16.142222885488152</v>
      </c>
      <c r="G893" s="121">
        <v>-1481.3587226447999</v>
      </c>
      <c r="H893" s="121">
        <v>0.13310999538195034</v>
      </c>
      <c r="N893" s="121"/>
      <c r="O893" s="121"/>
      <c r="P893" s="121"/>
      <c r="R893">
        <v>233.63676421587172</v>
      </c>
      <c r="S893">
        <v>69.2748626057396</v>
      </c>
      <c r="T893">
        <v>263.96190218217725</v>
      </c>
      <c r="U893">
        <v>91.104379327350898</v>
      </c>
      <c r="X893">
        <v>0.77193313199721636</v>
      </c>
      <c r="Y893">
        <v>0.83341805435484262</v>
      </c>
      <c r="Z893">
        <v>0.73883783946993431</v>
      </c>
      <c r="AA893">
        <v>0.80963715872517383</v>
      </c>
      <c r="AB893">
        <v>0.85313177408778151</v>
      </c>
      <c r="AC893">
        <v>0.72209982500067171</v>
      </c>
      <c r="AD893">
        <v>0.87648851670548156</v>
      </c>
      <c r="AE893">
        <v>0.68532943404438662</v>
      </c>
      <c r="AH893">
        <v>3.7042889528150491E-3</v>
      </c>
      <c r="AI893">
        <v>0.16697414041235337</v>
      </c>
      <c r="AJ893">
        <v>0.23185480927839086</v>
      </c>
      <c r="AK893">
        <v>0.10695130897000071</v>
      </c>
      <c r="AL893">
        <v>0.19756040241831718</v>
      </c>
      <c r="AM893">
        <v>1.4709465267120247E-2</v>
      </c>
      <c r="AN893">
        <v>0.11407912144965493</v>
      </c>
      <c r="AO893">
        <v>8.3945871135591377E-2</v>
      </c>
      <c r="AR893">
        <v>9.2585774875997284E-4</v>
      </c>
      <c r="AS893">
        <v>4.6658711415142884E-3</v>
      </c>
      <c r="AT893">
        <v>5.0498322028770248E-3</v>
      </c>
      <c r="AU893">
        <v>2.0739797740237931E-3</v>
      </c>
      <c r="AV893">
        <v>2.1662088917530076E-3</v>
      </c>
      <c r="AW893">
        <v>3.399331649190554E-3</v>
      </c>
      <c r="AX893">
        <v>5.0328725379666928E-4</v>
      </c>
      <c r="AY893">
        <v>5.2799754448029645E-4</v>
      </c>
      <c r="BB893">
        <v>4.5424944864660616E-2</v>
      </c>
      <c r="BC893">
        <v>7.0011030269910512E-2</v>
      </c>
      <c r="BE893">
        <v>70061.550263839075</v>
      </c>
      <c r="BF893">
        <v>16.275332880870103</v>
      </c>
      <c r="BG893">
        <v>71542.908986483875</v>
      </c>
      <c r="BH893">
        <v>16.142222885488152</v>
      </c>
      <c r="BI893">
        <v>-1481.3587226447999</v>
      </c>
      <c r="BJ893">
        <v>0.13310999538195034</v>
      </c>
    </row>
    <row r="894" spans="3:62" x14ac:dyDescent="0.2">
      <c r="C894" s="121">
        <v>65499.426711485859</v>
      </c>
      <c r="D894">
        <v>17.422843332825931</v>
      </c>
      <c r="E894" s="121">
        <v>67460.709497559292</v>
      </c>
      <c r="F894" s="121">
        <v>17.318074486983139</v>
      </c>
      <c r="G894" s="121">
        <v>-1961.2827860734324</v>
      </c>
      <c r="H894" s="121">
        <v>0.10476884584279134</v>
      </c>
      <c r="N894" s="121"/>
      <c r="O894" s="121"/>
      <c r="P894" s="121"/>
      <c r="R894">
        <v>108.56129832587683</v>
      </c>
      <c r="S894">
        <v>73.414248972875484</v>
      </c>
      <c r="T894">
        <v>256.20396229403264</v>
      </c>
      <c r="U894">
        <v>94.170845546942402</v>
      </c>
      <c r="X894">
        <v>0.72603050004121772</v>
      </c>
      <c r="Y894">
        <v>0.77446073919823344</v>
      </c>
      <c r="Z894">
        <v>0.88553049397805883</v>
      </c>
      <c r="AA894">
        <v>0.60127957943562504</v>
      </c>
      <c r="AB894">
        <v>0.72801031881092726</v>
      </c>
      <c r="AC894">
        <v>0.8498695075456445</v>
      </c>
      <c r="AD894">
        <v>0.56313831246598223</v>
      </c>
      <c r="AE894">
        <v>0.68866331060249752</v>
      </c>
      <c r="AH894">
        <v>5.320473142696569E-2</v>
      </c>
      <c r="AI894">
        <v>1.6721104987139856E-2</v>
      </c>
      <c r="AJ894">
        <v>8.8650354683018739E-2</v>
      </c>
      <c r="AK894">
        <v>0.14871951913538461</v>
      </c>
      <c r="AL894">
        <v>0.16380867240547969</v>
      </c>
      <c r="AM894">
        <v>8.1906876087990632E-2</v>
      </c>
      <c r="AN894">
        <v>0.37622002910128549</v>
      </c>
      <c r="AO894">
        <v>7.5582488991872587E-2</v>
      </c>
      <c r="AR894">
        <v>7.7780567129693743E-4</v>
      </c>
      <c r="AS894">
        <v>4.3601040909723729E-3</v>
      </c>
      <c r="AT894">
        <v>5.0891858006814061E-3</v>
      </c>
      <c r="AU894">
        <v>2.1268570611309157E-3</v>
      </c>
      <c r="AV894">
        <v>2.1365123078109782E-3</v>
      </c>
      <c r="AW894">
        <v>3.2035708495701067E-3</v>
      </c>
      <c r="AX894">
        <v>3.8005061173933746E-4</v>
      </c>
      <c r="AY894">
        <v>4.3274514183597851E-4</v>
      </c>
      <c r="BB894">
        <v>5.5345045476791199E-2</v>
      </c>
      <c r="BC894">
        <v>8.0429796954023636E-2</v>
      </c>
      <c r="BE894">
        <v>65499.426711485859</v>
      </c>
      <c r="BF894">
        <v>17.422843332825931</v>
      </c>
      <c r="BG894">
        <v>67460.709497559292</v>
      </c>
      <c r="BH894">
        <v>17.318074486983139</v>
      </c>
      <c r="BI894">
        <v>-1961.2827860734324</v>
      </c>
      <c r="BJ894">
        <v>0.10476884584279134</v>
      </c>
    </row>
    <row r="895" spans="3:62" x14ac:dyDescent="0.2">
      <c r="C895" s="121">
        <v>67762.703201241806</v>
      </c>
      <c r="D895">
        <v>14.171733372779467</v>
      </c>
      <c r="E895" s="121">
        <v>68820.401323083628</v>
      </c>
      <c r="F895" s="121">
        <v>14.107120297384025</v>
      </c>
      <c r="G895" s="121">
        <v>-1057.6981218418223</v>
      </c>
      <c r="H895" s="121">
        <v>6.4613075395442365E-2</v>
      </c>
      <c r="N895" s="121"/>
      <c r="O895" s="121"/>
      <c r="P895" s="121"/>
      <c r="R895">
        <v>360.64165488174956</v>
      </c>
      <c r="S895">
        <v>64.362822328669893</v>
      </c>
      <c r="T895">
        <v>245.1553874783508</v>
      </c>
      <c r="U895">
        <v>94.824077505890969</v>
      </c>
      <c r="X895">
        <v>0.81592224004427449</v>
      </c>
      <c r="Y895">
        <v>0.82797794912616873</v>
      </c>
      <c r="Z895">
        <v>0.77222187252038665</v>
      </c>
      <c r="AA895">
        <v>0.81351828919782176</v>
      </c>
      <c r="AB895">
        <v>0.89458629195866401</v>
      </c>
      <c r="AC895">
        <v>0.68245650213974463</v>
      </c>
      <c r="AD895">
        <v>0.71886777349009168</v>
      </c>
      <c r="AE895">
        <v>0.5569771466030774</v>
      </c>
      <c r="AH895">
        <v>0.18430782302695092</v>
      </c>
      <c r="AI895">
        <v>0.22032168542736763</v>
      </c>
      <c r="AJ895">
        <v>6.6171437710210723E-3</v>
      </c>
      <c r="AK895">
        <v>0.13706214779296944</v>
      </c>
      <c r="AL895">
        <v>9.7975741175084563E-2</v>
      </c>
      <c r="AM895">
        <v>0.10222843000624038</v>
      </c>
      <c r="AN895">
        <v>0.14128182585474869</v>
      </c>
      <c r="AO895">
        <v>0.19800100995323067</v>
      </c>
      <c r="AR895">
        <v>6.7115257353518175E-4</v>
      </c>
      <c r="AS895">
        <v>4.5374389321289899E-3</v>
      </c>
      <c r="AT895">
        <v>4.8265131705751974E-3</v>
      </c>
      <c r="AU895">
        <v>1.9164239198428547E-3</v>
      </c>
      <c r="AV895">
        <v>2.2661775681095397E-3</v>
      </c>
      <c r="AW895">
        <v>3.547976995649349E-3</v>
      </c>
      <c r="AX895">
        <v>3.9342466910041751E-4</v>
      </c>
      <c r="AY895">
        <v>4.5664654982724429E-4</v>
      </c>
      <c r="BB895">
        <v>4.7260713012123159E-2</v>
      </c>
      <c r="BC895">
        <v>4.2808504820944504E-2</v>
      </c>
      <c r="BE895">
        <v>67762.703201241806</v>
      </c>
      <c r="BF895">
        <v>14.171733372779467</v>
      </c>
      <c r="BG895">
        <v>68820.401323083628</v>
      </c>
      <c r="BH895">
        <v>14.107120297384025</v>
      </c>
      <c r="BI895">
        <v>-1057.6981218418223</v>
      </c>
      <c r="BJ895">
        <v>6.4613075395442365E-2</v>
      </c>
    </row>
    <row r="896" spans="3:62" x14ac:dyDescent="0.2">
      <c r="C896" s="121">
        <v>71510.561561353752</v>
      </c>
      <c r="D896">
        <v>17.781350126371883</v>
      </c>
      <c r="E896" s="121">
        <v>73514.657792952203</v>
      </c>
      <c r="F896" s="121">
        <v>17.667992833758642</v>
      </c>
      <c r="G896" s="121">
        <v>-2004.0962315984507</v>
      </c>
      <c r="H896" s="121">
        <v>0.1133572926132409</v>
      </c>
      <c r="N896" s="121"/>
      <c r="O896" s="121"/>
      <c r="P896" s="121"/>
      <c r="R896">
        <v>323.82167795740276</v>
      </c>
      <c r="S896">
        <v>62.128450605521074</v>
      </c>
      <c r="T896">
        <v>237.71096539545141</v>
      </c>
      <c r="U896">
        <v>83.914637514391075</v>
      </c>
      <c r="X896">
        <v>0.827416689215978</v>
      </c>
      <c r="Y896">
        <v>0.78823157536944222</v>
      </c>
      <c r="Z896">
        <v>0.79155096575704498</v>
      </c>
      <c r="AA896">
        <v>0.57406068105309627</v>
      </c>
      <c r="AB896">
        <v>0.94007366463113395</v>
      </c>
      <c r="AC896">
        <v>0.78604817984370512</v>
      </c>
      <c r="AD896">
        <v>0.80206227680614317</v>
      </c>
      <c r="AE896">
        <v>0.68106502132027069</v>
      </c>
      <c r="AH896">
        <v>7.6321515651134209E-2</v>
      </c>
      <c r="AI896">
        <v>2.4123603910003566E-2</v>
      </c>
      <c r="AJ896">
        <v>7.4337040957588751E-2</v>
      </c>
      <c r="AK896">
        <v>0.2578840757665064</v>
      </c>
      <c r="AL896">
        <v>0.22720569558213899</v>
      </c>
      <c r="AM896">
        <v>0.34025315357276198</v>
      </c>
      <c r="AN896">
        <v>0.13539255405221096</v>
      </c>
      <c r="AO896">
        <v>0.24011723753201897</v>
      </c>
      <c r="AR896">
        <v>7.8862335809181902E-4</v>
      </c>
      <c r="AS896">
        <v>4.6245063419648735E-3</v>
      </c>
      <c r="AT896">
        <v>4.7300700061587977E-3</v>
      </c>
      <c r="AU896">
        <v>1.8855987802621048E-3</v>
      </c>
      <c r="AV896">
        <v>2.0480189704750185E-3</v>
      </c>
      <c r="AW896">
        <v>3.4905176305154439E-3</v>
      </c>
      <c r="AX896">
        <v>3.401757322127471E-4</v>
      </c>
      <c r="AY896">
        <v>6.8077002262689756E-4</v>
      </c>
      <c r="BB896">
        <v>4.8531524133540976E-2</v>
      </c>
      <c r="BC896">
        <v>0.13209781677450572</v>
      </c>
      <c r="BE896">
        <v>71510.561561353752</v>
      </c>
      <c r="BF896">
        <v>17.781350126371883</v>
      </c>
      <c r="BG896">
        <v>73514.657792952203</v>
      </c>
      <c r="BH896">
        <v>17.667992833758642</v>
      </c>
      <c r="BI896">
        <v>-2004.0962315984507</v>
      </c>
      <c r="BJ896">
        <v>0.1133572926132409</v>
      </c>
    </row>
    <row r="897" spans="3:62" x14ac:dyDescent="0.2">
      <c r="C897" s="121">
        <v>68400.859159342246</v>
      </c>
      <c r="D897">
        <v>17.388938204347255</v>
      </c>
      <c r="E897" s="121">
        <v>70659.146777834729</v>
      </c>
      <c r="F897" s="121">
        <v>17.272057623759785</v>
      </c>
      <c r="G897" s="121">
        <v>-2258.2876184924826</v>
      </c>
      <c r="H897" s="121">
        <v>0.11688058058746975</v>
      </c>
      <c r="N897" s="121"/>
      <c r="O897" s="121"/>
      <c r="P897" s="121"/>
      <c r="R897">
        <v>-14.813977570954023</v>
      </c>
      <c r="S897">
        <v>65.172795013041949</v>
      </c>
      <c r="T897">
        <v>214.02674279189677</v>
      </c>
      <c r="U897">
        <v>96.374165644840588</v>
      </c>
      <c r="X897">
        <v>0.49547196059065085</v>
      </c>
      <c r="Y897">
        <v>0.79729818504341332</v>
      </c>
      <c r="Z897">
        <v>0.84192437908237383</v>
      </c>
      <c r="AA897">
        <v>0.87472565331008933</v>
      </c>
      <c r="AB897">
        <v>0.85982847434366672</v>
      </c>
      <c r="AC897">
        <v>0.83946199626660234</v>
      </c>
      <c r="AD897">
        <v>0.87543574457809048</v>
      </c>
      <c r="AE897">
        <v>0.48125514440223804</v>
      </c>
      <c r="AH897">
        <v>5.2664145764588666E-2</v>
      </c>
      <c r="AI897">
        <v>0.11963122036783735</v>
      </c>
      <c r="AJ897">
        <v>9.4647650490673474E-2</v>
      </c>
      <c r="AK897">
        <v>7.8366541843056359E-2</v>
      </c>
      <c r="AL897">
        <v>0.16906092749791446</v>
      </c>
      <c r="AM897">
        <v>3.9026814933694309E-2</v>
      </c>
      <c r="AN897">
        <v>0.19225014555858566</v>
      </c>
      <c r="AO897">
        <v>0.17941751536758188</v>
      </c>
      <c r="AR897">
        <v>9.4998457355677246E-4</v>
      </c>
      <c r="AS897">
        <v>4.4148253569361289E-3</v>
      </c>
      <c r="AT897">
        <v>4.7986047153488233E-3</v>
      </c>
      <c r="AU897">
        <v>2.180086869597142E-3</v>
      </c>
      <c r="AV897">
        <v>2.1259999236828975E-3</v>
      </c>
      <c r="AW897">
        <v>3.2914679016748114E-3</v>
      </c>
      <c r="AX897">
        <v>3.3225298259160737E-4</v>
      </c>
      <c r="AY897">
        <v>4.137526285312632E-4</v>
      </c>
      <c r="BB897">
        <v>5.8819444756854078E-2</v>
      </c>
      <c r="BC897">
        <v>2.9206004663676555E-2</v>
      </c>
      <c r="BE897">
        <v>68400.859159342246</v>
      </c>
      <c r="BF897">
        <v>17.388938204347255</v>
      </c>
      <c r="BG897">
        <v>70659.146777834729</v>
      </c>
      <c r="BH897">
        <v>17.272057623759785</v>
      </c>
      <c r="BI897">
        <v>-2258.2876184924826</v>
      </c>
      <c r="BJ897">
        <v>0.11688058058746975</v>
      </c>
    </row>
    <row r="898" spans="3:62" x14ac:dyDescent="0.2">
      <c r="C898" s="121">
        <v>69406.163306093222</v>
      </c>
      <c r="D898">
        <v>14.566973216620999</v>
      </c>
      <c r="E898" s="121">
        <v>71337.54614842459</v>
      </c>
      <c r="F898" s="121">
        <v>14.51211663347924</v>
      </c>
      <c r="G898" s="121">
        <v>-1931.382842331368</v>
      </c>
      <c r="H898" s="121">
        <v>5.4856583141759785E-2</v>
      </c>
      <c r="N898" s="121"/>
      <c r="O898" s="121"/>
      <c r="P898" s="121"/>
      <c r="R898">
        <v>111.36400119759097</v>
      </c>
      <c r="S898">
        <v>62.0706289418913</v>
      </c>
      <c r="T898">
        <v>217.2875175863374</v>
      </c>
      <c r="U898">
        <v>94.725730116552128</v>
      </c>
      <c r="X898">
        <v>0.68897589540899773</v>
      </c>
      <c r="Y898">
        <v>0.47555977453429588</v>
      </c>
      <c r="Z898">
        <v>0.93516878271414505</v>
      </c>
      <c r="AA898">
        <v>0.80547405184154541</v>
      </c>
      <c r="AB898">
        <v>0.71144978647653911</v>
      </c>
      <c r="AC898">
        <v>0.6010567461247841</v>
      </c>
      <c r="AD898">
        <v>0.6696992983429908</v>
      </c>
      <c r="AE898">
        <v>0.68237909460088764</v>
      </c>
      <c r="AH898">
        <v>0.24208645845516708</v>
      </c>
      <c r="AI898">
        <v>4.555848736887036E-2</v>
      </c>
      <c r="AJ898">
        <v>6.1322729585787328E-2</v>
      </c>
      <c r="AK898">
        <v>5.3180670063396773E-2</v>
      </c>
      <c r="AL898">
        <v>0.12378548849441906</v>
      </c>
      <c r="AM898">
        <v>9.1155148978762757E-2</v>
      </c>
      <c r="AN898">
        <v>9.1460590196537184E-2</v>
      </c>
      <c r="AO898">
        <v>0.16655108626604731</v>
      </c>
      <c r="AR898">
        <v>8.4232066800601468E-4</v>
      </c>
      <c r="AS898">
        <v>4.3189256859935748E-3</v>
      </c>
      <c r="AT898">
        <v>4.9132471543720038E-3</v>
      </c>
      <c r="AU898">
        <v>1.9072211507194159E-3</v>
      </c>
      <c r="AV898">
        <v>2.0543974452775782E-3</v>
      </c>
      <c r="AW898">
        <v>3.2846362763511642E-3</v>
      </c>
      <c r="AX898">
        <v>3.3379516433804752E-4</v>
      </c>
      <c r="AY898">
        <v>4.9815740397252117E-4</v>
      </c>
      <c r="BB898">
        <v>5.1185248811420059E-2</v>
      </c>
      <c r="BC898">
        <v>4.1496810525964337E-2</v>
      </c>
      <c r="BE898">
        <v>69406.163306093222</v>
      </c>
      <c r="BF898">
        <v>14.566973216620999</v>
      </c>
      <c r="BG898">
        <v>71337.54614842459</v>
      </c>
      <c r="BH898">
        <v>14.51211663347924</v>
      </c>
      <c r="BI898">
        <v>-1931.382842331368</v>
      </c>
      <c r="BJ898">
        <v>5.4856583141759785E-2</v>
      </c>
    </row>
    <row r="899" spans="3:62" x14ac:dyDescent="0.2">
      <c r="C899" s="121">
        <v>66181.932865418494</v>
      </c>
      <c r="D899">
        <v>17.189584041799989</v>
      </c>
      <c r="E899" s="121">
        <v>68127.851443671607</v>
      </c>
      <c r="F899" s="121">
        <v>17.096351772911675</v>
      </c>
      <c r="G899" s="121">
        <v>-1945.9185782531131</v>
      </c>
      <c r="H899" s="121">
        <v>9.3232268888314707E-2</v>
      </c>
      <c r="N899" s="121"/>
      <c r="O899" s="121"/>
      <c r="P899" s="121"/>
      <c r="R899">
        <v>337.49832683235809</v>
      </c>
      <c r="S899">
        <v>61.552312086114625</v>
      </c>
      <c r="T899">
        <v>209.0705919002541</v>
      </c>
      <c r="U899">
        <v>106.88590221739182</v>
      </c>
      <c r="X899">
        <v>0.8447524236125834</v>
      </c>
      <c r="Y899">
        <v>0.67753194960380003</v>
      </c>
      <c r="Z899">
        <v>0.82210477392243742</v>
      </c>
      <c r="AA899">
        <v>0.8462063679386862</v>
      </c>
      <c r="AB899">
        <v>0.67056733021840476</v>
      </c>
      <c r="AC899">
        <v>0.85262476796479203</v>
      </c>
      <c r="AD899">
        <v>0.72584836561536514</v>
      </c>
      <c r="AE899">
        <v>0.90332104285678261</v>
      </c>
      <c r="AH899">
        <v>1.9929282959062156E-2</v>
      </c>
      <c r="AI899">
        <v>0.11801643656290706</v>
      </c>
      <c r="AJ899">
        <v>0.16377788261255688</v>
      </c>
      <c r="AK899">
        <v>9.3254307992511221E-2</v>
      </c>
      <c r="AL899">
        <v>9.7203164741722081E-2</v>
      </c>
      <c r="AM899">
        <v>0.10966729480245996</v>
      </c>
      <c r="AN899">
        <v>0.320252627528397</v>
      </c>
      <c r="AO899">
        <v>0.13117808812817611</v>
      </c>
      <c r="AR899">
        <v>9.772391409981207E-4</v>
      </c>
      <c r="AS899">
        <v>4.4447211403552565E-3</v>
      </c>
      <c r="AT899">
        <v>5.0465246246667039E-3</v>
      </c>
      <c r="AU899">
        <v>2.249685642393473E-3</v>
      </c>
      <c r="AV899">
        <v>1.8365248255566827E-3</v>
      </c>
      <c r="AW899">
        <v>3.4435314993943589E-3</v>
      </c>
      <c r="AX899">
        <v>3.4665463000847871E-4</v>
      </c>
      <c r="AY899">
        <v>4.1246455551445933E-4</v>
      </c>
      <c r="BB899">
        <v>5.2533242204434449E-2</v>
      </c>
      <c r="BC899">
        <v>7.3099335202810534E-2</v>
      </c>
      <c r="BE899">
        <v>66181.932865418494</v>
      </c>
      <c r="BF899">
        <v>17.189584041799989</v>
      </c>
      <c r="BG899">
        <v>68127.851443671607</v>
      </c>
      <c r="BH899">
        <v>17.096351772911675</v>
      </c>
      <c r="BI899">
        <v>-1945.9185782531131</v>
      </c>
      <c r="BJ899">
        <v>9.3232268888314707E-2</v>
      </c>
    </row>
    <row r="900" spans="3:62" x14ac:dyDescent="0.2">
      <c r="C900" s="121">
        <v>66371.811209583058</v>
      </c>
      <c r="D900">
        <v>16.626037015097513</v>
      </c>
      <c r="E900" s="121">
        <v>68274.9281559745</v>
      </c>
      <c r="F900" s="121">
        <v>16.472666011350196</v>
      </c>
      <c r="G900" s="121">
        <v>-1903.1169463914412</v>
      </c>
      <c r="H900" s="121">
        <v>0.15337100374731705</v>
      </c>
      <c r="N900" s="121"/>
      <c r="O900" s="121"/>
      <c r="P900" s="121"/>
      <c r="R900">
        <v>291.21108220337481</v>
      </c>
      <c r="S900">
        <v>66.364501048969856</v>
      </c>
      <c r="T900">
        <v>260.18808804421798</v>
      </c>
      <c r="U900">
        <v>99.42425766268417</v>
      </c>
      <c r="X900">
        <v>0.93925129675585839</v>
      </c>
      <c r="Y900">
        <v>0.79603485239058169</v>
      </c>
      <c r="Z900">
        <v>0.62075557926212488</v>
      </c>
      <c r="AA900">
        <v>0.89341325493386703</v>
      </c>
      <c r="AB900">
        <v>0.91888714542624794</v>
      </c>
      <c r="AC900">
        <v>0.80557606332653364</v>
      </c>
      <c r="AD900">
        <v>0.7657314665239161</v>
      </c>
      <c r="AE900">
        <v>0.74871666507563095</v>
      </c>
      <c r="AH900">
        <v>2.5315917860061043E-2</v>
      </c>
      <c r="AI900">
        <v>6.7408154534716491E-2</v>
      </c>
      <c r="AJ900">
        <v>0.1756304069119643</v>
      </c>
      <c r="AK900">
        <v>3.5958947300747335E-2</v>
      </c>
      <c r="AL900">
        <v>1.0624133579545059E-2</v>
      </c>
      <c r="AM900">
        <v>8.9388313563029786E-2</v>
      </c>
      <c r="AN900">
        <v>8.3262113960755002E-2</v>
      </c>
      <c r="AO900">
        <v>7.2985307085658424E-2</v>
      </c>
      <c r="AR900">
        <v>8.6619489131713287E-4</v>
      </c>
      <c r="AS900">
        <v>4.7279364836330107E-3</v>
      </c>
      <c r="AT900">
        <v>5.1830685934814991E-3</v>
      </c>
      <c r="AU900">
        <v>2.1438731226470775E-3</v>
      </c>
      <c r="AV900">
        <v>1.9646970909809455E-3</v>
      </c>
      <c r="AW900">
        <v>3.465829898119166E-3</v>
      </c>
      <c r="AX900">
        <v>2.8569077220272127E-4</v>
      </c>
      <c r="AY900">
        <v>4.8357669307030893E-4</v>
      </c>
      <c r="BB900">
        <v>5.5508339615411684E-2</v>
      </c>
      <c r="BC900">
        <v>2.7604149773821987E-2</v>
      </c>
      <c r="BE900">
        <v>66371.811209583058</v>
      </c>
      <c r="BF900">
        <v>16.626037015097513</v>
      </c>
      <c r="BG900">
        <v>68274.9281559745</v>
      </c>
      <c r="BH900">
        <v>16.472666011350196</v>
      </c>
      <c r="BI900">
        <v>-1903.1169463914412</v>
      </c>
      <c r="BJ900">
        <v>0.15337100374731705</v>
      </c>
    </row>
    <row r="901" spans="3:62" x14ac:dyDescent="0.2">
      <c r="C901" s="121">
        <v>71910.065526099512</v>
      </c>
      <c r="D901">
        <v>15.070539101594413</v>
      </c>
      <c r="E901" s="121">
        <v>73689.920271110983</v>
      </c>
      <c r="F901" s="121">
        <v>14.919735805603436</v>
      </c>
      <c r="G901" s="121">
        <v>-1779.8547450114711</v>
      </c>
      <c r="H901" s="121">
        <v>0.1508032959909773</v>
      </c>
      <c r="N901" s="121"/>
      <c r="O901" s="121"/>
      <c r="P901" s="121"/>
      <c r="R901">
        <v>233.69287529659766</v>
      </c>
      <c r="S901">
        <v>50.569493114373344</v>
      </c>
      <c r="T901">
        <v>274.20197994494021</v>
      </c>
      <c r="U901">
        <v>96.871678839133367</v>
      </c>
      <c r="X901">
        <v>0.77260761375392106</v>
      </c>
      <c r="Y901">
        <v>0.90318931458570173</v>
      </c>
      <c r="Z901">
        <v>0.75992529982140478</v>
      </c>
      <c r="AA901">
        <v>0.8129073525499817</v>
      </c>
      <c r="AB901">
        <v>0.83663910679719844</v>
      </c>
      <c r="AC901">
        <v>0.8522886633602077</v>
      </c>
      <c r="AD901">
        <v>0.84559582548152235</v>
      </c>
      <c r="AE901">
        <v>0.41927865223218552</v>
      </c>
      <c r="AH901">
        <v>0.11523405592949898</v>
      </c>
      <c r="AI901">
        <v>0.28406399799783788</v>
      </c>
      <c r="AJ901">
        <v>8.1562951703182063E-2</v>
      </c>
      <c r="AK901">
        <v>5.2754826818804834E-2</v>
      </c>
      <c r="AL901">
        <v>9.1115319923808502E-2</v>
      </c>
      <c r="AM901">
        <v>0.1399499594143</v>
      </c>
      <c r="AN901">
        <v>4.2368831061970202E-2</v>
      </c>
      <c r="AO901">
        <v>0.10136285574105808</v>
      </c>
      <c r="AR901">
        <v>1.0173614240267526E-3</v>
      </c>
      <c r="AS901">
        <v>4.6563449873338048E-3</v>
      </c>
      <c r="AT901">
        <v>5.254512073916251E-3</v>
      </c>
      <c r="AU901">
        <v>2.0005946155917664E-3</v>
      </c>
      <c r="AV901">
        <v>2.2070954402244602E-3</v>
      </c>
      <c r="AW901">
        <v>3.3607162119447822E-3</v>
      </c>
      <c r="AX901">
        <v>4.2290765654440232E-4</v>
      </c>
      <c r="AY901">
        <v>4.6053924553512982E-4</v>
      </c>
      <c r="BB901">
        <v>5.1651527248461671E-2</v>
      </c>
      <c r="BC901">
        <v>3.0095279098665544E-2</v>
      </c>
      <c r="BE901">
        <v>71910.065526099512</v>
      </c>
      <c r="BF901">
        <v>15.070539101594413</v>
      </c>
      <c r="BG901">
        <v>73689.920271110983</v>
      </c>
      <c r="BH901">
        <v>14.919735805603436</v>
      </c>
      <c r="BI901">
        <v>-1779.8547450114711</v>
      </c>
      <c r="BJ901">
        <v>0.1508032959909773</v>
      </c>
    </row>
    <row r="902" spans="3:62" x14ac:dyDescent="0.2">
      <c r="C902" s="121">
        <v>74992.160100891968</v>
      </c>
      <c r="D902">
        <v>15.606597153897969</v>
      </c>
      <c r="E902" s="121">
        <v>76549.698030689513</v>
      </c>
      <c r="F902" s="121">
        <v>15.458086824257132</v>
      </c>
      <c r="G902" s="121">
        <v>-1557.5379297975451</v>
      </c>
      <c r="H902" s="121">
        <v>0.14851032964083721</v>
      </c>
      <c r="N902" s="121"/>
      <c r="O902" s="121"/>
      <c r="P902" s="121"/>
      <c r="R902">
        <v>73.846291516565202</v>
      </c>
      <c r="S902">
        <v>70.720935948892702</v>
      </c>
      <c r="T902">
        <v>215.86821794283219</v>
      </c>
      <c r="U902">
        <v>111.24639560085728</v>
      </c>
      <c r="X902">
        <v>0.8085368136088098</v>
      </c>
      <c r="Y902">
        <v>0.60421631857234892</v>
      </c>
      <c r="Z902">
        <v>0.73628021476623984</v>
      </c>
      <c r="AA902">
        <v>0.90264076566831519</v>
      </c>
      <c r="AB902">
        <v>0.71589443131981834</v>
      </c>
      <c r="AC902">
        <v>0.84997471063156893</v>
      </c>
      <c r="AD902">
        <v>0.63873177424584393</v>
      </c>
      <c r="AE902">
        <v>0.67224622921847366</v>
      </c>
      <c r="AH902">
        <v>0.41745557461002269</v>
      </c>
      <c r="AI902">
        <v>0.15605096532355789</v>
      </c>
      <c r="AJ902">
        <v>3.3973997620448282E-2</v>
      </c>
      <c r="AK902">
        <v>8.9471256140767563E-2</v>
      </c>
      <c r="AL902">
        <v>0.26367841822370475</v>
      </c>
      <c r="AM902">
        <v>1.3452646472806418E-2</v>
      </c>
      <c r="AN902">
        <v>0.13285916667898956</v>
      </c>
      <c r="AO902">
        <v>0.26042499602213864</v>
      </c>
      <c r="AR902">
        <v>8.8686743917676392E-4</v>
      </c>
      <c r="AS902">
        <v>4.4870048248213312E-3</v>
      </c>
      <c r="AT902">
        <v>4.7175135275795569E-3</v>
      </c>
      <c r="AU902">
        <v>1.9147666650802303E-3</v>
      </c>
      <c r="AV902">
        <v>1.8135594224962547E-3</v>
      </c>
      <c r="AW902">
        <v>3.1373980742167278E-3</v>
      </c>
      <c r="AX902">
        <v>4.2434120228584948E-4</v>
      </c>
      <c r="AY902">
        <v>4.8508391016333086E-4</v>
      </c>
      <c r="BB902">
        <v>6.05334550012957E-2</v>
      </c>
      <c r="BC902">
        <v>3.0464177507222748E-2</v>
      </c>
      <c r="BE902">
        <v>74992.160100891968</v>
      </c>
      <c r="BF902">
        <v>15.606597153897969</v>
      </c>
      <c r="BG902">
        <v>76549.698030689513</v>
      </c>
      <c r="BH902">
        <v>15.458086824257132</v>
      </c>
      <c r="BI902">
        <v>-1557.5379297975451</v>
      </c>
      <c r="BJ902">
        <v>0.14851032964083721</v>
      </c>
    </row>
    <row r="903" spans="3:62" x14ac:dyDescent="0.2">
      <c r="C903" s="121">
        <v>71425.512194884213</v>
      </c>
      <c r="D903">
        <v>16.26907200362508</v>
      </c>
      <c r="E903" s="121">
        <v>72982.116926682269</v>
      </c>
      <c r="F903" s="121">
        <v>16.152591785354446</v>
      </c>
      <c r="G903" s="121">
        <v>-1556.6047317980556</v>
      </c>
      <c r="H903" s="121">
        <v>0.11648021827063459</v>
      </c>
      <c r="N903" s="121"/>
      <c r="O903" s="121"/>
      <c r="P903" s="121"/>
      <c r="R903">
        <v>283.60547845361174</v>
      </c>
      <c r="S903">
        <v>65.948682968893124</v>
      </c>
      <c r="T903">
        <v>225.42569455039549</v>
      </c>
      <c r="U903">
        <v>107.52946574385</v>
      </c>
      <c r="X903">
        <v>0.87023319142419253</v>
      </c>
      <c r="Y903">
        <v>0.648401533040878</v>
      </c>
      <c r="Z903">
        <v>0.75628535747473702</v>
      </c>
      <c r="AA903">
        <v>0.69937669644218003</v>
      </c>
      <c r="AB903">
        <v>0.94608275265693442</v>
      </c>
      <c r="AC903">
        <v>0.89444383680129347</v>
      </c>
      <c r="AD903">
        <v>0.750431278521835</v>
      </c>
      <c r="AE903">
        <v>0.41579159517527037</v>
      </c>
      <c r="AH903">
        <v>9.5845947926408437E-3</v>
      </c>
      <c r="AI903">
        <v>0.12103985709826559</v>
      </c>
      <c r="AJ903">
        <v>0.25938146505147786</v>
      </c>
      <c r="AK903">
        <v>0.20101090952618184</v>
      </c>
      <c r="AL903">
        <v>0.24396185108550883</v>
      </c>
      <c r="AM903">
        <v>0.17728150760540673</v>
      </c>
      <c r="AN903">
        <v>0.13778088107748865</v>
      </c>
      <c r="AO903">
        <v>0.24258210215287335</v>
      </c>
      <c r="AR903">
        <v>8.6355912549158399E-4</v>
      </c>
      <c r="AS903">
        <v>4.473101906323153E-3</v>
      </c>
      <c r="AT903">
        <v>5.2047595417796799E-3</v>
      </c>
      <c r="AU903">
        <v>1.9702591992318847E-3</v>
      </c>
      <c r="AV903">
        <v>2.0497331816823339E-3</v>
      </c>
      <c r="AW903">
        <v>3.2805805072275759E-3</v>
      </c>
      <c r="AX903">
        <v>4.4097434036416416E-4</v>
      </c>
      <c r="AY903">
        <v>4.3929038440376284E-4</v>
      </c>
      <c r="BB903">
        <v>4.7149393973023174E-2</v>
      </c>
      <c r="BC903">
        <v>3.0483310569699759E-2</v>
      </c>
      <c r="BE903">
        <v>71425.512194884213</v>
      </c>
      <c r="BF903">
        <v>16.26907200362508</v>
      </c>
      <c r="BG903">
        <v>72982.116926682269</v>
      </c>
      <c r="BH903">
        <v>16.152591785354446</v>
      </c>
      <c r="BI903">
        <v>-1556.6047317980556</v>
      </c>
      <c r="BJ903">
        <v>0.11648021827063459</v>
      </c>
    </row>
    <row r="904" spans="3:62" x14ac:dyDescent="0.2">
      <c r="C904" s="121">
        <v>69758.473630881053</v>
      </c>
      <c r="D904">
        <v>14.303058353310179</v>
      </c>
      <c r="E904" s="121">
        <v>71466.824063779932</v>
      </c>
      <c r="F904" s="121">
        <v>14.124330154675508</v>
      </c>
      <c r="G904" s="121">
        <v>-1708.3504328988784</v>
      </c>
      <c r="H904" s="121">
        <v>0.17872819863467093</v>
      </c>
      <c r="N904" s="121"/>
      <c r="O904" s="121"/>
      <c r="P904" s="121"/>
      <c r="R904">
        <v>341.45569186789902</v>
      </c>
      <c r="S904">
        <v>53.202089174030164</v>
      </c>
      <c r="T904">
        <v>307.12888465834749</v>
      </c>
      <c r="U904">
        <v>109.45004094110934</v>
      </c>
      <c r="X904">
        <v>0.60822732280443914</v>
      </c>
      <c r="Y904">
        <v>0.75798633973721108</v>
      </c>
      <c r="Z904">
        <v>0.848822212071763</v>
      </c>
      <c r="AA904">
        <v>0.69999609277595964</v>
      </c>
      <c r="AB904">
        <v>0.65886953501975687</v>
      </c>
      <c r="AC904">
        <v>0.80244012046355473</v>
      </c>
      <c r="AD904">
        <v>0.89401682850785025</v>
      </c>
      <c r="AE904">
        <v>0.49394460295947934</v>
      </c>
      <c r="AH904">
        <v>5.5505803364165995E-2</v>
      </c>
      <c r="AI904">
        <v>0.11486326450142159</v>
      </c>
      <c r="AJ904">
        <v>6.856239912893769E-2</v>
      </c>
      <c r="AK904">
        <v>8.4958344601837266E-2</v>
      </c>
      <c r="AL904">
        <v>0.15411581891929216</v>
      </c>
      <c r="AM904">
        <v>1.7264243701177295E-2</v>
      </c>
      <c r="AN904">
        <v>0.12514087782550365</v>
      </c>
      <c r="AO904">
        <v>1.7223487109508717E-2</v>
      </c>
      <c r="AR904">
        <v>8.9085943226285824E-4</v>
      </c>
      <c r="AS904">
        <v>4.2153885443093637E-3</v>
      </c>
      <c r="AT904">
        <v>4.9231548738882273E-3</v>
      </c>
      <c r="AU904">
        <v>2.0780484403921662E-3</v>
      </c>
      <c r="AV904">
        <v>1.87638284672543E-3</v>
      </c>
      <c r="AW904">
        <v>3.6159329940697038E-3</v>
      </c>
      <c r="AX904">
        <v>4.8792755231463758E-4</v>
      </c>
      <c r="AY904">
        <v>4.815158299666944E-4</v>
      </c>
      <c r="BB904">
        <v>5.070598471026333E-2</v>
      </c>
      <c r="BC904">
        <v>3.5069303472170105E-2</v>
      </c>
      <c r="BE904">
        <v>69758.473630881053</v>
      </c>
      <c r="BF904">
        <v>14.303058353310179</v>
      </c>
      <c r="BG904">
        <v>71466.824063779932</v>
      </c>
      <c r="BH904">
        <v>14.124330154675508</v>
      </c>
      <c r="BI904">
        <v>-1708.3504328988784</v>
      </c>
      <c r="BJ904">
        <v>0.17872819863467093</v>
      </c>
    </row>
    <row r="905" spans="3:62" x14ac:dyDescent="0.2">
      <c r="C905" s="121">
        <v>64732.912410008357</v>
      </c>
      <c r="D905">
        <v>17.785305508728069</v>
      </c>
      <c r="E905" s="121">
        <v>66596.845344242058</v>
      </c>
      <c r="F905" s="121">
        <v>17.678280819144046</v>
      </c>
      <c r="G905" s="121">
        <v>-1863.9329342337005</v>
      </c>
      <c r="H905" s="121">
        <v>0.10702468958402278</v>
      </c>
      <c r="N905" s="121"/>
      <c r="O905" s="121"/>
      <c r="P905" s="121"/>
      <c r="R905">
        <v>72.846559797445764</v>
      </c>
      <c r="S905">
        <v>64.211129352085294</v>
      </c>
      <c r="T905">
        <v>259.2298771181546</v>
      </c>
      <c r="U905">
        <v>100.43082560642421</v>
      </c>
      <c r="X905">
        <v>0.65681734487034327</v>
      </c>
      <c r="Y905">
        <v>0.81453352871309226</v>
      </c>
      <c r="Z905">
        <v>0.69173667259223648</v>
      </c>
      <c r="AA905">
        <v>0.58786745520708772</v>
      </c>
      <c r="AB905">
        <v>0.72542689515076941</v>
      </c>
      <c r="AC905">
        <v>0.5297728791640709</v>
      </c>
      <c r="AD905">
        <v>0.82484194551788104</v>
      </c>
      <c r="AE905">
        <v>0.83392727051179261</v>
      </c>
      <c r="AH905">
        <v>0.17196557009728042</v>
      </c>
      <c r="AI905">
        <v>0.13667218821735116</v>
      </c>
      <c r="AJ905">
        <v>0.26410285942758505</v>
      </c>
      <c r="AK905">
        <v>0.13223994935027039</v>
      </c>
      <c r="AL905">
        <v>0.10312780105772967</v>
      </c>
      <c r="AM905">
        <v>0.16900734629894154</v>
      </c>
      <c r="AN905">
        <v>0.23205104354336215</v>
      </c>
      <c r="AO905">
        <v>0.1505066610909136</v>
      </c>
      <c r="AR905">
        <v>8.4764314896669741E-4</v>
      </c>
      <c r="AS905">
        <v>4.3431968889690422E-3</v>
      </c>
      <c r="AT905">
        <v>4.6912395267164012E-3</v>
      </c>
      <c r="AU905">
        <v>1.8426336076080283E-3</v>
      </c>
      <c r="AV905">
        <v>1.8541791053111112E-3</v>
      </c>
      <c r="AW905">
        <v>3.1067943118914167E-3</v>
      </c>
      <c r="AX905">
        <v>4.0068957778716108E-4</v>
      </c>
      <c r="AY905">
        <v>5.3392397361673449E-4</v>
      </c>
      <c r="BB905">
        <v>5.0928359140857693E-2</v>
      </c>
      <c r="BC905">
        <v>2.5802722655968228E-2</v>
      </c>
      <c r="BE905">
        <v>64732.912410008357</v>
      </c>
      <c r="BF905">
        <v>17.785305508728069</v>
      </c>
      <c r="BG905">
        <v>66596.845344242058</v>
      </c>
      <c r="BH905">
        <v>17.678280819144046</v>
      </c>
      <c r="BI905">
        <v>-1863.9329342337005</v>
      </c>
      <c r="BJ905">
        <v>0.10702468958402278</v>
      </c>
    </row>
    <row r="906" spans="3:62" x14ac:dyDescent="0.2">
      <c r="C906" s="121">
        <v>75814.108918391838</v>
      </c>
      <c r="D906">
        <v>17.614405021858953</v>
      </c>
      <c r="E906" s="121">
        <v>78079.754726601081</v>
      </c>
      <c r="F906" s="121">
        <v>17.470872157092256</v>
      </c>
      <c r="G906" s="121">
        <v>-2265.6458082092431</v>
      </c>
      <c r="H906" s="121">
        <v>0.1435328647666978</v>
      </c>
      <c r="N906" s="121"/>
      <c r="O906" s="121"/>
      <c r="P906" s="121"/>
      <c r="R906">
        <v>454.97153859285231</v>
      </c>
      <c r="S906">
        <v>58.852626295895803</v>
      </c>
      <c r="T906">
        <v>237.1758688616267</v>
      </c>
      <c r="U906">
        <v>84.179632035723628</v>
      </c>
      <c r="X906">
        <v>0.83934291959235519</v>
      </c>
      <c r="Y906">
        <v>0.85904243742130748</v>
      </c>
      <c r="Z906">
        <v>0.69731713398171202</v>
      </c>
      <c r="AA906">
        <v>0.59220397253888546</v>
      </c>
      <c r="AB906">
        <v>0.90407930436741735</v>
      </c>
      <c r="AC906">
        <v>0.74814216055593807</v>
      </c>
      <c r="AD906">
        <v>0.90136503222246611</v>
      </c>
      <c r="AE906">
        <v>0.84634492401679451</v>
      </c>
      <c r="AH906">
        <v>0.11450077402805514</v>
      </c>
      <c r="AI906">
        <v>8.8410986424959148E-2</v>
      </c>
      <c r="AJ906">
        <v>6.8472256735947479E-3</v>
      </c>
      <c r="AK906">
        <v>5.6119124748913785E-2</v>
      </c>
      <c r="AL906">
        <v>0.40318841180286491</v>
      </c>
      <c r="AM906">
        <v>6.0420920574721482E-2</v>
      </c>
      <c r="AN906">
        <v>0.17328303064315109</v>
      </c>
      <c r="AO906">
        <v>0.10002354741727493</v>
      </c>
      <c r="AR906">
        <v>8.7408606061307819E-4</v>
      </c>
      <c r="AS906">
        <v>4.5786488710397588E-3</v>
      </c>
      <c r="AT906">
        <v>4.8935424350767922E-3</v>
      </c>
      <c r="AU906">
        <v>2.1539344781690284E-3</v>
      </c>
      <c r="AV906">
        <v>2.0224704341332833E-3</v>
      </c>
      <c r="AW906">
        <v>3.5609044588899019E-3</v>
      </c>
      <c r="AX906">
        <v>4.7621032423950105E-4</v>
      </c>
      <c r="AY906">
        <v>4.2019578458498411E-4</v>
      </c>
      <c r="BB906">
        <v>5.1920624361586176E-2</v>
      </c>
      <c r="BC906">
        <v>4.6441227916483301E-2</v>
      </c>
      <c r="BE906">
        <v>75814.108918391838</v>
      </c>
      <c r="BF906">
        <v>17.614405021858953</v>
      </c>
      <c r="BG906">
        <v>78079.754726601081</v>
      </c>
      <c r="BH906">
        <v>17.470872157092256</v>
      </c>
      <c r="BI906">
        <v>-2265.6458082092431</v>
      </c>
      <c r="BJ906">
        <v>0.1435328647666978</v>
      </c>
    </row>
    <row r="907" spans="3:62" x14ac:dyDescent="0.2">
      <c r="C907" s="121">
        <v>73280.160154576064</v>
      </c>
      <c r="D907">
        <v>16.873829427812499</v>
      </c>
      <c r="E907" s="121">
        <v>73666.691406873346</v>
      </c>
      <c r="F907" s="121">
        <v>16.769509987091691</v>
      </c>
      <c r="G907" s="121">
        <v>-386.53125229728175</v>
      </c>
      <c r="H907" s="121">
        <v>0.10431944072080768</v>
      </c>
      <c r="N907" s="121"/>
      <c r="O907" s="121"/>
      <c r="P907" s="121"/>
      <c r="R907">
        <v>298.78960449732296</v>
      </c>
      <c r="S907">
        <v>58.393522795169133</v>
      </c>
      <c r="T907">
        <v>281.7621832179791</v>
      </c>
      <c r="U907">
        <v>99.100122647422495</v>
      </c>
      <c r="X907">
        <v>0.51139532498495233</v>
      </c>
      <c r="Y907">
        <v>0.76083025799593662</v>
      </c>
      <c r="Z907">
        <v>0.87021718109994584</v>
      </c>
      <c r="AA907">
        <v>0.90528458759093111</v>
      </c>
      <c r="AB907">
        <v>0.66376877229370645</v>
      </c>
      <c r="AC907">
        <v>0.68315459678141333</v>
      </c>
      <c r="AD907">
        <v>0.91714157260078299</v>
      </c>
      <c r="AE907">
        <v>0.7501607379130385</v>
      </c>
      <c r="AH907">
        <v>0.25523939301195597</v>
      </c>
      <c r="AI907">
        <v>0.14445597105544994</v>
      </c>
      <c r="AJ907">
        <v>4.1553468565109775E-2</v>
      </c>
      <c r="AK907">
        <v>0.26760683755108905</v>
      </c>
      <c r="AL907">
        <v>0.16331524398480346</v>
      </c>
      <c r="AM907">
        <v>0.11051282782966454</v>
      </c>
      <c r="AN907">
        <v>0.11037972574712773</v>
      </c>
      <c r="AO907">
        <v>0.25562949944872548</v>
      </c>
      <c r="AR907">
        <v>9.9962007672860231E-4</v>
      </c>
      <c r="AS907">
        <v>4.356533324301106E-3</v>
      </c>
      <c r="AT907">
        <v>5.3917620771894992E-3</v>
      </c>
      <c r="AU907">
        <v>2.3642415971220077E-3</v>
      </c>
      <c r="AV907">
        <v>2.0545441407809895E-3</v>
      </c>
      <c r="AW907">
        <v>3.1889070673877659E-3</v>
      </c>
      <c r="AX907">
        <v>4.7663140494769163E-4</v>
      </c>
      <c r="AY907">
        <v>4.2795041501004404E-4</v>
      </c>
      <c r="BB907">
        <v>5.3658062790019612E-2</v>
      </c>
      <c r="BC907">
        <v>4.2785324091005827E-2</v>
      </c>
      <c r="BE907">
        <v>73280.160154576064</v>
      </c>
      <c r="BF907">
        <v>16.873829427812499</v>
      </c>
      <c r="BG907">
        <v>73666.691406873346</v>
      </c>
      <c r="BH907">
        <v>16.769509987091691</v>
      </c>
      <c r="BI907">
        <v>-386.53125229728175</v>
      </c>
      <c r="BJ907">
        <v>0.10431944072080768</v>
      </c>
    </row>
    <row r="908" spans="3:62" x14ac:dyDescent="0.2">
      <c r="C908" s="121">
        <v>70484.280377546209</v>
      </c>
      <c r="D908">
        <v>16.981760809421637</v>
      </c>
      <c r="E908" s="121">
        <v>72392.27333995793</v>
      </c>
      <c r="F908" s="121">
        <v>16.821903733123712</v>
      </c>
      <c r="G908" s="121">
        <v>-1907.9929624117212</v>
      </c>
      <c r="H908" s="121">
        <v>0.159857076297925</v>
      </c>
      <c r="N908" s="121"/>
      <c r="O908" s="121"/>
      <c r="P908" s="121"/>
      <c r="R908">
        <v>72.109996883349453</v>
      </c>
      <c r="S908">
        <v>61.227326966321534</v>
      </c>
      <c r="T908">
        <v>236.51612940267103</v>
      </c>
      <c r="U908">
        <v>104.44062925538809</v>
      </c>
      <c r="X908">
        <v>0.77054701347349719</v>
      </c>
      <c r="Y908">
        <v>0.83204944432626937</v>
      </c>
      <c r="Z908">
        <v>0.71220657274649113</v>
      </c>
      <c r="AA908">
        <v>0.92743626140934743</v>
      </c>
      <c r="AB908">
        <v>0.79723038076501496</v>
      </c>
      <c r="AC908">
        <v>0.81834698097664504</v>
      </c>
      <c r="AD908">
        <v>0.88812633544076902</v>
      </c>
      <c r="AE908">
        <v>0.83823876894620919</v>
      </c>
      <c r="AH908">
        <v>0.11301727531324024</v>
      </c>
      <c r="AI908">
        <v>0.13906740067724721</v>
      </c>
      <c r="AJ908">
        <v>8.1225845325009649E-2</v>
      </c>
      <c r="AK908">
        <v>0.11124001448044774</v>
      </c>
      <c r="AL908">
        <v>9.9038946206468692E-2</v>
      </c>
      <c r="AM908">
        <v>5.932838233432447E-2</v>
      </c>
      <c r="AN908">
        <v>0.13843592385766101</v>
      </c>
      <c r="AO908">
        <v>0.26938419199327523</v>
      </c>
      <c r="AR908">
        <v>8.9476114023068209E-4</v>
      </c>
      <c r="AS908">
        <v>4.46035915905235E-3</v>
      </c>
      <c r="AT908">
        <v>4.8487002418113713E-3</v>
      </c>
      <c r="AU908">
        <v>1.9448610113005718E-3</v>
      </c>
      <c r="AV908">
        <v>2.0134903069433108E-3</v>
      </c>
      <c r="AW908">
        <v>3.4554690248546072E-3</v>
      </c>
      <c r="AX908">
        <v>3.800340258194507E-4</v>
      </c>
      <c r="AY908">
        <v>5.9865932115454878E-4</v>
      </c>
      <c r="BB908">
        <v>4.8355376342042296E-2</v>
      </c>
      <c r="BC908">
        <v>5.6755297392697579E-2</v>
      </c>
      <c r="BE908">
        <v>70484.280377546209</v>
      </c>
      <c r="BF908">
        <v>16.981760809421637</v>
      </c>
      <c r="BG908">
        <v>72392.27333995793</v>
      </c>
      <c r="BH908">
        <v>16.821903733123712</v>
      </c>
      <c r="BI908">
        <v>-1907.9929624117212</v>
      </c>
      <c r="BJ908">
        <v>0.159857076297925</v>
      </c>
    </row>
    <row r="909" spans="3:62" x14ac:dyDescent="0.2">
      <c r="C909" s="121">
        <v>71230.132356924209</v>
      </c>
      <c r="D909">
        <v>17.174170153768685</v>
      </c>
      <c r="E909" s="121">
        <v>72274.610890526266</v>
      </c>
      <c r="F909" s="121">
        <v>17.107887017791647</v>
      </c>
      <c r="G909" s="121">
        <v>-1044.4785336020577</v>
      </c>
      <c r="H909" s="121">
        <v>6.6283135977037944E-2</v>
      </c>
      <c r="N909" s="121"/>
      <c r="O909" s="121"/>
      <c r="P909" s="121"/>
      <c r="R909">
        <v>285.83515714008922</v>
      </c>
      <c r="S909">
        <v>63.110662139651744</v>
      </c>
      <c r="T909">
        <v>235.44042703612718</v>
      </c>
      <c r="U909">
        <v>84.471754179245053</v>
      </c>
      <c r="X909">
        <v>0.65995502586301946</v>
      </c>
      <c r="Y909">
        <v>0.58961717584047202</v>
      </c>
      <c r="Z909">
        <v>0.5310575531639592</v>
      </c>
      <c r="AA909">
        <v>0.80507442191383727</v>
      </c>
      <c r="AB909">
        <v>0.91694414643888833</v>
      </c>
      <c r="AC909">
        <v>0.81896595526010052</v>
      </c>
      <c r="AD909">
        <v>0.80542264006265518</v>
      </c>
      <c r="AE909">
        <v>0.8441803372535488</v>
      </c>
      <c r="AH909">
        <v>0.16436848809716353</v>
      </c>
      <c r="AI909">
        <v>0.16752279545248716</v>
      </c>
      <c r="AJ909">
        <v>9.5304291115837714E-2</v>
      </c>
      <c r="AK909">
        <v>0.25951551774120341</v>
      </c>
      <c r="AL909">
        <v>4.6250525285612243E-2</v>
      </c>
      <c r="AM909">
        <v>0.12158161341658269</v>
      </c>
      <c r="AN909">
        <v>0.12492358440125184</v>
      </c>
      <c r="AO909">
        <v>8.2243816766276456E-2</v>
      </c>
      <c r="AR909">
        <v>6.4508732171911394E-4</v>
      </c>
      <c r="AS909">
        <v>4.3109803425271341E-3</v>
      </c>
      <c r="AT909">
        <v>5.1251872731334913E-3</v>
      </c>
      <c r="AU909">
        <v>2.0461217024236866E-3</v>
      </c>
      <c r="AV909">
        <v>2.0438509571368835E-3</v>
      </c>
      <c r="AW909">
        <v>3.2949193877860796E-3</v>
      </c>
      <c r="AX909">
        <v>3.6640622820374513E-4</v>
      </c>
      <c r="AY909">
        <v>3.7539882456035851E-4</v>
      </c>
      <c r="BB909">
        <v>5.2019944502941895E-2</v>
      </c>
      <c r="BC909">
        <v>2.388733670256107E-2</v>
      </c>
      <c r="BE909">
        <v>71230.132356924209</v>
      </c>
      <c r="BF909">
        <v>17.174170153768685</v>
      </c>
      <c r="BG909">
        <v>72274.610890526266</v>
      </c>
      <c r="BH909">
        <v>17.107887017791647</v>
      </c>
      <c r="BI909">
        <v>-1044.4785336020577</v>
      </c>
      <c r="BJ909">
        <v>6.6283135977037944E-2</v>
      </c>
    </row>
    <row r="910" spans="3:62" x14ac:dyDescent="0.2">
      <c r="C910" s="121">
        <v>68792.443745846846</v>
      </c>
      <c r="D910">
        <v>16.290849041754452</v>
      </c>
      <c r="E910" s="121">
        <v>70442.620561623466</v>
      </c>
      <c r="F910" s="121">
        <v>16.162851481039361</v>
      </c>
      <c r="G910" s="121">
        <v>-1650.1768157766201</v>
      </c>
      <c r="H910" s="121">
        <v>0.12799756071509094</v>
      </c>
      <c r="N910" s="121"/>
      <c r="O910" s="121"/>
      <c r="P910" s="121"/>
      <c r="R910">
        <v>362.68615334274909</v>
      </c>
      <c r="S910">
        <v>64.24800403796344</v>
      </c>
      <c r="T910">
        <v>286.81246068800704</v>
      </c>
      <c r="U910">
        <v>95.083372752478169</v>
      </c>
      <c r="X910">
        <v>0.91382030320580077</v>
      </c>
      <c r="Y910">
        <v>0.8767735779816177</v>
      </c>
      <c r="Z910">
        <v>0.77106992417812303</v>
      </c>
      <c r="AA910">
        <v>0.72530325375515703</v>
      </c>
      <c r="AB910">
        <v>0.77391287755371074</v>
      </c>
      <c r="AC910">
        <v>0.48437108452227257</v>
      </c>
      <c r="AD910">
        <v>0.81552655076896141</v>
      </c>
      <c r="AE910">
        <v>0.79453006737853804</v>
      </c>
      <c r="AH910">
        <v>0.10495156872889022</v>
      </c>
      <c r="AI910">
        <v>0.121704728213059</v>
      </c>
      <c r="AJ910">
        <v>0.44753605136276864</v>
      </c>
      <c r="AK910">
        <v>0.17943935616760953</v>
      </c>
      <c r="AL910">
        <v>0.12886020365990636</v>
      </c>
      <c r="AM910">
        <v>0.22489706121631814</v>
      </c>
      <c r="AN910">
        <v>2.2974665822775964E-2</v>
      </c>
      <c r="AO910">
        <v>0.17206984548095017</v>
      </c>
      <c r="AR910">
        <v>8.8176020451149952E-4</v>
      </c>
      <c r="AS910">
        <v>4.7701510959051729E-3</v>
      </c>
      <c r="AT910">
        <v>4.9779947735262287E-3</v>
      </c>
      <c r="AU910">
        <v>1.9931135655452108E-3</v>
      </c>
      <c r="AV910">
        <v>1.9777555653869043E-3</v>
      </c>
      <c r="AW910">
        <v>3.2184936981743684E-3</v>
      </c>
      <c r="AX910">
        <v>3.9131187950328659E-4</v>
      </c>
      <c r="AY910">
        <v>4.8100205522338957E-4</v>
      </c>
      <c r="BB910">
        <v>4.8224761807619206E-2</v>
      </c>
      <c r="BC910">
        <v>6.5774702702816934E-2</v>
      </c>
      <c r="BE910">
        <v>68792.443745846846</v>
      </c>
      <c r="BF910">
        <v>16.290849041754452</v>
      </c>
      <c r="BG910">
        <v>70442.620561623466</v>
      </c>
      <c r="BH910">
        <v>16.162851481039361</v>
      </c>
      <c r="BI910">
        <v>-1650.1768157766201</v>
      </c>
      <c r="BJ910">
        <v>0.12799756071509094</v>
      </c>
    </row>
    <row r="911" spans="3:62" x14ac:dyDescent="0.2">
      <c r="C911" s="121">
        <v>71133.77472558021</v>
      </c>
      <c r="D911">
        <v>14.884399897745089</v>
      </c>
      <c r="E911" s="121">
        <v>73564.326620085238</v>
      </c>
      <c r="F911" s="121">
        <v>14.691573279685143</v>
      </c>
      <c r="G911" s="121">
        <v>-2430.551894505028</v>
      </c>
      <c r="H911" s="121">
        <v>0.1928266180599465</v>
      </c>
      <c r="N911" s="121"/>
      <c r="O911" s="121"/>
      <c r="P911" s="121"/>
      <c r="R911">
        <v>324.46272146963759</v>
      </c>
      <c r="S911">
        <v>55.026043591068955</v>
      </c>
      <c r="T911">
        <v>239.70705915434996</v>
      </c>
      <c r="U911">
        <v>92.529051984613218</v>
      </c>
      <c r="X911">
        <v>0.85230621539571039</v>
      </c>
      <c r="Y911">
        <v>0.73393253937978542</v>
      </c>
      <c r="Z911">
        <v>0.85544907360446332</v>
      </c>
      <c r="AA911">
        <v>0.81348453784654695</v>
      </c>
      <c r="AB911">
        <v>0.87854820770099495</v>
      </c>
      <c r="AC911">
        <v>0.79043852057945185</v>
      </c>
      <c r="AD911">
        <v>0.84027864568843147</v>
      </c>
      <c r="AE911">
        <v>0.87798917584388636</v>
      </c>
      <c r="AH911">
        <v>0.1214876895261332</v>
      </c>
      <c r="AI911">
        <v>8.5207689963364031E-2</v>
      </c>
      <c r="AJ911">
        <v>9.986663262373674E-2</v>
      </c>
      <c r="AK911">
        <v>0.13761763398547666</v>
      </c>
      <c r="AL911">
        <v>0.14615365235339106</v>
      </c>
      <c r="AM911">
        <v>7.7315215604535137E-2</v>
      </c>
      <c r="AN911">
        <v>7.4367418629938564E-2</v>
      </c>
      <c r="AO911">
        <v>1.9415992480495303E-2</v>
      </c>
      <c r="AR911">
        <v>7.7632777577091815E-4</v>
      </c>
      <c r="AS911">
        <v>4.0943462113365459E-3</v>
      </c>
      <c r="AT911">
        <v>4.7088956583924953E-3</v>
      </c>
      <c r="AU911">
        <v>1.9993281496935023E-3</v>
      </c>
      <c r="AV911">
        <v>2.1287551759145984E-3</v>
      </c>
      <c r="AW911">
        <v>3.543773055483701E-3</v>
      </c>
      <c r="AX911">
        <v>3.0609452781227861E-4</v>
      </c>
      <c r="AY911">
        <v>4.5198705377236248E-4</v>
      </c>
      <c r="BB911">
        <v>5.7962606261174332E-2</v>
      </c>
      <c r="BC911">
        <v>6.0122424860218682E-2</v>
      </c>
      <c r="BE911">
        <v>71133.77472558021</v>
      </c>
      <c r="BF911">
        <v>14.884399897745089</v>
      </c>
      <c r="BG911">
        <v>73564.326620085238</v>
      </c>
      <c r="BH911">
        <v>14.691573279685143</v>
      </c>
      <c r="BI911">
        <v>-2430.551894505028</v>
      </c>
      <c r="BJ911">
        <v>0.1928266180599465</v>
      </c>
    </row>
    <row r="912" spans="3:62" x14ac:dyDescent="0.2">
      <c r="C912" s="121">
        <v>76314.444863943281</v>
      </c>
      <c r="D912">
        <v>16.038428661575615</v>
      </c>
      <c r="E912" s="121">
        <v>78288.226293631102</v>
      </c>
      <c r="F912" s="121">
        <v>15.903054305882769</v>
      </c>
      <c r="G912" s="121">
        <v>-1973.7814296878205</v>
      </c>
      <c r="H912" s="121">
        <v>0.13537435569284639</v>
      </c>
      <c r="N912" s="121"/>
      <c r="O912" s="121"/>
      <c r="P912" s="121"/>
      <c r="R912">
        <v>293.65753323218178</v>
      </c>
      <c r="S912">
        <v>51.244764116232361</v>
      </c>
      <c r="T912">
        <v>273.11823733117956</v>
      </c>
      <c r="U912">
        <v>110.42792663594813</v>
      </c>
      <c r="X912">
        <v>0.69949808412788739</v>
      </c>
      <c r="Y912">
        <v>0.8771154301418701</v>
      </c>
      <c r="Z912">
        <v>0.7234322235032471</v>
      </c>
      <c r="AA912">
        <v>0.60432757492843792</v>
      </c>
      <c r="AB912">
        <v>0.58011001592643507</v>
      </c>
      <c r="AC912">
        <v>0.94648410626474733</v>
      </c>
      <c r="AD912">
        <v>0.96980941657815933</v>
      </c>
      <c r="AE912">
        <v>0.94725464119326286</v>
      </c>
      <c r="AH912">
        <v>0.16362383525912438</v>
      </c>
      <c r="AI912">
        <v>8.1632915332978562E-2</v>
      </c>
      <c r="AJ912">
        <v>0.16443035277544049</v>
      </c>
      <c r="AK912">
        <v>6.6303814462738808E-2</v>
      </c>
      <c r="AL912">
        <v>0.15310008496600758</v>
      </c>
      <c r="AM912">
        <v>6.5461177004756621E-2</v>
      </c>
      <c r="AN912">
        <v>0.30478173045712564</v>
      </c>
      <c r="AO912">
        <v>7.0567086372005372E-2</v>
      </c>
      <c r="AR912">
        <v>9.6060461065838876E-4</v>
      </c>
      <c r="AS912">
        <v>4.4826286534981391E-3</v>
      </c>
      <c r="AT912">
        <v>4.8603633824883478E-3</v>
      </c>
      <c r="AU912">
        <v>1.7570973884477063E-3</v>
      </c>
      <c r="AV912">
        <v>1.8603670345511143E-3</v>
      </c>
      <c r="AW912">
        <v>3.6289932215436416E-3</v>
      </c>
      <c r="AX912">
        <v>4.6216664324161272E-4</v>
      </c>
      <c r="AY912">
        <v>4.4202779532100914E-4</v>
      </c>
      <c r="BB912">
        <v>4.9071261739812737E-2</v>
      </c>
      <c r="BC912">
        <v>4.0216075230748084E-2</v>
      </c>
      <c r="BE912">
        <v>76314.444863943281</v>
      </c>
      <c r="BF912">
        <v>16.038428661575615</v>
      </c>
      <c r="BG912">
        <v>78288.226293631102</v>
      </c>
      <c r="BH912">
        <v>15.903054305882769</v>
      </c>
      <c r="BI912">
        <v>-1973.7814296878205</v>
      </c>
      <c r="BJ912">
        <v>0.13537435569284639</v>
      </c>
    </row>
    <row r="913" spans="3:62" x14ac:dyDescent="0.2">
      <c r="C913" s="121">
        <v>75439.176975793263</v>
      </c>
      <c r="D913">
        <v>15.678994389798161</v>
      </c>
      <c r="E913" s="121">
        <v>76963.960021817358</v>
      </c>
      <c r="F913" s="121">
        <v>15.52609688689439</v>
      </c>
      <c r="G913" s="121">
        <v>-1524.7830460240948</v>
      </c>
      <c r="H913" s="121">
        <v>0.15289750290377135</v>
      </c>
      <c r="N913" s="121"/>
      <c r="O913" s="121"/>
      <c r="P913" s="121"/>
      <c r="R913">
        <v>301.68826332013305</v>
      </c>
      <c r="S913">
        <v>61.768054920363006</v>
      </c>
      <c r="T913">
        <v>252.03521819551861</v>
      </c>
      <c r="U913">
        <v>113.80382802130651</v>
      </c>
      <c r="X913">
        <v>0.53503227682409338</v>
      </c>
      <c r="Y913">
        <v>0.83865507890741697</v>
      </c>
      <c r="Z913">
        <v>0.85418647836680717</v>
      </c>
      <c r="AA913">
        <v>0.90316065926711209</v>
      </c>
      <c r="AB913">
        <v>0.62225198813368343</v>
      </c>
      <c r="AC913">
        <v>0.47420264653637717</v>
      </c>
      <c r="AD913">
        <v>0.69072593953490091</v>
      </c>
      <c r="AE913">
        <v>0.87326676942130466</v>
      </c>
      <c r="AH913">
        <v>8.2417044177140353E-2</v>
      </c>
      <c r="AI913">
        <v>2.2936919169959658E-2</v>
      </c>
      <c r="AJ913">
        <v>5.5600329569490459E-2</v>
      </c>
      <c r="AK913">
        <v>0.20553973525145497</v>
      </c>
      <c r="AL913">
        <v>1.8090611761865216E-2</v>
      </c>
      <c r="AM913">
        <v>8.4823311995627648E-2</v>
      </c>
      <c r="AN913">
        <v>6.9115836237640504E-2</v>
      </c>
      <c r="AO913">
        <v>9.0525243209086836E-2</v>
      </c>
      <c r="AR913">
        <v>8.7744193014504732E-4</v>
      </c>
      <c r="AS913">
        <v>4.5847189010371769E-3</v>
      </c>
      <c r="AT913">
        <v>4.7836488802428983E-3</v>
      </c>
      <c r="AU913">
        <v>1.974686172771154E-3</v>
      </c>
      <c r="AV913">
        <v>2.2202766821342035E-3</v>
      </c>
      <c r="AW913">
        <v>3.519207132357649E-3</v>
      </c>
      <c r="AX913">
        <v>4.0724293104110743E-4</v>
      </c>
      <c r="AY913">
        <v>3.4231921513456132E-4</v>
      </c>
      <c r="BB913">
        <v>5.0778482938181657E-2</v>
      </c>
      <c r="BC913">
        <v>6.4682266836313951E-2</v>
      </c>
      <c r="BE913">
        <v>75439.176975793263</v>
      </c>
      <c r="BF913">
        <v>15.678994389798161</v>
      </c>
      <c r="BG913">
        <v>76963.960021817358</v>
      </c>
      <c r="BH913">
        <v>15.52609688689439</v>
      </c>
      <c r="BI913">
        <v>-1524.7830460240948</v>
      </c>
      <c r="BJ913">
        <v>0.15289750290377135</v>
      </c>
    </row>
    <row r="914" spans="3:62" x14ac:dyDescent="0.2">
      <c r="C914" s="121">
        <v>69666.247505131862</v>
      </c>
      <c r="D914">
        <v>16.320190319707681</v>
      </c>
      <c r="E914" s="121">
        <v>70289.578603454152</v>
      </c>
      <c r="F914" s="121">
        <v>16.244451971438505</v>
      </c>
      <c r="G914" s="121">
        <v>-623.33109832229093</v>
      </c>
      <c r="H914" s="121">
        <v>7.573834826917647E-2</v>
      </c>
      <c r="N914" s="121"/>
      <c r="O914" s="121"/>
      <c r="P914" s="121"/>
      <c r="R914">
        <v>79.894922881692338</v>
      </c>
      <c r="S914">
        <v>62.937810543476154</v>
      </c>
      <c r="T914">
        <v>283.59336766308735</v>
      </c>
      <c r="U914">
        <v>94.134814804349375</v>
      </c>
      <c r="X914">
        <v>0.82191789994228459</v>
      </c>
      <c r="Y914">
        <v>0.71343592246391219</v>
      </c>
      <c r="Z914">
        <v>0.7102908889554147</v>
      </c>
      <c r="AA914">
        <v>0.60394969690397593</v>
      </c>
      <c r="AB914">
        <v>0.79520896263214758</v>
      </c>
      <c r="AC914">
        <v>0.79408688527193383</v>
      </c>
      <c r="AD914">
        <v>0.4804995508589513</v>
      </c>
      <c r="AE914">
        <v>0.73412270143064517</v>
      </c>
      <c r="AH914">
        <v>0.11053040865424824</v>
      </c>
      <c r="AI914">
        <v>0.1496638276288238</v>
      </c>
      <c r="AJ914">
        <v>0.14951337690473976</v>
      </c>
      <c r="AK914">
        <v>0.12048081931705967</v>
      </c>
      <c r="AL914">
        <v>5.3663182480624072E-2</v>
      </c>
      <c r="AM914">
        <v>0.10172761049245538</v>
      </c>
      <c r="AN914">
        <v>0.18152582617640833</v>
      </c>
      <c r="AO914">
        <v>0.16473453446543218</v>
      </c>
      <c r="AR914">
        <v>8.9874443682658178E-4</v>
      </c>
      <c r="AS914">
        <v>4.7003075787647175E-3</v>
      </c>
      <c r="AT914">
        <v>4.8356284204478907E-3</v>
      </c>
      <c r="AU914">
        <v>1.9194495653015601E-3</v>
      </c>
      <c r="AV914">
        <v>2.0479063139478004E-3</v>
      </c>
      <c r="AW914">
        <v>3.213894159425296E-3</v>
      </c>
      <c r="AX914">
        <v>3.7228426264583289E-4</v>
      </c>
      <c r="AY914">
        <v>4.1711045830305707E-4</v>
      </c>
      <c r="BB914">
        <v>4.5238760478198706E-2</v>
      </c>
      <c r="BC914">
        <v>6.4473088048109473E-2</v>
      </c>
      <c r="BE914">
        <v>69666.247505131862</v>
      </c>
      <c r="BF914">
        <v>16.320190319707681</v>
      </c>
      <c r="BG914">
        <v>70289.578603454152</v>
      </c>
      <c r="BH914">
        <v>16.244451971438505</v>
      </c>
      <c r="BI914">
        <v>-623.33109832229093</v>
      </c>
      <c r="BJ914">
        <v>7.573834826917647E-2</v>
      </c>
    </row>
    <row r="915" spans="3:62" x14ac:dyDescent="0.2">
      <c r="C915" s="121">
        <v>69515.107007555867</v>
      </c>
      <c r="D915">
        <v>15.116444564281316</v>
      </c>
      <c r="E915" s="121">
        <v>71807.485316209524</v>
      </c>
      <c r="F915" s="121">
        <v>14.959006593564441</v>
      </c>
      <c r="G915" s="121">
        <v>-2292.3783086536569</v>
      </c>
      <c r="H915" s="121">
        <v>0.1574379707168756</v>
      </c>
      <c r="N915" s="121"/>
      <c r="O915" s="121"/>
      <c r="P915" s="121"/>
      <c r="R915">
        <v>378.96224551018247</v>
      </c>
      <c r="S915">
        <v>66.595210367886423</v>
      </c>
      <c r="T915">
        <v>276.12856735136666</v>
      </c>
      <c r="U915">
        <v>91.264498276686581</v>
      </c>
      <c r="X915">
        <v>0.96710665216060265</v>
      </c>
      <c r="Y915">
        <v>0.68570791641888706</v>
      </c>
      <c r="Z915">
        <v>0.84159968713285083</v>
      </c>
      <c r="AA915">
        <v>0.82180860748514239</v>
      </c>
      <c r="AB915">
        <v>0.80013429783544754</v>
      </c>
      <c r="AC915">
        <v>0.85093624865894102</v>
      </c>
      <c r="AD915">
        <v>0.72753748562500631</v>
      </c>
      <c r="AE915">
        <v>0.89180356789382276</v>
      </c>
      <c r="AH915">
        <v>0.27833501788364501</v>
      </c>
      <c r="AI915">
        <v>0.11019194443533886</v>
      </c>
      <c r="AJ915">
        <v>5.2500059628206697E-2</v>
      </c>
      <c r="AK915">
        <v>0.18610738084435685</v>
      </c>
      <c r="AL915">
        <v>5.7830692286023444E-2</v>
      </c>
      <c r="AM915">
        <v>7.4298548671753117E-2</v>
      </c>
      <c r="AN915">
        <v>0.12434062193620132</v>
      </c>
      <c r="AO915">
        <v>0.15153139651611991</v>
      </c>
      <c r="AR915">
        <v>8.5239221094720653E-4</v>
      </c>
      <c r="AS915">
        <v>4.6229079639678039E-3</v>
      </c>
      <c r="AT915">
        <v>4.861410926351918E-3</v>
      </c>
      <c r="AU915">
        <v>2.0985876297566763E-3</v>
      </c>
      <c r="AV915">
        <v>2.3065891198671418E-3</v>
      </c>
      <c r="AW915">
        <v>3.4527281721034031E-3</v>
      </c>
      <c r="AX915">
        <v>3.9894497980996757E-4</v>
      </c>
      <c r="AY915">
        <v>4.1733258762127366E-4</v>
      </c>
      <c r="BB915">
        <v>5.3881781136708939E-2</v>
      </c>
      <c r="BC915">
        <v>6.7741748308653538E-2</v>
      </c>
      <c r="BE915">
        <v>69515.107007555867</v>
      </c>
      <c r="BF915">
        <v>15.116444564281316</v>
      </c>
      <c r="BG915">
        <v>71807.485316209524</v>
      </c>
      <c r="BH915">
        <v>14.959006593564441</v>
      </c>
      <c r="BI915">
        <v>-2292.3783086536569</v>
      </c>
      <c r="BJ915">
        <v>0.1574379707168756</v>
      </c>
    </row>
    <row r="916" spans="3:62" x14ac:dyDescent="0.2">
      <c r="C916" s="121">
        <v>70905.158224391431</v>
      </c>
      <c r="D916">
        <v>13.556035239348638</v>
      </c>
      <c r="E916" s="121">
        <v>71929.774745900286</v>
      </c>
      <c r="F916" s="121">
        <v>13.488048603858369</v>
      </c>
      <c r="G916" s="121">
        <v>-1024.6165215088549</v>
      </c>
      <c r="H916" s="121">
        <v>6.798663549026962E-2</v>
      </c>
      <c r="N916" s="121"/>
      <c r="O916" s="121"/>
      <c r="P916" s="121"/>
      <c r="R916">
        <v>308.62963842608906</v>
      </c>
      <c r="S916">
        <v>67.430096456218692</v>
      </c>
      <c r="T916">
        <v>239.09882997789168</v>
      </c>
      <c r="U916">
        <v>103.61466890046638</v>
      </c>
      <c r="X916">
        <v>0.72006036994898381</v>
      </c>
      <c r="Y916">
        <v>0.78747158801560602</v>
      </c>
      <c r="Z916">
        <v>0.71474337136421673</v>
      </c>
      <c r="AA916">
        <v>0.77689588966417411</v>
      </c>
      <c r="AB916">
        <v>0.71493480217047434</v>
      </c>
      <c r="AC916">
        <v>0.67852330536178795</v>
      </c>
      <c r="AD916">
        <v>0.62496639492997086</v>
      </c>
      <c r="AE916">
        <v>0.52808671673397012</v>
      </c>
      <c r="AH916">
        <v>8.1746973978785498E-2</v>
      </c>
      <c r="AI916">
        <v>0.17819154984417174</v>
      </c>
      <c r="AJ916">
        <v>2.9921065796411628E-2</v>
      </c>
      <c r="AK916">
        <v>8.179411588954677E-2</v>
      </c>
      <c r="AL916">
        <v>0.3221579378016618</v>
      </c>
      <c r="AM916">
        <v>6.4865915817245101E-2</v>
      </c>
      <c r="AN916">
        <v>2.3279338885211054E-2</v>
      </c>
      <c r="AO916">
        <v>4.7639786468814727E-2</v>
      </c>
      <c r="AR916">
        <v>1.0162188868615418E-3</v>
      </c>
      <c r="AS916">
        <v>4.6682956889847471E-3</v>
      </c>
      <c r="AT916">
        <v>5.3536717725941596E-3</v>
      </c>
      <c r="AU916">
        <v>2.0273423595688067E-3</v>
      </c>
      <c r="AV916">
        <v>2.1982682889323257E-3</v>
      </c>
      <c r="AW916">
        <v>3.3229712503939973E-3</v>
      </c>
      <c r="AX916">
        <v>3.787698271119861E-4</v>
      </c>
      <c r="AY916">
        <v>4.6694998272578392E-4</v>
      </c>
      <c r="BB916">
        <v>4.610772418602764E-2</v>
      </c>
      <c r="BC916">
        <v>3.4323623294150812E-2</v>
      </c>
      <c r="BE916">
        <v>70905.158224391431</v>
      </c>
      <c r="BF916">
        <v>13.556035239348638</v>
      </c>
      <c r="BG916">
        <v>71929.774745900286</v>
      </c>
      <c r="BH916">
        <v>13.488048603858369</v>
      </c>
      <c r="BI916">
        <v>-1024.6165215088549</v>
      </c>
      <c r="BJ916">
        <v>6.798663549026962E-2</v>
      </c>
    </row>
    <row r="917" spans="3:62" x14ac:dyDescent="0.2">
      <c r="C917" s="121">
        <v>69119.480465278815</v>
      </c>
      <c r="D917">
        <v>17.257093781724301</v>
      </c>
      <c r="E917" s="121">
        <v>71181.216220529896</v>
      </c>
      <c r="F917" s="121">
        <v>17.122459075802642</v>
      </c>
      <c r="G917" s="121">
        <v>-2061.7357552510803</v>
      </c>
      <c r="H917" s="121">
        <v>0.13463470592165905</v>
      </c>
      <c r="N917" s="121"/>
      <c r="O917" s="121"/>
      <c r="P917" s="121"/>
      <c r="R917">
        <v>218.58573325104706</v>
      </c>
      <c r="S917">
        <v>59.668908838614534</v>
      </c>
      <c r="T917">
        <v>254.4626622603235</v>
      </c>
      <c r="U917">
        <v>108.38368917745669</v>
      </c>
      <c r="X917">
        <v>0.60108408484068598</v>
      </c>
      <c r="Y917">
        <v>0.87586356050984704</v>
      </c>
      <c r="Z917">
        <v>0.72363947435402853</v>
      </c>
      <c r="AA917">
        <v>0.62955765865581803</v>
      </c>
      <c r="AB917">
        <v>0.6203828926352255</v>
      </c>
      <c r="AC917">
        <v>0.83622050837334916</v>
      </c>
      <c r="AD917">
        <v>0.81812702834012385</v>
      </c>
      <c r="AE917">
        <v>0.82139191010548096</v>
      </c>
      <c r="AH917">
        <v>0.10106887068245762</v>
      </c>
      <c r="AI917">
        <v>5.5246649291853078E-2</v>
      </c>
      <c r="AJ917">
        <v>0.16028279407864265</v>
      </c>
      <c r="AK917">
        <v>6.9742205009297731E-2</v>
      </c>
      <c r="AL917">
        <v>0.13855538011909818</v>
      </c>
      <c r="AM917">
        <v>0.24224085823979813</v>
      </c>
      <c r="AN917">
        <v>8.2772200776468519E-2</v>
      </c>
      <c r="AO917">
        <v>0.13455807252693563</v>
      </c>
      <c r="AR917">
        <v>8.2969261142804788E-4</v>
      </c>
      <c r="AS917">
        <v>4.3514254339561739E-3</v>
      </c>
      <c r="AT917">
        <v>5.227129608160852E-3</v>
      </c>
      <c r="AU917">
        <v>1.881959362996725E-3</v>
      </c>
      <c r="AV917">
        <v>1.8564638813620027E-3</v>
      </c>
      <c r="AW917">
        <v>3.7630878258123612E-3</v>
      </c>
      <c r="AX917">
        <v>4.8536058652237646E-4</v>
      </c>
      <c r="AY917">
        <v>4.105487721549371E-4</v>
      </c>
      <c r="BB917">
        <v>4.76373918427287E-2</v>
      </c>
      <c r="BC917">
        <v>2.3005039446481766E-2</v>
      </c>
      <c r="BE917">
        <v>69119.480465278815</v>
      </c>
      <c r="BF917">
        <v>17.257093781724301</v>
      </c>
      <c r="BG917">
        <v>71181.216220529896</v>
      </c>
      <c r="BH917">
        <v>17.122459075802642</v>
      </c>
      <c r="BI917">
        <v>-2061.7357552510803</v>
      </c>
      <c r="BJ917">
        <v>0.13463470592165905</v>
      </c>
    </row>
    <row r="918" spans="3:62" x14ac:dyDescent="0.2">
      <c r="C918" s="121">
        <v>67723.969955516921</v>
      </c>
      <c r="D918">
        <v>16.864310867977093</v>
      </c>
      <c r="E918" s="121">
        <v>69857.330172572008</v>
      </c>
      <c r="F918" s="121">
        <v>16.694500902496639</v>
      </c>
      <c r="G918" s="121">
        <v>-2133.3602170550876</v>
      </c>
      <c r="H918" s="121">
        <v>0.16980996548045368</v>
      </c>
      <c r="N918" s="121"/>
      <c r="O918" s="121"/>
      <c r="P918" s="121"/>
      <c r="R918">
        <v>223.5687196840683</v>
      </c>
      <c r="S918">
        <v>64.570251113477795</v>
      </c>
      <c r="T918">
        <v>253.59916428928011</v>
      </c>
      <c r="U918">
        <v>92.67351288510622</v>
      </c>
      <c r="X918">
        <v>0.69108545147884348</v>
      </c>
      <c r="Y918">
        <v>0.80131439416897343</v>
      </c>
      <c r="Z918">
        <v>0.58105050633335165</v>
      </c>
      <c r="AA918">
        <v>0.66887816095636532</v>
      </c>
      <c r="AB918">
        <v>0.82227476772681718</v>
      </c>
      <c r="AC918">
        <v>0.8908677707262862</v>
      </c>
      <c r="AD918">
        <v>0.61089814318870472</v>
      </c>
      <c r="AE918">
        <v>0.58566088048317866</v>
      </c>
      <c r="AH918">
        <v>9.7746274875502137E-2</v>
      </c>
      <c r="AI918">
        <v>0.3325099336457914</v>
      </c>
      <c r="AJ918">
        <v>0.11962025294358725</v>
      </c>
      <c r="AK918">
        <v>5.7536990550198341E-2</v>
      </c>
      <c r="AL918">
        <v>4.8453749446519145E-2</v>
      </c>
      <c r="AM918">
        <v>0.11880794956368201</v>
      </c>
      <c r="AN918">
        <v>0.1487305502994779</v>
      </c>
      <c r="AO918">
        <v>6.9771073944927431E-2</v>
      </c>
      <c r="AR918">
        <v>9.5391749626572153E-4</v>
      </c>
      <c r="AS918">
        <v>4.5583433280418362E-3</v>
      </c>
      <c r="AT918">
        <v>4.9890520761254331E-3</v>
      </c>
      <c r="AU918">
        <v>2.018102096210117E-3</v>
      </c>
      <c r="AV918">
        <v>2.026692476775227E-3</v>
      </c>
      <c r="AW918">
        <v>3.6631065985568423E-3</v>
      </c>
      <c r="AX918">
        <v>4.5279587965263435E-4</v>
      </c>
      <c r="AY918">
        <v>3.9294048206243895E-4</v>
      </c>
      <c r="BB918">
        <v>4.7832245211819086E-2</v>
      </c>
      <c r="BC918">
        <v>4.888128995576424E-2</v>
      </c>
      <c r="BE918">
        <v>67723.969955516921</v>
      </c>
      <c r="BF918">
        <v>16.864310867977093</v>
      </c>
      <c r="BG918">
        <v>69857.330172572008</v>
      </c>
      <c r="BH918">
        <v>16.694500902496639</v>
      </c>
      <c r="BI918">
        <v>-2133.3602170550876</v>
      </c>
      <c r="BJ918">
        <v>0.16980996548045368</v>
      </c>
    </row>
    <row r="919" spans="3:62" x14ac:dyDescent="0.2">
      <c r="C919" s="121">
        <v>76984.153523921792</v>
      </c>
      <c r="D919">
        <v>15.781005055203607</v>
      </c>
      <c r="E919" s="121">
        <v>78930.412994826998</v>
      </c>
      <c r="F919" s="121">
        <v>15.618102752644322</v>
      </c>
      <c r="G919" s="121">
        <v>-1946.2594709052064</v>
      </c>
      <c r="H919" s="121">
        <v>0.16290230255928506</v>
      </c>
      <c r="N919" s="121"/>
      <c r="O919" s="121"/>
      <c r="P919" s="121"/>
      <c r="R919">
        <v>473.62743572589562</v>
      </c>
      <c r="S919">
        <v>63.802261410525077</v>
      </c>
      <c r="T919">
        <v>256.94530258028391</v>
      </c>
      <c r="U919">
        <v>91.372168225258491</v>
      </c>
      <c r="X919">
        <v>0.64367187595396591</v>
      </c>
      <c r="Y919">
        <v>0.48148933318008214</v>
      </c>
      <c r="Z919">
        <v>0.74149814745591858</v>
      </c>
      <c r="AA919">
        <v>0.80262642940779849</v>
      </c>
      <c r="AB919">
        <v>0.80291508673624323</v>
      </c>
      <c r="AC919">
        <v>0.47020004938832843</v>
      </c>
      <c r="AD919">
        <v>0.72349458196807381</v>
      </c>
      <c r="AE919">
        <v>0.90371020404492053</v>
      </c>
      <c r="AH919">
        <v>0.29115646771920656</v>
      </c>
      <c r="AI919">
        <v>0.37143593761284843</v>
      </c>
      <c r="AJ919">
        <v>0.10445164441471688</v>
      </c>
      <c r="AK919">
        <v>4.1856131274090269E-2</v>
      </c>
      <c r="AL919">
        <v>7.5049251209745593E-2</v>
      </c>
      <c r="AM919">
        <v>3.3339491108502983E-2</v>
      </c>
      <c r="AN919">
        <v>6.7219615791217047E-2</v>
      </c>
      <c r="AO919">
        <v>6.5780139456371067E-2</v>
      </c>
      <c r="AR919">
        <v>9.0106101599207733E-4</v>
      </c>
      <c r="AS919">
        <v>4.4112482105639374E-3</v>
      </c>
      <c r="AT919">
        <v>4.856875189490014E-3</v>
      </c>
      <c r="AU919">
        <v>1.9314265742538658E-3</v>
      </c>
      <c r="AV919">
        <v>2.0615274459504507E-3</v>
      </c>
      <c r="AW919">
        <v>3.4472941362985177E-3</v>
      </c>
      <c r="AX919">
        <v>4.1839528207876509E-4</v>
      </c>
      <c r="AY919">
        <v>3.6084394653156543E-4</v>
      </c>
      <c r="BB919">
        <v>4.0748408401175482E-2</v>
      </c>
      <c r="BC919">
        <v>2.8013502659507444E-2</v>
      </c>
      <c r="BE919">
        <v>76984.153523921792</v>
      </c>
      <c r="BF919">
        <v>15.781005055203607</v>
      </c>
      <c r="BG919">
        <v>78930.412994826998</v>
      </c>
      <c r="BH919">
        <v>15.618102752644322</v>
      </c>
      <c r="BI919">
        <v>-1946.2594709052064</v>
      </c>
      <c r="BJ919">
        <v>0.16290230255928506</v>
      </c>
    </row>
    <row r="920" spans="3:62" x14ac:dyDescent="0.2">
      <c r="C920" s="121">
        <v>72177.775933657031</v>
      </c>
      <c r="D920">
        <v>14.576974949205702</v>
      </c>
      <c r="E920" s="121">
        <v>74410.607076993707</v>
      </c>
      <c r="F920" s="121">
        <v>14.403923277105365</v>
      </c>
      <c r="G920" s="121">
        <v>-2232.8311433366762</v>
      </c>
      <c r="H920" s="121">
        <v>0.17305167210033723</v>
      </c>
      <c r="N920" s="121"/>
      <c r="O920" s="121"/>
      <c r="P920" s="121"/>
      <c r="R920">
        <v>262.65817155392438</v>
      </c>
      <c r="S920">
        <v>70.194665582525744</v>
      </c>
      <c r="T920">
        <v>247.08428968644753</v>
      </c>
      <c r="U920">
        <v>89.357851096136571</v>
      </c>
      <c r="X920">
        <v>0.67146031280390261</v>
      </c>
      <c r="Y920">
        <v>0.80644743435254784</v>
      </c>
      <c r="Z920">
        <v>0.75191422534930441</v>
      </c>
      <c r="AA920">
        <v>0.71726578687717524</v>
      </c>
      <c r="AB920">
        <v>0.85837688342531471</v>
      </c>
      <c r="AC920">
        <v>0.87861048878150005</v>
      </c>
      <c r="AD920">
        <v>0.8487832490173467</v>
      </c>
      <c r="AE920">
        <v>0.94586105644576035</v>
      </c>
      <c r="AH920">
        <v>0.12069447159889024</v>
      </c>
      <c r="AI920">
        <v>3.5343620341555138E-2</v>
      </c>
      <c r="AJ920">
        <v>0.17544842192416588</v>
      </c>
      <c r="AK920">
        <v>3.7108567318220653E-2</v>
      </c>
      <c r="AL920">
        <v>0.29558940850909332</v>
      </c>
      <c r="AM920">
        <v>0.20087601657337761</v>
      </c>
      <c r="AN920">
        <v>8.7830228368002472E-2</v>
      </c>
      <c r="AO920">
        <v>0.21292189036060172</v>
      </c>
      <c r="AR920">
        <v>8.6106506908026749E-4</v>
      </c>
      <c r="AS920">
        <v>4.5039614536320771E-3</v>
      </c>
      <c r="AT920">
        <v>5.1488911823762695E-3</v>
      </c>
      <c r="AU920">
        <v>1.9258678164295311E-3</v>
      </c>
      <c r="AV920">
        <v>1.8537628908013809E-3</v>
      </c>
      <c r="AW920">
        <v>3.3746146308425437E-3</v>
      </c>
      <c r="AX920">
        <v>3.9985882909565618E-4</v>
      </c>
      <c r="AY920">
        <v>5.0393709801277442E-4</v>
      </c>
      <c r="BB920">
        <v>4.4408294472014845E-2</v>
      </c>
      <c r="BC920">
        <v>8.144751020225649E-2</v>
      </c>
      <c r="BE920">
        <v>72177.775933657031</v>
      </c>
      <c r="BF920">
        <v>14.576974949205702</v>
      </c>
      <c r="BG920">
        <v>74410.607076993707</v>
      </c>
      <c r="BH920">
        <v>14.403923277105365</v>
      </c>
      <c r="BI920">
        <v>-2232.8311433366762</v>
      </c>
      <c r="BJ920">
        <v>0.17305167210033723</v>
      </c>
    </row>
    <row r="921" spans="3:62" x14ac:dyDescent="0.2">
      <c r="C921" s="121">
        <v>74509.514298105409</v>
      </c>
      <c r="D921">
        <v>17.510805542432006</v>
      </c>
      <c r="E921" s="121">
        <v>76958.696556694253</v>
      </c>
      <c r="F921" s="121">
        <v>17.35368159339842</v>
      </c>
      <c r="G921" s="121">
        <v>-2449.182258588844</v>
      </c>
      <c r="H921" s="121">
        <v>0.15712394903358629</v>
      </c>
      <c r="N921" s="121"/>
      <c r="O921" s="121"/>
      <c r="P921" s="121"/>
      <c r="R921">
        <v>338.24431727622664</v>
      </c>
      <c r="S921">
        <v>68.691184895910197</v>
      </c>
      <c r="T921">
        <v>270.37965247288952</v>
      </c>
      <c r="U921">
        <v>97.053049195726359</v>
      </c>
      <c r="X921">
        <v>0.6662948345965517</v>
      </c>
      <c r="Y921">
        <v>0.74717758356285935</v>
      </c>
      <c r="Z921">
        <v>0.72566554424630891</v>
      </c>
      <c r="AA921">
        <v>0.63309821766783547</v>
      </c>
      <c r="AB921">
        <v>0.75664799771167657</v>
      </c>
      <c r="AC921">
        <v>0.81411947228483328</v>
      </c>
      <c r="AD921">
        <v>0.64802013160087335</v>
      </c>
      <c r="AE921">
        <v>0.71808943454499896</v>
      </c>
      <c r="AH921">
        <v>0.26865813408487393</v>
      </c>
      <c r="AI921">
        <v>0.20528010529975582</v>
      </c>
      <c r="AJ921">
        <v>0.26638464020980168</v>
      </c>
      <c r="AK921">
        <v>0.11858065951882402</v>
      </c>
      <c r="AL921">
        <v>0.21173818921503151</v>
      </c>
      <c r="AM921">
        <v>0.28530183928015629</v>
      </c>
      <c r="AN921">
        <v>7.8808587504375804E-2</v>
      </c>
      <c r="AO921">
        <v>2.0027444730663202E-2</v>
      </c>
      <c r="AR921">
        <v>7.3934595459455128E-4</v>
      </c>
      <c r="AS921">
        <v>4.588649897502961E-3</v>
      </c>
      <c r="AT921">
        <v>5.1502352390812023E-3</v>
      </c>
      <c r="AU921">
        <v>1.9851291778083804E-3</v>
      </c>
      <c r="AV921">
        <v>1.777668471080707E-3</v>
      </c>
      <c r="AW921">
        <v>3.631347890136305E-3</v>
      </c>
      <c r="AX921">
        <v>3.6124810870902957E-4</v>
      </c>
      <c r="AY921">
        <v>4.8349674988712454E-4</v>
      </c>
      <c r="BB921">
        <v>4.9641778788178825E-2</v>
      </c>
      <c r="BC921">
        <v>4.546233067756239E-2</v>
      </c>
      <c r="BE921">
        <v>74509.514298105409</v>
      </c>
      <c r="BF921">
        <v>17.510805542432006</v>
      </c>
      <c r="BG921">
        <v>76958.696556694253</v>
      </c>
      <c r="BH921">
        <v>17.35368159339842</v>
      </c>
      <c r="BI921">
        <v>-2449.182258588844</v>
      </c>
      <c r="BJ921">
        <v>0.15712394903358629</v>
      </c>
    </row>
    <row r="922" spans="3:62" x14ac:dyDescent="0.2">
      <c r="C922" s="121">
        <v>70337.176737812391</v>
      </c>
      <c r="D922">
        <v>15.236745173189073</v>
      </c>
      <c r="E922" s="121">
        <v>73433.749349374164</v>
      </c>
      <c r="F922" s="121">
        <v>15.064151594717497</v>
      </c>
      <c r="G922" s="121">
        <v>-3096.5726115617726</v>
      </c>
      <c r="H922" s="121">
        <v>0.17259357847157553</v>
      </c>
      <c r="N922" s="121"/>
      <c r="O922" s="121"/>
      <c r="P922" s="121"/>
      <c r="R922">
        <v>184.25526816539056</v>
      </c>
      <c r="S922">
        <v>55.083665754329417</v>
      </c>
      <c r="T922">
        <v>246.73662010492691</v>
      </c>
      <c r="U922">
        <v>116.36870065421809</v>
      </c>
      <c r="X922">
        <v>0.86096182106500307</v>
      </c>
      <c r="Y922">
        <v>0.7672799884750241</v>
      </c>
      <c r="Z922">
        <v>0.79442754244986413</v>
      </c>
      <c r="AA922">
        <v>0.710516102300497</v>
      </c>
      <c r="AB922">
        <v>0.79082726922597479</v>
      </c>
      <c r="AC922">
        <v>0.82175762666872454</v>
      </c>
      <c r="AD922">
        <v>0.92513326924756667</v>
      </c>
      <c r="AE922">
        <v>0.89483068038628555</v>
      </c>
      <c r="AH922">
        <v>3.0993784124330404E-2</v>
      </c>
      <c r="AI922">
        <v>0.10870841039707435</v>
      </c>
      <c r="AJ922">
        <v>0.16921590556995758</v>
      </c>
      <c r="AK922">
        <v>0.21702245608910176</v>
      </c>
      <c r="AL922">
        <v>5.8439689418970375E-2</v>
      </c>
      <c r="AM922">
        <v>5.6721319863530684E-2</v>
      </c>
      <c r="AN922">
        <v>0.19918966990669695</v>
      </c>
      <c r="AO922">
        <v>0.23597400409913072</v>
      </c>
      <c r="AR922">
        <v>9.3967749412382506E-4</v>
      </c>
      <c r="AS922">
        <v>4.0715563104174891E-3</v>
      </c>
      <c r="AT922">
        <v>4.7013834228585025E-3</v>
      </c>
      <c r="AU922">
        <v>2.1181915706098842E-3</v>
      </c>
      <c r="AV922">
        <v>2.1646393875190961E-3</v>
      </c>
      <c r="AW922">
        <v>3.127298858125713E-3</v>
      </c>
      <c r="AX922">
        <v>3.7236471444495711E-4</v>
      </c>
      <c r="AY922">
        <v>3.2714375356717937E-4</v>
      </c>
      <c r="BB922">
        <v>4.8998896695939667E-2</v>
      </c>
      <c r="BC922">
        <v>2.9443690584100842E-2</v>
      </c>
      <c r="BE922">
        <v>70337.176737812391</v>
      </c>
      <c r="BF922">
        <v>15.236745173189073</v>
      </c>
      <c r="BG922">
        <v>73433.749349374164</v>
      </c>
      <c r="BH922">
        <v>15.064151594717497</v>
      </c>
      <c r="BI922">
        <v>-3096.5726115617726</v>
      </c>
      <c r="BJ922">
        <v>0.17259357847157553</v>
      </c>
    </row>
    <row r="923" spans="3:62" x14ac:dyDescent="0.2">
      <c r="C923" s="121">
        <v>73579.081870416194</v>
      </c>
      <c r="D923">
        <v>16.141139904774093</v>
      </c>
      <c r="E923" s="121">
        <v>75586.163720175231</v>
      </c>
      <c r="F923" s="121">
        <v>16.001107153114386</v>
      </c>
      <c r="G923" s="121">
        <v>-2007.0818497590371</v>
      </c>
      <c r="H923" s="121">
        <v>0.14003275165970663</v>
      </c>
      <c r="N923" s="121"/>
      <c r="O923" s="121"/>
      <c r="P923" s="121"/>
      <c r="R923">
        <v>163.17672958121136</v>
      </c>
      <c r="S923">
        <v>66.714518089682286</v>
      </c>
      <c r="T923">
        <v>236.93679775748851</v>
      </c>
      <c r="U923">
        <v>110.93088411274221</v>
      </c>
      <c r="X923">
        <v>0.7153334212402902</v>
      </c>
      <c r="Y923">
        <v>0.88374921504517112</v>
      </c>
      <c r="Z923">
        <v>0.83339762275096618</v>
      </c>
      <c r="AA923">
        <v>0.87412841354167448</v>
      </c>
      <c r="AB923">
        <v>0.66973161278735283</v>
      </c>
      <c r="AC923">
        <v>0.76035813762294779</v>
      </c>
      <c r="AD923">
        <v>0.65121567909471478</v>
      </c>
      <c r="AE923">
        <v>0.79966801555414757</v>
      </c>
      <c r="AH923">
        <v>0.23869038401467557</v>
      </c>
      <c r="AI923">
        <v>4.6503095471472022E-2</v>
      </c>
      <c r="AJ923">
        <v>0.11260439994246652</v>
      </c>
      <c r="AK923">
        <v>6.8815278436071936E-2</v>
      </c>
      <c r="AL923">
        <v>2.9848264783956302E-2</v>
      </c>
      <c r="AM923">
        <v>3.3478483434414064E-2</v>
      </c>
      <c r="AN923">
        <v>0.22410185311692976</v>
      </c>
      <c r="AO923">
        <v>7.3477343728270084E-2</v>
      </c>
      <c r="AR923">
        <v>9.5078761943523382E-4</v>
      </c>
      <c r="AS923">
        <v>3.9415520440931415E-3</v>
      </c>
      <c r="AT923">
        <v>4.9877568609275613E-3</v>
      </c>
      <c r="AU923">
        <v>1.9108884056449889E-3</v>
      </c>
      <c r="AV923">
        <v>2.1406347963902617E-3</v>
      </c>
      <c r="AW923">
        <v>3.5523483304513714E-3</v>
      </c>
      <c r="AX923">
        <v>3.2412455840596146E-4</v>
      </c>
      <c r="AY923">
        <v>4.3426402178991283E-4</v>
      </c>
      <c r="BB923">
        <v>5.0003995765534826E-2</v>
      </c>
      <c r="BC923">
        <v>8.6185239325603624E-2</v>
      </c>
      <c r="BE923">
        <v>73579.081870416194</v>
      </c>
      <c r="BF923">
        <v>16.141139904774093</v>
      </c>
      <c r="BG923">
        <v>75586.163720175231</v>
      </c>
      <c r="BH923">
        <v>16.001107153114386</v>
      </c>
      <c r="BI923">
        <v>-2007.0818497590371</v>
      </c>
      <c r="BJ923">
        <v>0.14003275165970663</v>
      </c>
    </row>
    <row r="924" spans="3:62" x14ac:dyDescent="0.2">
      <c r="C924" s="121">
        <v>67887.084279471092</v>
      </c>
      <c r="D924">
        <v>13.942640185064038</v>
      </c>
      <c r="E924" s="121">
        <v>69180.576660717474</v>
      </c>
      <c r="F924" s="121">
        <v>13.829336792009052</v>
      </c>
      <c r="G924" s="121">
        <v>-1293.4923812463821</v>
      </c>
      <c r="H924" s="121">
        <v>0.11330339305498605</v>
      </c>
      <c r="N924" s="121"/>
      <c r="O924" s="121"/>
      <c r="P924" s="121"/>
      <c r="R924">
        <v>202.16128078610956</v>
      </c>
      <c r="S924">
        <v>64.556157335669951</v>
      </c>
      <c r="T924">
        <v>178.05043999136575</v>
      </c>
      <c r="U924">
        <v>102.30221311607163</v>
      </c>
      <c r="X924">
        <v>0.55672410691167917</v>
      </c>
      <c r="Y924">
        <v>0.78018787248900345</v>
      </c>
      <c r="Z924">
        <v>0.72684442041292696</v>
      </c>
      <c r="AA924">
        <v>0.79638207211353507</v>
      </c>
      <c r="AB924">
        <v>0.80634036426205424</v>
      </c>
      <c r="AC924">
        <v>0.76375160501448736</v>
      </c>
      <c r="AD924">
        <v>0.85336563624688822</v>
      </c>
      <c r="AE924">
        <v>0.58251731133871354</v>
      </c>
      <c r="AH924">
        <v>2.2228865412042387E-2</v>
      </c>
      <c r="AI924">
        <v>7.6403947147871132E-2</v>
      </c>
      <c r="AJ924">
        <v>7.5018623137751428E-2</v>
      </c>
      <c r="AK924">
        <v>0.11660419617047912</v>
      </c>
      <c r="AL924">
        <v>4.9365617156898023E-2</v>
      </c>
      <c r="AM924">
        <v>7.2670444491527153E-2</v>
      </c>
      <c r="AN924">
        <v>6.2659920924677759E-2</v>
      </c>
      <c r="AO924">
        <v>7.2648057987175774E-2</v>
      </c>
      <c r="AR924">
        <v>8.3958920749390808E-4</v>
      </c>
      <c r="AS924">
        <v>4.8202061591252621E-3</v>
      </c>
      <c r="AT924">
        <v>4.7943094515723247E-3</v>
      </c>
      <c r="AU924">
        <v>1.9338650508802725E-3</v>
      </c>
      <c r="AV924">
        <v>2.1784170794993951E-3</v>
      </c>
      <c r="AW924">
        <v>3.4216333052000669E-3</v>
      </c>
      <c r="AX924">
        <v>4.4533168011529067E-4</v>
      </c>
      <c r="AY924">
        <v>3.6556756996463155E-4</v>
      </c>
      <c r="BB924">
        <v>4.7562697430369179E-2</v>
      </c>
      <c r="BC924">
        <v>4.4050354574000458E-2</v>
      </c>
      <c r="BE924">
        <v>67887.084279471092</v>
      </c>
      <c r="BF924">
        <v>13.942640185064038</v>
      </c>
      <c r="BG924">
        <v>69180.576660717474</v>
      </c>
      <c r="BH924">
        <v>13.829336792009052</v>
      </c>
      <c r="BI924">
        <v>-1293.4923812463821</v>
      </c>
      <c r="BJ924">
        <v>0.11330339305498605</v>
      </c>
    </row>
    <row r="925" spans="3:62" x14ac:dyDescent="0.2">
      <c r="C925" s="121">
        <v>66550.463865167476</v>
      </c>
      <c r="D925">
        <v>16.10528153138651</v>
      </c>
      <c r="E925" s="121">
        <v>67885.791170461918</v>
      </c>
      <c r="F925" s="121">
        <v>15.991767476546865</v>
      </c>
      <c r="G925" s="121">
        <v>-1335.3273052944423</v>
      </c>
      <c r="H925" s="121">
        <v>0.11351405483964427</v>
      </c>
      <c r="N925" s="121"/>
      <c r="O925" s="121"/>
      <c r="P925" s="121"/>
      <c r="R925">
        <v>254.8119598491167</v>
      </c>
      <c r="S925">
        <v>67.894099570757348</v>
      </c>
      <c r="T925">
        <v>309.11794631191174</v>
      </c>
      <c r="U925">
        <v>96.191315396747385</v>
      </c>
      <c r="X925">
        <v>0.75578129818573192</v>
      </c>
      <c r="Y925">
        <v>0.33206370286081277</v>
      </c>
      <c r="Z925">
        <v>0.74059821746862098</v>
      </c>
      <c r="AA925">
        <v>0.64272591314581207</v>
      </c>
      <c r="AB925">
        <v>0.54539919332032338</v>
      </c>
      <c r="AC925">
        <v>0.83141247317961908</v>
      </c>
      <c r="AD925">
        <v>0.86427421401678828</v>
      </c>
      <c r="AE925">
        <v>0.66285469808144981</v>
      </c>
      <c r="AH925">
        <v>0.22554529117579436</v>
      </c>
      <c r="AI925">
        <v>0.21160772215375823</v>
      </c>
      <c r="AJ925">
        <v>0.26645042376756856</v>
      </c>
      <c r="AK925">
        <v>0.23041433118239052</v>
      </c>
      <c r="AL925">
        <v>5.6365779521405868E-2</v>
      </c>
      <c r="AM925">
        <v>3.095175495164193E-2</v>
      </c>
      <c r="AN925">
        <v>0.12358600698575595</v>
      </c>
      <c r="AO925">
        <v>0.16707649143928693</v>
      </c>
      <c r="AR925">
        <v>1.0496466848097796E-3</v>
      </c>
      <c r="AS925">
        <v>4.3577407191295282E-3</v>
      </c>
      <c r="AT925">
        <v>4.9796202624430297E-3</v>
      </c>
      <c r="AU925">
        <v>2.0452983989004414E-3</v>
      </c>
      <c r="AV925">
        <v>1.8876625784623343E-3</v>
      </c>
      <c r="AW925">
        <v>3.2673911728278043E-3</v>
      </c>
      <c r="AX925">
        <v>3.6572341498332427E-4</v>
      </c>
      <c r="AY925">
        <v>4.5083819432378824E-4</v>
      </c>
      <c r="BB925">
        <v>4.8511778818819407E-2</v>
      </c>
      <c r="BC925">
        <v>5.2818033645148699E-2</v>
      </c>
      <c r="BE925">
        <v>66550.463865167476</v>
      </c>
      <c r="BF925">
        <v>16.10528153138651</v>
      </c>
      <c r="BG925">
        <v>67885.791170461918</v>
      </c>
      <c r="BH925">
        <v>15.991767476546865</v>
      </c>
      <c r="BI925">
        <v>-1335.3273052944423</v>
      </c>
      <c r="BJ925">
        <v>0.11351405483964427</v>
      </c>
    </row>
    <row r="926" spans="3:62" x14ac:dyDescent="0.2">
      <c r="C926" s="121">
        <v>64456.275806931357</v>
      </c>
      <c r="D926">
        <v>17.015698465797755</v>
      </c>
      <c r="E926" s="121">
        <v>65670.573576916868</v>
      </c>
      <c r="F926" s="121">
        <v>16.896097984154945</v>
      </c>
      <c r="G926" s="121">
        <v>-1214.297769985511</v>
      </c>
      <c r="H926" s="121">
        <v>0.11960048164280934</v>
      </c>
      <c r="N926" s="121"/>
      <c r="O926" s="121"/>
      <c r="P926" s="121"/>
      <c r="R926">
        <v>250.2654206569791</v>
      </c>
      <c r="S926">
        <v>57.755849633712344</v>
      </c>
      <c r="T926">
        <v>226.09766636690173</v>
      </c>
      <c r="U926">
        <v>94.101941739065694</v>
      </c>
      <c r="X926">
        <v>0.80336892345318056</v>
      </c>
      <c r="Y926">
        <v>0.72454725857700153</v>
      </c>
      <c r="Z926">
        <v>0.61438545853173021</v>
      </c>
      <c r="AA926">
        <v>0.48833399345632905</v>
      </c>
      <c r="AB926">
        <v>0.67602127785362032</v>
      </c>
      <c r="AC926">
        <v>0.63377638864660391</v>
      </c>
      <c r="AD926">
        <v>0.66574293450284416</v>
      </c>
      <c r="AE926">
        <v>0.83416324606201497</v>
      </c>
      <c r="AH926">
        <v>0.14838110560901518</v>
      </c>
      <c r="AI926">
        <v>0.15742930993691173</v>
      </c>
      <c r="AJ926">
        <v>7.1544187197652986E-2</v>
      </c>
      <c r="AK926">
        <v>9.7735675268803113E-2</v>
      </c>
      <c r="AL926">
        <v>5.80164871489669E-2</v>
      </c>
      <c r="AM926">
        <v>9.4164193439209232E-2</v>
      </c>
      <c r="AN926">
        <v>2.9635913037846739E-2</v>
      </c>
      <c r="AO926">
        <v>3.4994092876504457E-2</v>
      </c>
      <c r="AR926">
        <v>8.5833943702644331E-4</v>
      </c>
      <c r="AS926">
        <v>4.8821581260409808E-3</v>
      </c>
      <c r="AT926">
        <v>5.1769755913474436E-3</v>
      </c>
      <c r="AU926">
        <v>2.0535091413758089E-3</v>
      </c>
      <c r="AV926">
        <v>2.2495789747620787E-3</v>
      </c>
      <c r="AW926">
        <v>3.4006067160211872E-3</v>
      </c>
      <c r="AX926">
        <v>3.4817618697578106E-4</v>
      </c>
      <c r="AY926">
        <v>4.4408004192865029E-4</v>
      </c>
      <c r="BB926">
        <v>5.1536531394579699E-2</v>
      </c>
      <c r="BC926">
        <v>9.7627256652007777E-2</v>
      </c>
      <c r="BE926">
        <v>64456.275806931357</v>
      </c>
      <c r="BF926">
        <v>17.015698465797755</v>
      </c>
      <c r="BG926">
        <v>65670.573576916868</v>
      </c>
      <c r="BH926">
        <v>16.896097984154945</v>
      </c>
      <c r="BI926">
        <v>-1214.297769985511</v>
      </c>
      <c r="BJ926">
        <v>0.11960048164280934</v>
      </c>
    </row>
    <row r="927" spans="3:62" x14ac:dyDescent="0.2">
      <c r="C927" s="121">
        <v>71406.246027534449</v>
      </c>
      <c r="D927">
        <v>15.163683537960786</v>
      </c>
      <c r="E927" s="121">
        <v>72922.494938617281</v>
      </c>
      <c r="F927" s="121">
        <v>15.063207832912298</v>
      </c>
      <c r="G927" s="121">
        <v>-1516.2489110828319</v>
      </c>
      <c r="H927" s="121">
        <v>0.10047570504848835</v>
      </c>
      <c r="N927" s="121"/>
      <c r="O927" s="121"/>
      <c r="P927" s="121"/>
      <c r="R927">
        <v>308.92739417110516</v>
      </c>
      <c r="S927">
        <v>56.49386236893978</v>
      </c>
      <c r="T927">
        <v>227.07562413150254</v>
      </c>
      <c r="U927">
        <v>97.202379881777318</v>
      </c>
      <c r="X927">
        <v>0.3407896514202296</v>
      </c>
      <c r="Y927">
        <v>0.91952613327399835</v>
      </c>
      <c r="Z927">
        <v>0.93868715857737506</v>
      </c>
      <c r="AA927">
        <v>0.73655397733543715</v>
      </c>
      <c r="AB927">
        <v>0.80437398202777433</v>
      </c>
      <c r="AC927">
        <v>0.57898223252410619</v>
      </c>
      <c r="AD927">
        <v>0.77585282820999923</v>
      </c>
      <c r="AE927">
        <v>0.76405412595506694</v>
      </c>
      <c r="AH927">
        <v>0.12311551221453809</v>
      </c>
      <c r="AI927">
        <v>0.12539393006646249</v>
      </c>
      <c r="AJ927">
        <v>8.4487644994042821E-2</v>
      </c>
      <c r="AK927">
        <v>8.6972438701760857E-2</v>
      </c>
      <c r="AL927">
        <v>0.29979319863264808</v>
      </c>
      <c r="AM927">
        <v>6.8389245458500669E-2</v>
      </c>
      <c r="AN927">
        <v>0.13999954887724675</v>
      </c>
      <c r="AO927">
        <v>0.38969940068886433</v>
      </c>
      <c r="AR927">
        <v>7.6607225574535037E-4</v>
      </c>
      <c r="AS927">
        <v>4.5888524206916248E-3</v>
      </c>
      <c r="AT927">
        <v>5.1492547809826039E-3</v>
      </c>
      <c r="AU927">
        <v>2.1072202841210252E-3</v>
      </c>
      <c r="AV927">
        <v>1.9280229610150342E-3</v>
      </c>
      <c r="AW927">
        <v>3.2900659949302359E-3</v>
      </c>
      <c r="AX927">
        <v>4.3934323900784999E-4</v>
      </c>
      <c r="AY927">
        <v>5.0194470547237913E-4</v>
      </c>
      <c r="BB927">
        <v>3.9107103327785379E-2</v>
      </c>
      <c r="BC927">
        <v>7.1319229103956716E-2</v>
      </c>
      <c r="BE927">
        <v>71406.246027534449</v>
      </c>
      <c r="BF927">
        <v>15.163683537960786</v>
      </c>
      <c r="BG927">
        <v>72922.494938617281</v>
      </c>
      <c r="BH927">
        <v>15.063207832912298</v>
      </c>
      <c r="BI927">
        <v>-1516.2489110828319</v>
      </c>
      <c r="BJ927">
        <v>0.10047570504848835</v>
      </c>
    </row>
    <row r="928" spans="3:62" x14ac:dyDescent="0.2">
      <c r="C928" s="121">
        <v>71531.602932248672</v>
      </c>
      <c r="D928">
        <v>15.154690242397711</v>
      </c>
      <c r="E928" s="121">
        <v>73356.830086969043</v>
      </c>
      <c r="F928" s="121">
        <v>15.033691670800174</v>
      </c>
      <c r="G928" s="121">
        <v>-1825.2271547203709</v>
      </c>
      <c r="H928" s="121">
        <v>0.12099857159753746</v>
      </c>
      <c r="N928" s="121"/>
      <c r="O928" s="121"/>
      <c r="P928" s="121"/>
      <c r="R928">
        <v>99.441478661595653</v>
      </c>
      <c r="S928">
        <v>71.767863878103441</v>
      </c>
      <c r="T928">
        <v>265.06545146117548</v>
      </c>
      <c r="U928">
        <v>104.71891587821628</v>
      </c>
      <c r="X928">
        <v>0.73278034238899747</v>
      </c>
      <c r="Y928">
        <v>0.72937798171863522</v>
      </c>
      <c r="Z928">
        <v>0.58346932761072123</v>
      </c>
      <c r="AA928">
        <v>0.86473663428193637</v>
      </c>
      <c r="AB928">
        <v>0.87094918912504238</v>
      </c>
      <c r="AC928">
        <v>0.68004226623598352</v>
      </c>
      <c r="AD928">
        <v>0.66425214389040166</v>
      </c>
      <c r="AE928">
        <v>0.68749437903592114</v>
      </c>
      <c r="AH928">
        <v>0.11818511923098207</v>
      </c>
      <c r="AI928">
        <v>4.4188279225890748E-2</v>
      </c>
      <c r="AJ928">
        <v>0.23928328541863564</v>
      </c>
      <c r="AK928">
        <v>9.0523085663485103E-2</v>
      </c>
      <c r="AL928">
        <v>0.15429427910620719</v>
      </c>
      <c r="AM928">
        <v>0.15933789298849244</v>
      </c>
      <c r="AN928">
        <v>0.2220098181239879</v>
      </c>
      <c r="AO928">
        <v>0.15953804867956656</v>
      </c>
      <c r="AR928">
        <v>8.3650565670681737E-4</v>
      </c>
      <c r="AS928">
        <v>4.8599864779571567E-3</v>
      </c>
      <c r="AT928">
        <v>5.2223389931744801E-3</v>
      </c>
      <c r="AU928">
        <v>1.954299248250363E-3</v>
      </c>
      <c r="AV928">
        <v>1.9776638784836913E-3</v>
      </c>
      <c r="AW928">
        <v>3.3074753127842276E-3</v>
      </c>
      <c r="AX928">
        <v>4.3909167213840306E-4</v>
      </c>
      <c r="AY928">
        <v>3.330138649452117E-4</v>
      </c>
      <c r="BB928">
        <v>5.9190275277627991E-2</v>
      </c>
      <c r="BC928">
        <v>7.887749732663718E-2</v>
      </c>
      <c r="BE928">
        <v>71531.602932248672</v>
      </c>
      <c r="BF928">
        <v>15.154690242397711</v>
      </c>
      <c r="BG928">
        <v>73356.830086969043</v>
      </c>
      <c r="BH928">
        <v>15.033691670800174</v>
      </c>
      <c r="BI928">
        <v>-1825.2271547203709</v>
      </c>
      <c r="BJ928">
        <v>0.12099857159753746</v>
      </c>
    </row>
    <row r="929" spans="3:62" x14ac:dyDescent="0.2">
      <c r="C929" s="121">
        <v>67021.88333077979</v>
      </c>
      <c r="D929">
        <v>17.295052780354233</v>
      </c>
      <c r="E929" s="121">
        <v>68279.979181047383</v>
      </c>
      <c r="F929" s="121">
        <v>17.202565980935017</v>
      </c>
      <c r="G929" s="121">
        <v>-1258.0958502675931</v>
      </c>
      <c r="H929" s="121">
        <v>9.2486799419216226E-2</v>
      </c>
      <c r="N929" s="121"/>
      <c r="O929" s="121"/>
      <c r="P929" s="121"/>
      <c r="R929">
        <v>167.1034617172067</v>
      </c>
      <c r="S929">
        <v>55.336758561541863</v>
      </c>
      <c r="T929">
        <v>255.96563368908093</v>
      </c>
      <c r="U929">
        <v>101.25955563907323</v>
      </c>
      <c r="X929">
        <v>0.69281535927225224</v>
      </c>
      <c r="Y929">
        <v>0.60636687156659241</v>
      </c>
      <c r="Z929">
        <v>0.8853704642583704</v>
      </c>
      <c r="AA929">
        <v>0.68141303946879184</v>
      </c>
      <c r="AB929">
        <v>0.44730960727793023</v>
      </c>
      <c r="AC929">
        <v>0.66744881161560143</v>
      </c>
      <c r="AD929">
        <v>0.87070903832949476</v>
      </c>
      <c r="AE929">
        <v>0.55203919536772428</v>
      </c>
      <c r="AH929">
        <v>0.20021765034556793</v>
      </c>
      <c r="AI929">
        <v>0.10305393165696364</v>
      </c>
      <c r="AJ929">
        <v>0.123698529959129</v>
      </c>
      <c r="AK929">
        <v>0.11564477498812786</v>
      </c>
      <c r="AL929">
        <v>0.14333943864731047</v>
      </c>
      <c r="AM929">
        <v>3.726784247421433E-2</v>
      </c>
      <c r="AN929">
        <v>4.3286139937516621E-2</v>
      </c>
      <c r="AO929">
        <v>0.16090823433932344</v>
      </c>
      <c r="AR929">
        <v>7.5841221833271625E-4</v>
      </c>
      <c r="AS929">
        <v>4.5936234949486288E-3</v>
      </c>
      <c r="AT929">
        <v>5.0117512685402543E-3</v>
      </c>
      <c r="AU929">
        <v>2.0383213291159663E-3</v>
      </c>
      <c r="AV929">
        <v>2.1500235708770132E-3</v>
      </c>
      <c r="AW929">
        <v>3.5104540622656888E-3</v>
      </c>
      <c r="AX929">
        <v>4.1994399360345547E-4</v>
      </c>
      <c r="AY929">
        <v>4.077545935461213E-4</v>
      </c>
      <c r="BB929">
        <v>4.0882062664723752E-2</v>
      </c>
      <c r="BC929">
        <v>1.7636662640501625E-2</v>
      </c>
      <c r="BE929">
        <v>67021.88333077979</v>
      </c>
      <c r="BF929">
        <v>17.295052780354233</v>
      </c>
      <c r="BG929">
        <v>68279.979181047383</v>
      </c>
      <c r="BH929">
        <v>17.202565980935017</v>
      </c>
      <c r="BI929">
        <v>-1258.0958502675931</v>
      </c>
      <c r="BJ929">
        <v>9.2486799419216226E-2</v>
      </c>
    </row>
    <row r="930" spans="3:62" x14ac:dyDescent="0.2">
      <c r="C930" s="121">
        <v>72927.184169511864</v>
      </c>
      <c r="D930">
        <v>12.764797854723186</v>
      </c>
      <c r="E930" s="121">
        <v>74597.532026501955</v>
      </c>
      <c r="F930" s="121">
        <v>12.751379100550897</v>
      </c>
      <c r="G930" s="121">
        <v>-1670.3478569900908</v>
      </c>
      <c r="H930" s="121">
        <v>1.3418754172288772E-2</v>
      </c>
      <c r="N930" s="121"/>
      <c r="O930" s="121"/>
      <c r="P930" s="121"/>
      <c r="R930">
        <v>377.31456852130248</v>
      </c>
      <c r="S930">
        <v>71.697702391314763</v>
      </c>
      <c r="T930">
        <v>225.88485038468593</v>
      </c>
      <c r="U930">
        <v>99.138355044229968</v>
      </c>
      <c r="X930">
        <v>0.85684071901531111</v>
      </c>
      <c r="Y930">
        <v>0.6689811660446614</v>
      </c>
      <c r="Z930">
        <v>0.89097793482841925</v>
      </c>
      <c r="AA930">
        <v>0.94219199138219589</v>
      </c>
      <c r="AB930">
        <v>0.79922975496639159</v>
      </c>
      <c r="AC930">
        <v>0.7395649582037771</v>
      </c>
      <c r="AD930">
        <v>0.78517568217961342</v>
      </c>
      <c r="AE930">
        <v>0.59977914463584114</v>
      </c>
      <c r="AH930">
        <v>0.12477772322873726</v>
      </c>
      <c r="AI930">
        <v>0.11668597018586102</v>
      </c>
      <c r="AJ930">
        <v>0.1103881847719802</v>
      </c>
      <c r="AK930">
        <v>0.17784906933659073</v>
      </c>
      <c r="AL930">
        <v>0.10738578688378941</v>
      </c>
      <c r="AM930">
        <v>0.11203035181196841</v>
      </c>
      <c r="AN930">
        <v>7.6658882487784519E-2</v>
      </c>
      <c r="AO930">
        <v>1.6820612486101894E-2</v>
      </c>
      <c r="AR930">
        <v>6.2182912881781954E-4</v>
      </c>
      <c r="AS930">
        <v>4.3991131834733256E-3</v>
      </c>
      <c r="AT930">
        <v>4.923128694738153E-3</v>
      </c>
      <c r="AU930">
        <v>1.9859488161311101E-3</v>
      </c>
      <c r="AV930">
        <v>1.969051071206322E-3</v>
      </c>
      <c r="AW930">
        <v>3.5138914201409133E-3</v>
      </c>
      <c r="AX930">
        <v>5.1391160110514367E-4</v>
      </c>
      <c r="AY930">
        <v>4.7951352870734265E-4</v>
      </c>
      <c r="BB930">
        <v>4.6169293513153589E-2</v>
      </c>
      <c r="BC930">
        <v>5.4447846546067935E-2</v>
      </c>
      <c r="BE930">
        <v>72927.184169511864</v>
      </c>
      <c r="BF930">
        <v>12.764797854723186</v>
      </c>
      <c r="BG930">
        <v>74597.532026501955</v>
      </c>
      <c r="BH930">
        <v>12.751379100550897</v>
      </c>
      <c r="BI930">
        <v>-1670.3478569900908</v>
      </c>
      <c r="BJ930">
        <v>1.3418754172288772E-2</v>
      </c>
    </row>
    <row r="931" spans="3:62" x14ac:dyDescent="0.2">
      <c r="C931" s="121">
        <v>70064.401694765198</v>
      </c>
      <c r="D931">
        <v>16.965492495291024</v>
      </c>
      <c r="E931" s="121">
        <v>71593.554591515334</v>
      </c>
      <c r="F931" s="121">
        <v>16.821725883691187</v>
      </c>
      <c r="G931" s="121">
        <v>-1529.1528967501363</v>
      </c>
      <c r="H931" s="121">
        <v>0.14376661159983684</v>
      </c>
      <c r="N931" s="121"/>
      <c r="O931" s="121"/>
      <c r="P931" s="121"/>
      <c r="R931">
        <v>136.8225686158313</v>
      </c>
      <c r="S931">
        <v>75.389226887041971</v>
      </c>
      <c r="T931">
        <v>338.15684422944258</v>
      </c>
      <c r="U931">
        <v>101.52980024065272</v>
      </c>
      <c r="X931">
        <v>0.8536846228417011</v>
      </c>
      <c r="Y931">
        <v>0.7412522247095481</v>
      </c>
      <c r="Z931">
        <v>0.67764114258869057</v>
      </c>
      <c r="AA931">
        <v>0.50951391335230312</v>
      </c>
      <c r="AB931">
        <v>0.75127532385897378</v>
      </c>
      <c r="AC931">
        <v>0.53677867521694633</v>
      </c>
      <c r="AD931">
        <v>0.74113240909288247</v>
      </c>
      <c r="AE931">
        <v>0.64708976357827253</v>
      </c>
      <c r="AH931">
        <v>4.7801364166554006E-2</v>
      </c>
      <c r="AI931">
        <v>0.53590026515781675</v>
      </c>
      <c r="AJ931">
        <v>0.10292085609939172</v>
      </c>
      <c r="AK931">
        <v>0.2174460092248337</v>
      </c>
      <c r="AL931">
        <v>1.1340432507333853E-2</v>
      </c>
      <c r="AM931">
        <v>5.5486564527323479E-2</v>
      </c>
      <c r="AN931">
        <v>8.0365386239983572E-2</v>
      </c>
      <c r="AO931">
        <v>0.10120521271566085</v>
      </c>
      <c r="AR931">
        <v>8.5071857871840868E-4</v>
      </c>
      <c r="AS931">
        <v>4.4791290423972915E-3</v>
      </c>
      <c r="AT931">
        <v>5.098769012387816E-3</v>
      </c>
      <c r="AU931">
        <v>2.1344740615806268E-3</v>
      </c>
      <c r="AV931">
        <v>1.921364122297949E-3</v>
      </c>
      <c r="AW931">
        <v>3.1137562456269026E-3</v>
      </c>
      <c r="AX931">
        <v>5.1530866826732247E-4</v>
      </c>
      <c r="AY931">
        <v>4.7782645754712583E-4</v>
      </c>
      <c r="BB931">
        <v>4.9539680704013052E-2</v>
      </c>
      <c r="BC931">
        <v>5.319103293410643E-2</v>
      </c>
      <c r="BE931">
        <v>70064.401694765198</v>
      </c>
      <c r="BF931">
        <v>16.965492495291024</v>
      </c>
      <c r="BG931">
        <v>71593.554591515334</v>
      </c>
      <c r="BH931">
        <v>16.821725883691187</v>
      </c>
      <c r="BI931">
        <v>-1529.1528967501363</v>
      </c>
      <c r="BJ931">
        <v>0.14376661159983684</v>
      </c>
    </row>
    <row r="932" spans="3:62" x14ac:dyDescent="0.2">
      <c r="C932" s="121">
        <v>60956.046417664002</v>
      </c>
      <c r="D932">
        <v>18.180741427591098</v>
      </c>
      <c r="E932" s="121">
        <v>62158.180523572511</v>
      </c>
      <c r="F932" s="121">
        <v>18.116028814806118</v>
      </c>
      <c r="G932" s="121">
        <v>-1202.1341059085098</v>
      </c>
      <c r="H932" s="121">
        <v>6.4712612784980195E-2</v>
      </c>
      <c r="N932" s="121"/>
      <c r="O932" s="121"/>
      <c r="P932" s="121"/>
      <c r="R932">
        <v>226.53295226735273</v>
      </c>
      <c r="S932">
        <v>57.698208767841081</v>
      </c>
      <c r="T932">
        <v>221.7109765278858</v>
      </c>
      <c r="U932">
        <v>95.187822107500509</v>
      </c>
      <c r="X932">
        <v>0.65947141901115869</v>
      </c>
      <c r="Y932">
        <v>0.85483997243964172</v>
      </c>
      <c r="Z932">
        <v>0.9008729571322297</v>
      </c>
      <c r="AA932">
        <v>0.92273932652516932</v>
      </c>
      <c r="AB932">
        <v>0.72349472758839395</v>
      </c>
      <c r="AC932">
        <v>0.83831103745084223</v>
      </c>
      <c r="AD932">
        <v>0.90361459716090908</v>
      </c>
      <c r="AE932">
        <v>0.73819349907323295</v>
      </c>
      <c r="AH932">
        <v>9.1631138359545505E-2</v>
      </c>
      <c r="AI932">
        <v>0.27632015160944312</v>
      </c>
      <c r="AJ932">
        <v>0.16024201623107803</v>
      </c>
      <c r="AK932">
        <v>3.9417522090030577E-2</v>
      </c>
      <c r="AL932">
        <v>5.3507167606006822E-2</v>
      </c>
      <c r="AM932">
        <v>0.27599494742397734</v>
      </c>
      <c r="AN932">
        <v>0.30321663580382496</v>
      </c>
      <c r="AO932">
        <v>1.9718793955763259E-2</v>
      </c>
      <c r="AR932">
        <v>8.7622928282759648E-4</v>
      </c>
      <c r="AS932">
        <v>4.2576685766225137E-3</v>
      </c>
      <c r="AT932">
        <v>4.9093914902691048E-3</v>
      </c>
      <c r="AU932">
        <v>2.0709931218712008E-3</v>
      </c>
      <c r="AV932">
        <v>2.1339711855012933E-3</v>
      </c>
      <c r="AW932">
        <v>3.5007226767537203E-3</v>
      </c>
      <c r="AX932">
        <v>4.0830438335737185E-4</v>
      </c>
      <c r="AY932">
        <v>5.5730046310076276E-4</v>
      </c>
      <c r="BB932">
        <v>5.2118354782137777E-2</v>
      </c>
      <c r="BC932">
        <v>2.6115406619153594E-2</v>
      </c>
      <c r="BE932">
        <v>60956.046417664002</v>
      </c>
      <c r="BF932">
        <v>18.180741427591098</v>
      </c>
      <c r="BG932">
        <v>62158.180523572511</v>
      </c>
      <c r="BH932">
        <v>18.116028814806118</v>
      </c>
      <c r="BI932">
        <v>-1202.1341059085098</v>
      </c>
      <c r="BJ932">
        <v>6.4712612784980195E-2</v>
      </c>
    </row>
    <row r="933" spans="3:62" x14ac:dyDescent="0.2">
      <c r="C933" s="121">
        <v>70581.665338484847</v>
      </c>
      <c r="D933">
        <v>15.718862525595153</v>
      </c>
      <c r="E933" s="121">
        <v>71459.750124339436</v>
      </c>
      <c r="F933" s="121">
        <v>15.609662693282788</v>
      </c>
      <c r="G933" s="121">
        <v>-878.08478585458943</v>
      </c>
      <c r="H933" s="121">
        <v>0.10919983231236507</v>
      </c>
      <c r="N933" s="121"/>
      <c r="O933" s="121"/>
      <c r="P933" s="121"/>
      <c r="R933">
        <v>337.58474729948335</v>
      </c>
      <c r="S933">
        <v>66.73500478618638</v>
      </c>
      <c r="T933">
        <v>287.88123691049464</v>
      </c>
      <c r="U933">
        <v>112.26918189945222</v>
      </c>
      <c r="X933">
        <v>0.78612795570624305</v>
      </c>
      <c r="Y933">
        <v>0.72258705806607504</v>
      </c>
      <c r="Z933">
        <v>0.58775916241703863</v>
      </c>
      <c r="AA933">
        <v>0.64561028194025061</v>
      </c>
      <c r="AB933">
        <v>0.81955452574222121</v>
      </c>
      <c r="AC933">
        <v>0.85874848403204285</v>
      </c>
      <c r="AD933">
        <v>0.78609031029350118</v>
      </c>
      <c r="AE933">
        <v>0.62670146229262935</v>
      </c>
      <c r="AH933">
        <v>0.10997539240377407</v>
      </c>
      <c r="AI933">
        <v>8.6884477257753279E-2</v>
      </c>
      <c r="AJ933">
        <v>0.16750417699061226</v>
      </c>
      <c r="AK933">
        <v>0.11303320348870938</v>
      </c>
      <c r="AL933">
        <v>3.6957349794081051E-2</v>
      </c>
      <c r="AM933">
        <v>8.2070383902381749E-2</v>
      </c>
      <c r="AN933">
        <v>0.10471577772886231</v>
      </c>
      <c r="AO933">
        <v>3.1484031693106429E-2</v>
      </c>
      <c r="AR933">
        <v>8.8365845301888386E-4</v>
      </c>
      <c r="AS933">
        <v>4.3943993447249103E-3</v>
      </c>
      <c r="AT933">
        <v>5.2607262390534926E-3</v>
      </c>
      <c r="AU933">
        <v>2.1317530066777834E-3</v>
      </c>
      <c r="AV933">
        <v>2.0082504788759836E-3</v>
      </c>
      <c r="AW933">
        <v>3.3982852827847921E-3</v>
      </c>
      <c r="AX933">
        <v>5.4503333401534348E-4</v>
      </c>
      <c r="AY933">
        <v>5.2865983925320936E-4</v>
      </c>
      <c r="BB933">
        <v>5.4962126563221414E-2</v>
      </c>
      <c r="BC933">
        <v>4.6610386469439331E-2</v>
      </c>
      <c r="BE933">
        <v>70581.665338484847</v>
      </c>
      <c r="BF933">
        <v>15.718862525595153</v>
      </c>
      <c r="BG933">
        <v>71459.750124339436</v>
      </c>
      <c r="BH933">
        <v>15.609662693282788</v>
      </c>
      <c r="BI933">
        <v>-878.08478585458943</v>
      </c>
      <c r="BJ933">
        <v>0.10919983231236507</v>
      </c>
    </row>
    <row r="934" spans="3:62" x14ac:dyDescent="0.2">
      <c r="C934" s="121">
        <v>67778.062657795483</v>
      </c>
      <c r="D934">
        <v>16.289712879616374</v>
      </c>
      <c r="E934" s="121">
        <v>70241.603984561792</v>
      </c>
      <c r="F934" s="121">
        <v>16.122052969722418</v>
      </c>
      <c r="G934" s="121">
        <v>-2463.5413267663098</v>
      </c>
      <c r="H934" s="121">
        <v>0.16765990989395618</v>
      </c>
      <c r="N934" s="121"/>
      <c r="O934" s="121"/>
      <c r="P934" s="121"/>
      <c r="R934">
        <v>275.66491106383774</v>
      </c>
      <c r="S934">
        <v>59.94832894581392</v>
      </c>
      <c r="T934">
        <v>257.88393230495376</v>
      </c>
      <c r="U934">
        <v>81.372370114557413</v>
      </c>
      <c r="X934">
        <v>0.72321716454785634</v>
      </c>
      <c r="Y934">
        <v>0.70597926054754845</v>
      </c>
      <c r="Z934">
        <v>0.7666198001958795</v>
      </c>
      <c r="AA934">
        <v>0.77254173504468382</v>
      </c>
      <c r="AB934">
        <v>0.79047918829089192</v>
      </c>
      <c r="AC934">
        <v>0.68510759791889575</v>
      </c>
      <c r="AD934">
        <v>0.76263913906687364</v>
      </c>
      <c r="AE934">
        <v>0.77514717976396375</v>
      </c>
      <c r="AH934">
        <v>0.25130661127963771</v>
      </c>
      <c r="AI934">
        <v>0.24413218198052533</v>
      </c>
      <c r="AJ934">
        <v>0.13523581652266947</v>
      </c>
      <c r="AK934">
        <v>7.3222148954489419E-2</v>
      </c>
      <c r="AL934">
        <v>0.15224011727409037</v>
      </c>
      <c r="AM934">
        <v>0.13844443229235581</v>
      </c>
      <c r="AN934">
        <v>0.12944483385790106</v>
      </c>
      <c r="AO934">
        <v>2.260330662712895E-2</v>
      </c>
      <c r="AR934">
        <v>9.1538510228050818E-4</v>
      </c>
      <c r="AS934">
        <v>4.7862540711203216E-3</v>
      </c>
      <c r="AT934">
        <v>4.9518254819790331E-3</v>
      </c>
      <c r="AU934">
        <v>1.9066811359900314E-3</v>
      </c>
      <c r="AV934">
        <v>2.012151964184139E-3</v>
      </c>
      <c r="AW934">
        <v>3.3778191751109329E-3</v>
      </c>
      <c r="AX934">
        <v>4.1665978730087705E-4</v>
      </c>
      <c r="AY934">
        <v>4.3117974756791503E-4</v>
      </c>
      <c r="BB934">
        <v>5.0909405877965552E-2</v>
      </c>
      <c r="BC934">
        <v>6.1691338813662955E-2</v>
      </c>
      <c r="BE934">
        <v>67778.062657795483</v>
      </c>
      <c r="BF934">
        <v>16.289712879616374</v>
      </c>
      <c r="BG934">
        <v>70241.603984561792</v>
      </c>
      <c r="BH934">
        <v>16.122052969722418</v>
      </c>
      <c r="BI934">
        <v>-2463.5413267663098</v>
      </c>
      <c r="BJ934">
        <v>0.16765990989395618</v>
      </c>
    </row>
    <row r="935" spans="3:62" x14ac:dyDescent="0.2">
      <c r="C935" s="121">
        <v>74741.711735153614</v>
      </c>
      <c r="D935">
        <v>15.733804584554445</v>
      </c>
      <c r="E935" s="121">
        <v>77168.682114246272</v>
      </c>
      <c r="F935" s="121">
        <v>15.557594975699317</v>
      </c>
      <c r="G935" s="121">
        <v>-2426.9703790926578</v>
      </c>
      <c r="H935" s="121">
        <v>0.17620960885512815</v>
      </c>
      <c r="N935" s="121"/>
      <c r="O935" s="121"/>
      <c r="P935" s="121"/>
      <c r="R935">
        <v>143.44927890748488</v>
      </c>
      <c r="S935">
        <v>56.189691893584389</v>
      </c>
      <c r="T935">
        <v>245.10034764364264</v>
      </c>
      <c r="U935">
        <v>99.764739409039677</v>
      </c>
      <c r="X935">
        <v>0.78773654666782378</v>
      </c>
      <c r="Y935">
        <v>0.80475021985592021</v>
      </c>
      <c r="Z935">
        <v>0.86341354437637075</v>
      </c>
      <c r="AA935">
        <v>0.7226076094323155</v>
      </c>
      <c r="AB935">
        <v>0.87656850550049858</v>
      </c>
      <c r="AC935">
        <v>0.73569924281672494</v>
      </c>
      <c r="AD935">
        <v>0.90378336840773654</v>
      </c>
      <c r="AE935">
        <v>0.49455839772481031</v>
      </c>
      <c r="AH935">
        <v>0.11897886398153579</v>
      </c>
      <c r="AI935">
        <v>0.14628937929519925</v>
      </c>
      <c r="AJ935">
        <v>0.13201599459175506</v>
      </c>
      <c r="AK935">
        <v>0.25805580305147457</v>
      </c>
      <c r="AL935">
        <v>8.3816025801213279E-2</v>
      </c>
      <c r="AM935">
        <v>0.11562830417058179</v>
      </c>
      <c r="AN935">
        <v>0.11671439236692949</v>
      </c>
      <c r="AO935">
        <v>8.3653435082780003E-3</v>
      </c>
      <c r="AR935">
        <v>8.6265000637764577E-4</v>
      </c>
      <c r="AS935">
        <v>4.0826766064376626E-3</v>
      </c>
      <c r="AT935">
        <v>4.9999857892429889E-3</v>
      </c>
      <c r="AU935">
        <v>1.8437652626729086E-3</v>
      </c>
      <c r="AV935">
        <v>2.1489785438648656E-3</v>
      </c>
      <c r="AW935">
        <v>3.6164760812630314E-3</v>
      </c>
      <c r="AX935">
        <v>4.719187852347817E-4</v>
      </c>
      <c r="AY935">
        <v>4.841100702576151E-4</v>
      </c>
      <c r="BB935">
        <v>5.3394424873216328E-2</v>
      </c>
      <c r="BC935">
        <v>2.6939554269594278E-2</v>
      </c>
      <c r="BE935">
        <v>74741.711735153614</v>
      </c>
      <c r="BF935">
        <v>15.733804584554445</v>
      </c>
      <c r="BG935">
        <v>77168.682114246272</v>
      </c>
      <c r="BH935">
        <v>15.557594975699317</v>
      </c>
      <c r="BI935">
        <v>-2426.9703790926578</v>
      </c>
      <c r="BJ935">
        <v>0.17620960885512815</v>
      </c>
    </row>
    <row r="936" spans="3:62" x14ac:dyDescent="0.2">
      <c r="C936" s="121">
        <v>67232.763236813989</v>
      </c>
      <c r="D936">
        <v>17.516478258287908</v>
      </c>
      <c r="E936" s="121">
        <v>69283.880613024055</v>
      </c>
      <c r="F936" s="121">
        <v>17.392668864425254</v>
      </c>
      <c r="G936" s="121">
        <v>-2051.1173762100661</v>
      </c>
      <c r="H936" s="121">
        <v>0.1238093938626541</v>
      </c>
      <c r="N936" s="121"/>
      <c r="O936" s="121"/>
      <c r="P936" s="121"/>
      <c r="R936">
        <v>199.32916806429392</v>
      </c>
      <c r="S936">
        <v>63.543054778211136</v>
      </c>
      <c r="T936">
        <v>217.58628154268658</v>
      </c>
      <c r="U936">
        <v>94.08874903750052</v>
      </c>
      <c r="X936">
        <v>0.76905672425244209</v>
      </c>
      <c r="Y936">
        <v>0.67871271394452382</v>
      </c>
      <c r="Z936">
        <v>0.57116950379088549</v>
      </c>
      <c r="AA936">
        <v>0.66104529160006087</v>
      </c>
      <c r="AB936">
        <v>0.72108322949544623</v>
      </c>
      <c r="AC936">
        <v>0.72042669558862482</v>
      </c>
      <c r="AD936">
        <v>0.86801702269119563</v>
      </c>
      <c r="AE936">
        <v>0.92387629266707372</v>
      </c>
      <c r="AH936">
        <v>0.12370390279283716</v>
      </c>
      <c r="AI936">
        <v>0.27082221747898483</v>
      </c>
      <c r="AJ936">
        <v>0.18598221660818948</v>
      </c>
      <c r="AK936">
        <v>0.12947325355221317</v>
      </c>
      <c r="AL936">
        <v>2.4829491601403575E-2</v>
      </c>
      <c r="AM936">
        <v>9.9634919055477722E-2</v>
      </c>
      <c r="AN936">
        <v>4.1584237889742193E-2</v>
      </c>
      <c r="AO936">
        <v>0.13723088048490584</v>
      </c>
      <c r="AR936">
        <v>8.6939824021465032E-4</v>
      </c>
      <c r="AS936">
        <v>4.4845660753594797E-3</v>
      </c>
      <c r="AT936">
        <v>5.2253225296453598E-3</v>
      </c>
      <c r="AU936">
        <v>2.0183505776159016E-3</v>
      </c>
      <c r="AV936">
        <v>2.0134043261040846E-3</v>
      </c>
      <c r="AW936">
        <v>3.3815169573303688E-3</v>
      </c>
      <c r="AX936">
        <v>3.2429976978588381E-4</v>
      </c>
      <c r="AY936">
        <v>4.0673648850367934E-4</v>
      </c>
      <c r="BB936">
        <v>5.6054077275396574E-2</v>
      </c>
      <c r="BC936">
        <v>4.8619497625944752E-2</v>
      </c>
      <c r="BE936">
        <v>67232.763236813989</v>
      </c>
      <c r="BF936">
        <v>17.516478258287908</v>
      </c>
      <c r="BG936">
        <v>69283.880613024055</v>
      </c>
      <c r="BH936">
        <v>17.392668864425254</v>
      </c>
      <c r="BI936">
        <v>-2051.1173762100661</v>
      </c>
      <c r="BJ936">
        <v>0.1238093938626541</v>
      </c>
    </row>
    <row r="937" spans="3:62" x14ac:dyDescent="0.2">
      <c r="C937" s="121">
        <v>77565.515348388479</v>
      </c>
      <c r="D937">
        <v>12.066936167989827</v>
      </c>
      <c r="E937" s="121">
        <v>79416.727610844304</v>
      </c>
      <c r="F937" s="121">
        <v>11.978069026863638</v>
      </c>
      <c r="G937" s="121">
        <v>-1851.2122624558251</v>
      </c>
      <c r="H937" s="121">
        <v>8.8867141126188542E-2</v>
      </c>
      <c r="N937" s="121"/>
      <c r="O937" s="121"/>
      <c r="P937" s="121"/>
      <c r="R937">
        <v>381.90831210390434</v>
      </c>
      <c r="S937">
        <v>69.160454463493153</v>
      </c>
      <c r="T937">
        <v>234.56114270750689</v>
      </c>
      <c r="U937">
        <v>103.77111785009191</v>
      </c>
      <c r="X937">
        <v>0.91645029685106616</v>
      </c>
      <c r="Y937">
        <v>0.92121321439481929</v>
      </c>
      <c r="Z937">
        <v>0.81754848259588497</v>
      </c>
      <c r="AA937">
        <v>0.94657364624641049</v>
      </c>
      <c r="AB937">
        <v>0.54220870669474364</v>
      </c>
      <c r="AC937">
        <v>0.83347761435306278</v>
      </c>
      <c r="AD937">
        <v>0.79022623212042442</v>
      </c>
      <c r="AE937">
        <v>0.76492688431786415</v>
      </c>
      <c r="AH937">
        <v>0.13802699295129306</v>
      </c>
      <c r="AI937">
        <v>1.4023789876097981E-2</v>
      </c>
      <c r="AJ937">
        <v>0.19006143321530988</v>
      </c>
      <c r="AK937">
        <v>6.4174747261400378E-2</v>
      </c>
      <c r="AL937">
        <v>7.7953729350516032E-2</v>
      </c>
      <c r="AM937">
        <v>0.12185742086523565</v>
      </c>
      <c r="AN937">
        <v>0.1346522230188526</v>
      </c>
      <c r="AO937">
        <v>4.7360826870667339E-2</v>
      </c>
      <c r="AR937">
        <v>9.0467767353519246E-4</v>
      </c>
      <c r="AS937">
        <v>4.2062792465520074E-3</v>
      </c>
      <c r="AT937">
        <v>5.3514860729955149E-3</v>
      </c>
      <c r="AU937">
        <v>1.9724756911889637E-3</v>
      </c>
      <c r="AV937">
        <v>1.9081231274908621E-3</v>
      </c>
      <c r="AW937">
        <v>3.6610057354506953E-3</v>
      </c>
      <c r="AX937">
        <v>3.9610251214556203E-4</v>
      </c>
      <c r="AY937">
        <v>2.9231374242419259E-4</v>
      </c>
      <c r="BB937">
        <v>5.0082336875625799E-2</v>
      </c>
      <c r="BC937">
        <v>2.7998989292160808E-2</v>
      </c>
      <c r="BE937">
        <v>77565.515348388479</v>
      </c>
      <c r="BF937">
        <v>12.066936167989827</v>
      </c>
      <c r="BG937">
        <v>79416.727610844304</v>
      </c>
      <c r="BH937">
        <v>11.978069026863638</v>
      </c>
      <c r="BI937">
        <v>-1851.2122624558251</v>
      </c>
      <c r="BJ937">
        <v>8.8867141126188542E-2</v>
      </c>
    </row>
    <row r="938" spans="3:62" x14ac:dyDescent="0.2">
      <c r="C938" s="121">
        <v>63559.56681191289</v>
      </c>
      <c r="D938">
        <v>17.166907188490498</v>
      </c>
      <c r="E938" s="121">
        <v>65206.38452761816</v>
      </c>
      <c r="F938" s="121">
        <v>17.049785135524449</v>
      </c>
      <c r="G938" s="121">
        <v>-1646.8177157052705</v>
      </c>
      <c r="H938" s="121">
        <v>0.11712205296604949</v>
      </c>
      <c r="N938" s="121"/>
      <c r="O938" s="121"/>
      <c r="P938" s="121"/>
      <c r="R938">
        <v>287.89652195280422</v>
      </c>
      <c r="S938">
        <v>59.456264238744843</v>
      </c>
      <c r="T938">
        <v>254.4036140167394</v>
      </c>
      <c r="U938">
        <v>101.32923081498038</v>
      </c>
      <c r="X938">
        <v>0.86885395735212456</v>
      </c>
      <c r="Y938">
        <v>0.9161597979916678</v>
      </c>
      <c r="Z938">
        <v>0.73187118972426435</v>
      </c>
      <c r="AA938">
        <v>0.8876476806283049</v>
      </c>
      <c r="AB938">
        <v>0.92498776251912596</v>
      </c>
      <c r="AC938">
        <v>0.90299566610193405</v>
      </c>
      <c r="AD938">
        <v>0.78769901267287723</v>
      </c>
      <c r="AE938">
        <v>0.87582890472346731</v>
      </c>
      <c r="AH938">
        <v>8.5804604119831263E-2</v>
      </c>
      <c r="AI938">
        <v>9.2890497476134759E-2</v>
      </c>
      <c r="AJ938">
        <v>5.2190704941217358E-2</v>
      </c>
      <c r="AK938">
        <v>0.14728500433323177</v>
      </c>
      <c r="AL938">
        <v>0.12559479466662471</v>
      </c>
      <c r="AM938">
        <v>6.5719454741271388E-2</v>
      </c>
      <c r="AN938">
        <v>5.9295399796947867E-2</v>
      </c>
      <c r="AO938">
        <v>0.11523679061777525</v>
      </c>
      <c r="AR938">
        <v>9.5139041121772294E-4</v>
      </c>
      <c r="AS938">
        <v>4.2415332774038876E-3</v>
      </c>
      <c r="AT938">
        <v>4.9923494738962626E-3</v>
      </c>
      <c r="AU938">
        <v>2.1010573467485916E-3</v>
      </c>
      <c r="AV938">
        <v>2.0562615891237535E-3</v>
      </c>
      <c r="AW938">
        <v>3.4051268673074907E-3</v>
      </c>
      <c r="AX938">
        <v>3.5667447717831815E-4</v>
      </c>
      <c r="AY938">
        <v>3.3345377037936999E-4</v>
      </c>
      <c r="BB938">
        <v>5.4464755724121461E-2</v>
      </c>
      <c r="BC938">
        <v>3.7655408931479666E-2</v>
      </c>
      <c r="BE938">
        <v>63559.56681191289</v>
      </c>
      <c r="BF938">
        <v>17.166907188490498</v>
      </c>
      <c r="BG938">
        <v>65206.38452761816</v>
      </c>
      <c r="BH938">
        <v>17.049785135524449</v>
      </c>
      <c r="BI938">
        <v>-1646.8177157052705</v>
      </c>
      <c r="BJ938">
        <v>0.11712205296604949</v>
      </c>
    </row>
    <row r="939" spans="3:62" x14ac:dyDescent="0.2">
      <c r="C939" s="121">
        <v>74247.783946427706</v>
      </c>
      <c r="D939">
        <v>15.848395535055902</v>
      </c>
      <c r="E939" s="121">
        <v>76054.594704691714</v>
      </c>
      <c r="F939" s="121">
        <v>15.678615106127287</v>
      </c>
      <c r="G939" s="121">
        <v>-1806.8107582640077</v>
      </c>
      <c r="H939" s="121">
        <v>0.16978042892861467</v>
      </c>
      <c r="N939" s="121"/>
      <c r="O939" s="121"/>
      <c r="P939" s="121"/>
      <c r="R939">
        <v>225.03574927752817</v>
      </c>
      <c r="S939">
        <v>47.610071757563816</v>
      </c>
      <c r="T939">
        <v>266.60198834178692</v>
      </c>
      <c r="U939">
        <v>93.027001183927922</v>
      </c>
      <c r="X939">
        <v>0.69601974163541391</v>
      </c>
      <c r="Y939">
        <v>0.6217915533214744</v>
      </c>
      <c r="Z939">
        <v>0.92093790519883401</v>
      </c>
      <c r="AA939">
        <v>0.53411468110016469</v>
      </c>
      <c r="AB939">
        <v>0.72287053944389001</v>
      </c>
      <c r="AC939">
        <v>0.64140934532565441</v>
      </c>
      <c r="AD939">
        <v>0.80407864130543949</v>
      </c>
      <c r="AE939">
        <v>0.78777807752131301</v>
      </c>
      <c r="AH939">
        <v>8.1102402823047481E-2</v>
      </c>
      <c r="AI939">
        <v>0.29398515100120259</v>
      </c>
      <c r="AJ939">
        <v>0.14592916939196554</v>
      </c>
      <c r="AK939">
        <v>3.9957068034689902E-2</v>
      </c>
      <c r="AL939">
        <v>0.1251466871123883</v>
      </c>
      <c r="AM939">
        <v>0.10358206488665511</v>
      </c>
      <c r="AN939">
        <v>6.148807179223037E-2</v>
      </c>
      <c r="AO939">
        <v>7.6662286018478909E-2</v>
      </c>
      <c r="AR939">
        <v>8.4593390896174668E-4</v>
      </c>
      <c r="AS939">
        <v>4.3548112621301675E-3</v>
      </c>
      <c r="AT939">
        <v>5.1128427004618615E-3</v>
      </c>
      <c r="AU939">
        <v>1.9348124487171818E-3</v>
      </c>
      <c r="AV939">
        <v>2.0539391954376152E-3</v>
      </c>
      <c r="AW939">
        <v>3.4308577112163174E-3</v>
      </c>
      <c r="AX939">
        <v>4.0140939485311389E-4</v>
      </c>
      <c r="AY939">
        <v>5.8141378749598793E-4</v>
      </c>
      <c r="BB939">
        <v>5.6624049077221739E-2</v>
      </c>
      <c r="BC939">
        <v>4.2136534975913832E-2</v>
      </c>
      <c r="BE939">
        <v>74247.783946427706</v>
      </c>
      <c r="BF939">
        <v>15.848395535055902</v>
      </c>
      <c r="BG939">
        <v>76054.594704691714</v>
      </c>
      <c r="BH939">
        <v>15.678615106127287</v>
      </c>
      <c r="BI939">
        <v>-1806.8107582640077</v>
      </c>
      <c r="BJ939">
        <v>0.16978042892861467</v>
      </c>
    </row>
    <row r="940" spans="3:62" x14ac:dyDescent="0.2">
      <c r="C940" s="121">
        <v>71989.731131050838</v>
      </c>
      <c r="D940">
        <v>16.747083261875897</v>
      </c>
      <c r="E940" s="121">
        <v>74542.917213466149</v>
      </c>
      <c r="F940" s="121">
        <v>16.706999063712423</v>
      </c>
      <c r="G940" s="121">
        <v>-2553.1860824153118</v>
      </c>
      <c r="H940" s="121">
        <v>4.0084198163473417E-2</v>
      </c>
      <c r="N940" s="121"/>
      <c r="O940" s="121"/>
      <c r="P940" s="121"/>
      <c r="R940">
        <v>156.02902929455118</v>
      </c>
      <c r="S940">
        <v>64.764290426000699</v>
      </c>
      <c r="T940">
        <v>196.05325730651091</v>
      </c>
      <c r="U940">
        <v>87.726179246706877</v>
      </c>
      <c r="X940">
        <v>0.84937478935483079</v>
      </c>
      <c r="Y940">
        <v>0.79127065713657385</v>
      </c>
      <c r="Z940">
        <v>0.45504073067857836</v>
      </c>
      <c r="AA940">
        <v>0.87623077662180338</v>
      </c>
      <c r="AB940">
        <v>0.89712929864632773</v>
      </c>
      <c r="AC940">
        <v>0.87629410106004013</v>
      </c>
      <c r="AD940">
        <v>0.81746149604056817</v>
      </c>
      <c r="AE940">
        <v>0.82753041391111615</v>
      </c>
      <c r="AH940">
        <v>0.13221336427717112</v>
      </c>
      <c r="AI940">
        <v>0.12180895563854577</v>
      </c>
      <c r="AJ940">
        <v>8.52710666888713E-2</v>
      </c>
      <c r="AK940">
        <v>2.3092965365412943E-2</v>
      </c>
      <c r="AL940">
        <v>0.2027676293697438</v>
      </c>
      <c r="AM940">
        <v>0.12712358470418961</v>
      </c>
      <c r="AN940">
        <v>0.15065031658463734</v>
      </c>
      <c r="AO940">
        <v>3.601064201518156E-2</v>
      </c>
      <c r="AR940">
        <v>8.137311019864174E-4</v>
      </c>
      <c r="AS940">
        <v>4.5874417788641653E-3</v>
      </c>
      <c r="AT940">
        <v>4.9218647597183531E-3</v>
      </c>
      <c r="AU940">
        <v>1.8647810222730827E-3</v>
      </c>
      <c r="AV940">
        <v>1.9968863728331288E-3</v>
      </c>
      <c r="AW940">
        <v>3.4140399701957369E-3</v>
      </c>
      <c r="AX940">
        <v>4.3551056290003221E-4</v>
      </c>
      <c r="AY940">
        <v>3.9085094272249467E-4</v>
      </c>
      <c r="BB940">
        <v>5.2413039796352812E-2</v>
      </c>
      <c r="BC940">
        <v>6.8869963406914092E-2</v>
      </c>
      <c r="BE940">
        <v>71989.731131050838</v>
      </c>
      <c r="BF940">
        <v>16.747083261875897</v>
      </c>
      <c r="BG940">
        <v>74542.917213466149</v>
      </c>
      <c r="BH940">
        <v>16.706999063712423</v>
      </c>
      <c r="BI940">
        <v>-2553.1860824153118</v>
      </c>
      <c r="BJ940">
        <v>4.0084198163473417E-2</v>
      </c>
    </row>
    <row r="941" spans="3:62" x14ac:dyDescent="0.2">
      <c r="C941" s="121">
        <v>68920.503893327041</v>
      </c>
      <c r="D941">
        <v>17.297469386138108</v>
      </c>
      <c r="E941" s="121">
        <v>69988.696900096387</v>
      </c>
      <c r="F941" s="121">
        <v>17.182453158107293</v>
      </c>
      <c r="G941" s="121">
        <v>-1068.1930067693465</v>
      </c>
      <c r="H941" s="121">
        <v>0.11501622803081446</v>
      </c>
      <c r="N941" s="121"/>
      <c r="O941" s="121"/>
      <c r="P941" s="121"/>
      <c r="R941">
        <v>303.04174907818344</v>
      </c>
      <c r="S941">
        <v>61.801351294681027</v>
      </c>
      <c r="T941">
        <v>264.19235366514846</v>
      </c>
      <c r="U941">
        <v>61.950513236368963</v>
      </c>
      <c r="X941">
        <v>0.77576693313697476</v>
      </c>
      <c r="Y941">
        <v>0.39308737327675197</v>
      </c>
      <c r="Z941">
        <v>0.8127778447339925</v>
      </c>
      <c r="AA941">
        <v>0.77782999200022529</v>
      </c>
      <c r="AB941">
        <v>0.8483518723729403</v>
      </c>
      <c r="AC941">
        <v>0.85296032532992794</v>
      </c>
      <c r="AD941">
        <v>0.81524287127855466</v>
      </c>
      <c r="AE941">
        <v>0.49035882616293486</v>
      </c>
      <c r="AH941">
        <v>0.15238643522579598</v>
      </c>
      <c r="AI941">
        <v>0.10579554633223753</v>
      </c>
      <c r="AJ941">
        <v>0.21412173597457107</v>
      </c>
      <c r="AK941">
        <v>0.19781114173287417</v>
      </c>
      <c r="AL941">
        <v>5.3597553309659429E-2</v>
      </c>
      <c r="AM941">
        <v>0.23901266258116516</v>
      </c>
      <c r="AN941">
        <v>0.27225618814655783</v>
      </c>
      <c r="AO941">
        <v>0.17061259209475688</v>
      </c>
      <c r="AR941">
        <v>8.7453864393336356E-4</v>
      </c>
      <c r="AS941">
        <v>4.4819465151204191E-3</v>
      </c>
      <c r="AT941">
        <v>5.1151248912129077E-3</v>
      </c>
      <c r="AU941">
        <v>1.8882909825245011E-3</v>
      </c>
      <c r="AV941">
        <v>2.1174736726526922E-3</v>
      </c>
      <c r="AW941">
        <v>3.3225213643035575E-3</v>
      </c>
      <c r="AX941">
        <v>3.6560362094495392E-4</v>
      </c>
      <c r="AY941">
        <v>4.3407363346905617E-4</v>
      </c>
      <c r="BB941">
        <v>5.1525928454911885E-2</v>
      </c>
      <c r="BC941">
        <v>4.8014058870335719E-2</v>
      </c>
      <c r="BE941">
        <v>68920.503893327041</v>
      </c>
      <c r="BF941">
        <v>17.297469386138108</v>
      </c>
      <c r="BG941">
        <v>69988.696900096387</v>
      </c>
      <c r="BH941">
        <v>17.182453158107293</v>
      </c>
      <c r="BI941">
        <v>-1068.1930067693465</v>
      </c>
      <c r="BJ941">
        <v>0.11501622803081446</v>
      </c>
    </row>
    <row r="942" spans="3:62" x14ac:dyDescent="0.2">
      <c r="C942" s="121">
        <v>77263.207681377971</v>
      </c>
      <c r="D942">
        <v>15.051598336365984</v>
      </c>
      <c r="E942" s="121">
        <v>78977.755709866062</v>
      </c>
      <c r="F942" s="121">
        <v>14.869632460316872</v>
      </c>
      <c r="G942" s="121">
        <v>-1714.5480284880905</v>
      </c>
      <c r="H942" s="121">
        <v>0.1819658760491123</v>
      </c>
      <c r="N942" s="121"/>
      <c r="O942" s="121"/>
      <c r="P942" s="121"/>
      <c r="R942">
        <v>338.23570622052114</v>
      </c>
      <c r="S942">
        <v>64.807791479735414</v>
      </c>
      <c r="T942">
        <v>230.26088340020135</v>
      </c>
      <c r="U942">
        <v>92.298556280066038</v>
      </c>
      <c r="X942">
        <v>0.44537851691367014</v>
      </c>
      <c r="Y942">
        <v>0.87098546181109948</v>
      </c>
      <c r="Z942">
        <v>0.80804836413653136</v>
      </c>
      <c r="AA942">
        <v>0.65308248210199116</v>
      </c>
      <c r="AB942">
        <v>0.57816563541165067</v>
      </c>
      <c r="AC942">
        <v>0.72551145530627403</v>
      </c>
      <c r="AD942">
        <v>0.34850785845848498</v>
      </c>
      <c r="AE942">
        <v>0.71156473903987771</v>
      </c>
      <c r="AH942">
        <v>7.7945427026552272E-2</v>
      </c>
      <c r="AI942">
        <v>3.2861948421664344E-2</v>
      </c>
      <c r="AJ942">
        <v>0.11154722187927668</v>
      </c>
      <c r="AK942">
        <v>0.15826657643135711</v>
      </c>
      <c r="AL942">
        <v>0.22206920030783583</v>
      </c>
      <c r="AM942">
        <v>2.4312442041104054E-2</v>
      </c>
      <c r="AN942">
        <v>0.13482433945325001</v>
      </c>
      <c r="AO942">
        <v>1.6476693670018361E-2</v>
      </c>
      <c r="AR942">
        <v>8.4372190503562649E-4</v>
      </c>
      <c r="AS942">
        <v>4.7208088890822175E-3</v>
      </c>
      <c r="AT942">
        <v>5.002456106131592E-3</v>
      </c>
      <c r="AU942">
        <v>2.1868482560112312E-3</v>
      </c>
      <c r="AV942">
        <v>1.8357320262068076E-3</v>
      </c>
      <c r="AW942">
        <v>3.3005106868348585E-3</v>
      </c>
      <c r="AX942">
        <v>2.8662335552180905E-4</v>
      </c>
      <c r="AY942">
        <v>3.8413206964377407E-4</v>
      </c>
      <c r="BB942">
        <v>5.5811307937518206E-2</v>
      </c>
      <c r="BC942">
        <v>9.2771521090159625E-2</v>
      </c>
      <c r="BE942">
        <v>77263.207681377971</v>
      </c>
      <c r="BF942">
        <v>15.051598336365984</v>
      </c>
      <c r="BG942">
        <v>78977.755709866062</v>
      </c>
      <c r="BH942">
        <v>14.869632460316872</v>
      </c>
      <c r="BI942">
        <v>-1714.5480284880905</v>
      </c>
      <c r="BJ942">
        <v>0.1819658760491123</v>
      </c>
    </row>
    <row r="943" spans="3:62" x14ac:dyDescent="0.2">
      <c r="C943" s="121">
        <v>73330.033246230145</v>
      </c>
      <c r="D943">
        <v>16.942157381488201</v>
      </c>
      <c r="E943" s="121">
        <v>74626.778322013997</v>
      </c>
      <c r="F943" s="121">
        <v>16.820762370841834</v>
      </c>
      <c r="G943" s="121">
        <v>-1296.7450757838524</v>
      </c>
      <c r="H943" s="121">
        <v>0.12139501064636704</v>
      </c>
      <c r="N943" s="121"/>
      <c r="O943" s="121"/>
      <c r="P943" s="121"/>
      <c r="R943">
        <v>270.15644501672858</v>
      </c>
      <c r="S943">
        <v>62.175583766259479</v>
      </c>
      <c r="T943">
        <v>247.42209900578877</v>
      </c>
      <c r="U943">
        <v>112.56199195187351</v>
      </c>
      <c r="X943">
        <v>0.66869560120526916</v>
      </c>
      <c r="Y943">
        <v>0.74967660564189675</v>
      </c>
      <c r="Z943">
        <v>0.95427528749567903</v>
      </c>
      <c r="AA943">
        <v>0.54965114881130861</v>
      </c>
      <c r="AB943">
        <v>0.79796683745670216</v>
      </c>
      <c r="AC943">
        <v>0.43757119740894529</v>
      </c>
      <c r="AD943">
        <v>0.8187384208627928</v>
      </c>
      <c r="AE943">
        <v>0.65664222232792513</v>
      </c>
      <c r="AH943">
        <v>0.32921017051557844</v>
      </c>
      <c r="AI943">
        <v>2.8501328975582885E-2</v>
      </c>
      <c r="AJ943">
        <v>0.10904169104494477</v>
      </c>
      <c r="AK943">
        <v>9.406058582140564E-2</v>
      </c>
      <c r="AL943">
        <v>0.15494082567737322</v>
      </c>
      <c r="AM943">
        <v>3.5217757582903575E-2</v>
      </c>
      <c r="AN943">
        <v>8.760825582265741E-2</v>
      </c>
      <c r="AO943">
        <v>0.31522221258507466</v>
      </c>
      <c r="AR943">
        <v>8.4496399233266537E-4</v>
      </c>
      <c r="AS943">
        <v>4.4000909800260756E-3</v>
      </c>
      <c r="AT943">
        <v>5.3202538903808216E-3</v>
      </c>
      <c r="AU943">
        <v>1.8418438693742461E-3</v>
      </c>
      <c r="AV943">
        <v>2.1215537994084821E-3</v>
      </c>
      <c r="AW943">
        <v>3.10777304116504E-3</v>
      </c>
      <c r="AX943">
        <v>2.9111031724102275E-4</v>
      </c>
      <c r="AY943">
        <v>3.7847361234400221E-4</v>
      </c>
      <c r="BB943">
        <v>4.9591259648830793E-2</v>
      </c>
      <c r="BC943">
        <v>4.1927032517869618E-2</v>
      </c>
      <c r="BE943">
        <v>73330.033246230145</v>
      </c>
      <c r="BF943">
        <v>16.942157381488201</v>
      </c>
      <c r="BG943">
        <v>74626.778322013997</v>
      </c>
      <c r="BH943">
        <v>16.820762370841834</v>
      </c>
      <c r="BI943">
        <v>-1296.7450757838524</v>
      </c>
      <c r="BJ943">
        <v>0.12139501064636704</v>
      </c>
    </row>
    <row r="944" spans="3:62" x14ac:dyDescent="0.2">
      <c r="C944" s="121">
        <v>72585.328247341531</v>
      </c>
      <c r="D944">
        <v>15.160646293935988</v>
      </c>
      <c r="E944" s="121">
        <v>74232.252755967755</v>
      </c>
      <c r="F944" s="121">
        <v>15.006158138509779</v>
      </c>
      <c r="G944" s="121">
        <v>-1646.9245086262235</v>
      </c>
      <c r="H944" s="121">
        <v>0.15448815542620942</v>
      </c>
      <c r="N944" s="121"/>
      <c r="O944" s="121"/>
      <c r="P944" s="121"/>
      <c r="R944">
        <v>299.86822087711704</v>
      </c>
      <c r="S944">
        <v>66.532291728493405</v>
      </c>
      <c r="T944">
        <v>242.31747920991074</v>
      </c>
      <c r="U944">
        <v>99.777502211979396</v>
      </c>
      <c r="X944">
        <v>0.90268585085320041</v>
      </c>
      <c r="Y944">
        <v>0.42762558055808036</v>
      </c>
      <c r="Z944">
        <v>0.83175933873439167</v>
      </c>
      <c r="AA944">
        <v>0.56514207817716366</v>
      </c>
      <c r="AB944">
        <v>0.42160195324160193</v>
      </c>
      <c r="AC944">
        <v>0.86091798770433337</v>
      </c>
      <c r="AD944">
        <v>0.52587564922214625</v>
      </c>
      <c r="AE944">
        <v>0.68648634793323537</v>
      </c>
      <c r="AH944">
        <v>4.4757931045324773E-2</v>
      </c>
      <c r="AI944">
        <v>2.5468683541212567E-2</v>
      </c>
      <c r="AJ944">
        <v>7.4366252237326735E-2</v>
      </c>
      <c r="AK944">
        <v>7.4424004080453243E-2</v>
      </c>
      <c r="AL944">
        <v>7.3679624553287359E-2</v>
      </c>
      <c r="AM944">
        <v>0.2379933900750133</v>
      </c>
      <c r="AN944">
        <v>3.8398638939308838E-2</v>
      </c>
      <c r="AO944">
        <v>0.11528273840286551</v>
      </c>
      <c r="AR944">
        <v>8.2156997852908726E-4</v>
      </c>
      <c r="AS944">
        <v>4.4926576656602931E-3</v>
      </c>
      <c r="AT944">
        <v>5.1545001512048882E-3</v>
      </c>
      <c r="AU944">
        <v>2.013169132485948E-3</v>
      </c>
      <c r="AV944">
        <v>2.1316253087242387E-3</v>
      </c>
      <c r="AW944">
        <v>3.4069543918237022E-3</v>
      </c>
      <c r="AX944">
        <v>4.1619442297013975E-4</v>
      </c>
      <c r="AY944">
        <v>3.8114072305480117E-4</v>
      </c>
      <c r="BB944">
        <v>5.448575646021403E-2</v>
      </c>
      <c r="BC944">
        <v>8.284286549498554E-2</v>
      </c>
      <c r="BE944">
        <v>72585.328247341531</v>
      </c>
      <c r="BF944">
        <v>15.160646293935988</v>
      </c>
      <c r="BG944">
        <v>74232.252755967755</v>
      </c>
      <c r="BH944">
        <v>15.006158138509779</v>
      </c>
      <c r="BI944">
        <v>-1646.9245086262235</v>
      </c>
      <c r="BJ944">
        <v>0.15448815542620942</v>
      </c>
    </row>
    <row r="945" spans="3:62" x14ac:dyDescent="0.2">
      <c r="C945" s="121">
        <v>72841.75193467777</v>
      </c>
      <c r="D945">
        <v>15.759282168183287</v>
      </c>
      <c r="E945" s="121">
        <v>74655.607154165133</v>
      </c>
      <c r="F945" s="121">
        <v>15.587715516057699</v>
      </c>
      <c r="G945" s="121">
        <v>-1813.8552194873628</v>
      </c>
      <c r="H945" s="121">
        <v>0.17156665212558764</v>
      </c>
      <c r="N945" s="121"/>
      <c r="O945" s="121"/>
      <c r="P945" s="121"/>
      <c r="R945">
        <v>253.52715241855407</v>
      </c>
      <c r="S945">
        <v>54.776841542429686</v>
      </c>
      <c r="T945">
        <v>276.23179565714571</v>
      </c>
      <c r="U945">
        <v>107.53174676395294</v>
      </c>
      <c r="X945">
        <v>0.55013156667777374</v>
      </c>
      <c r="Y945">
        <v>0.82573151973413861</v>
      </c>
      <c r="Z945">
        <v>0.40938468264894895</v>
      </c>
      <c r="AA945">
        <v>0.87770121810563118</v>
      </c>
      <c r="AB945">
        <v>0.77443373950777983</v>
      </c>
      <c r="AC945">
        <v>0.8064107969520441</v>
      </c>
      <c r="AD945">
        <v>0.98325263466680302</v>
      </c>
      <c r="AE945">
        <v>0.74810452855686649</v>
      </c>
      <c r="AH945">
        <v>4.8792379174113276E-2</v>
      </c>
      <c r="AI945">
        <v>0.24950146005365736</v>
      </c>
      <c r="AJ945">
        <v>7.383736821302278E-2</v>
      </c>
      <c r="AK945">
        <v>4.1018046911698747E-2</v>
      </c>
      <c r="AL945">
        <v>5.7684102033537688E-2</v>
      </c>
      <c r="AM945">
        <v>0.22767900878497249</v>
      </c>
      <c r="AN945">
        <v>0.17444723008417518</v>
      </c>
      <c r="AO945">
        <v>0.31813852026454004</v>
      </c>
      <c r="AR945">
        <v>9.2524391469583911E-4</v>
      </c>
      <c r="AS945">
        <v>4.3547611412473996E-3</v>
      </c>
      <c r="AT945">
        <v>4.8021267998568182E-3</v>
      </c>
      <c r="AU945">
        <v>2.0601831513253899E-3</v>
      </c>
      <c r="AV945">
        <v>1.9482485558825085E-3</v>
      </c>
      <c r="AW945">
        <v>3.521865197819829E-3</v>
      </c>
      <c r="AX945">
        <v>3.4623270025294886E-4</v>
      </c>
      <c r="AY945">
        <v>3.9371930820293036E-4</v>
      </c>
      <c r="BB945">
        <v>4.883372768929569E-2</v>
      </c>
      <c r="BC945">
        <v>4.4153095010154741E-2</v>
      </c>
      <c r="BE945">
        <v>72841.75193467777</v>
      </c>
      <c r="BF945">
        <v>15.759282168183287</v>
      </c>
      <c r="BG945">
        <v>74655.607154165133</v>
      </c>
      <c r="BH945">
        <v>15.587715516057699</v>
      </c>
      <c r="BI945">
        <v>-1813.8552194873628</v>
      </c>
      <c r="BJ945">
        <v>0.17156665212558764</v>
      </c>
    </row>
    <row r="946" spans="3:62" x14ac:dyDescent="0.2">
      <c r="C946" s="121">
        <v>68309.501918622409</v>
      </c>
      <c r="D946">
        <v>16.484061282761239</v>
      </c>
      <c r="E946" s="121">
        <v>70108.451171842462</v>
      </c>
      <c r="F946" s="121">
        <v>16.324682430887172</v>
      </c>
      <c r="G946" s="121">
        <v>-1798.9492532200529</v>
      </c>
      <c r="H946" s="121">
        <v>0.15937885187406664</v>
      </c>
      <c r="N946" s="121"/>
      <c r="O946" s="121"/>
      <c r="P946" s="121"/>
      <c r="R946">
        <v>432.9221358421438</v>
      </c>
      <c r="S946">
        <v>68.43672440574592</v>
      </c>
      <c r="T946">
        <v>290.75946956146458</v>
      </c>
      <c r="U946">
        <v>92.678023783505594</v>
      </c>
      <c r="X946">
        <v>0.62338573405548259</v>
      </c>
      <c r="Y946">
        <v>0.72679408926428202</v>
      </c>
      <c r="Z946">
        <v>0.81758376659959353</v>
      </c>
      <c r="AA946">
        <v>0.90083681580708097</v>
      </c>
      <c r="AB946">
        <v>0.79748444416980035</v>
      </c>
      <c r="AC946">
        <v>0.7596405263534145</v>
      </c>
      <c r="AD946">
        <v>0.58131276428331669</v>
      </c>
      <c r="AE946">
        <v>0.84956624711920803</v>
      </c>
      <c r="AH946">
        <v>4.9482954851041594E-2</v>
      </c>
      <c r="AI946">
        <v>3.855146113077268E-2</v>
      </c>
      <c r="AJ946">
        <v>9.3114818271311073E-2</v>
      </c>
      <c r="AK946">
        <v>0.12926831006100281</v>
      </c>
      <c r="AL946">
        <v>8.7249357769333846E-2</v>
      </c>
      <c r="AM946">
        <v>0.2805626869662281</v>
      </c>
      <c r="AN946">
        <v>0.18816669800128849</v>
      </c>
      <c r="AO946">
        <v>4.3384954765272155E-2</v>
      </c>
      <c r="AR946">
        <v>8.0728296110970581E-4</v>
      </c>
      <c r="AS946">
        <v>4.8801808982223971E-3</v>
      </c>
      <c r="AT946">
        <v>5.159414169340959E-3</v>
      </c>
      <c r="AU946">
        <v>1.983664169467408E-3</v>
      </c>
      <c r="AV946">
        <v>2.0078657687411239E-3</v>
      </c>
      <c r="AW946">
        <v>3.123805404252643E-3</v>
      </c>
      <c r="AX946">
        <v>4.6266351608259537E-4</v>
      </c>
      <c r="AY946">
        <v>4.3211651915414857E-4</v>
      </c>
      <c r="BB946">
        <v>4.6422107062626644E-2</v>
      </c>
      <c r="BC946">
        <v>6.5415589934882834E-2</v>
      </c>
      <c r="BE946">
        <v>68309.501918622409</v>
      </c>
      <c r="BF946">
        <v>16.484061282761239</v>
      </c>
      <c r="BG946">
        <v>70108.451171842462</v>
      </c>
      <c r="BH946">
        <v>16.324682430887172</v>
      </c>
      <c r="BI946">
        <v>-1798.9492532200529</v>
      </c>
      <c r="BJ946">
        <v>0.15937885187406664</v>
      </c>
    </row>
    <row r="947" spans="3:62" x14ac:dyDescent="0.2">
      <c r="C947" s="121">
        <v>68835.904783166858</v>
      </c>
      <c r="D947">
        <v>16.653385622422789</v>
      </c>
      <c r="E947" s="121">
        <v>70909.139731540781</v>
      </c>
      <c r="F947" s="121">
        <v>16.488589817927441</v>
      </c>
      <c r="G947" s="121">
        <v>-2073.2349483739235</v>
      </c>
      <c r="H947" s="121">
        <v>0.16479580449534836</v>
      </c>
      <c r="N947" s="121"/>
      <c r="O947" s="121"/>
      <c r="P947" s="121"/>
      <c r="R947">
        <v>352.38302022553194</v>
      </c>
      <c r="S947">
        <v>59.633927219090886</v>
      </c>
      <c r="T947">
        <v>257.7850613238881</v>
      </c>
      <c r="U947">
        <v>94.451804201177836</v>
      </c>
      <c r="X947">
        <v>0.4115899720013087</v>
      </c>
      <c r="Y947">
        <v>0.92752823740572699</v>
      </c>
      <c r="Z947">
        <v>0.78423491756713126</v>
      </c>
      <c r="AA947">
        <v>0.843813008025732</v>
      </c>
      <c r="AB947">
        <v>0.78964984643967595</v>
      </c>
      <c r="AC947">
        <v>0.64407067036171839</v>
      </c>
      <c r="AD947">
        <v>0.65118160619650789</v>
      </c>
      <c r="AE947">
        <v>0.66805852860994464</v>
      </c>
      <c r="AH947">
        <v>0.39245540606112639</v>
      </c>
      <c r="AI947">
        <v>8.6554917114639585E-3</v>
      </c>
      <c r="AJ947">
        <v>0.16170996921262903</v>
      </c>
      <c r="AK947">
        <v>0.2865682695579217</v>
      </c>
      <c r="AL947">
        <v>4.8798732591241789E-2</v>
      </c>
      <c r="AM947">
        <v>0.20739329641199844</v>
      </c>
      <c r="AN947">
        <v>0.14640680648218085</v>
      </c>
      <c r="AO947">
        <v>8.8915918918235581E-2</v>
      </c>
      <c r="AR947">
        <v>8.7873005652867669E-4</v>
      </c>
      <c r="AS947">
        <v>4.388553155664371E-3</v>
      </c>
      <c r="AT947">
        <v>4.4022696044463778E-3</v>
      </c>
      <c r="AU947">
        <v>1.8683885212678263E-3</v>
      </c>
      <c r="AV947">
        <v>2.0578409180623813E-3</v>
      </c>
      <c r="AW947">
        <v>3.8020810274267403E-3</v>
      </c>
      <c r="AX947">
        <v>4.278213872871417E-4</v>
      </c>
      <c r="AY947">
        <v>3.5292149588225644E-4</v>
      </c>
      <c r="BB947">
        <v>4.6845018829799467E-2</v>
      </c>
      <c r="BC947">
        <v>9.0523432468483933E-2</v>
      </c>
      <c r="BE947">
        <v>68835.904783166858</v>
      </c>
      <c r="BF947">
        <v>16.653385622422789</v>
      </c>
      <c r="BG947">
        <v>70909.139731540781</v>
      </c>
      <c r="BH947">
        <v>16.488589817927441</v>
      </c>
      <c r="BI947">
        <v>-2073.2349483739235</v>
      </c>
      <c r="BJ947">
        <v>0.16479580449534836</v>
      </c>
    </row>
    <row r="948" spans="3:62" x14ac:dyDescent="0.2">
      <c r="C948" s="121">
        <v>76380.945634663949</v>
      </c>
      <c r="D948">
        <v>15.567075924308689</v>
      </c>
      <c r="E948" s="121">
        <v>78745.810031918198</v>
      </c>
      <c r="F948" s="121">
        <v>15.451813211918827</v>
      </c>
      <c r="G948" s="121">
        <v>-2364.8643972542486</v>
      </c>
      <c r="H948" s="121">
        <v>0.11526271238986219</v>
      </c>
      <c r="N948" s="121"/>
      <c r="O948" s="121"/>
      <c r="P948" s="121"/>
      <c r="R948">
        <v>268.70092864668544</v>
      </c>
      <c r="S948">
        <v>59.684946104507091</v>
      </c>
      <c r="T948">
        <v>246.98887147249701</v>
      </c>
      <c r="U948">
        <v>98.928100258482644</v>
      </c>
      <c r="X948">
        <v>0.4221883690396217</v>
      </c>
      <c r="Y948">
        <v>0.7153327904278266</v>
      </c>
      <c r="Z948">
        <v>0.66244301474365785</v>
      </c>
      <c r="AA948">
        <v>0.92478718546477345</v>
      </c>
      <c r="AB948">
        <v>0.77007149061728442</v>
      </c>
      <c r="AC948">
        <v>0.6778096391976437</v>
      </c>
      <c r="AD948">
        <v>0.8196924820887852</v>
      </c>
      <c r="AE948">
        <v>0.75433665256212434</v>
      </c>
      <c r="AH948">
        <v>0.26232993776908398</v>
      </c>
      <c r="AI948">
        <v>6.8906127629478786E-2</v>
      </c>
      <c r="AJ948">
        <v>5.749554457775341E-2</v>
      </c>
      <c r="AK948">
        <v>0.18557743648194247</v>
      </c>
      <c r="AL948">
        <v>7.0822355205845788E-2</v>
      </c>
      <c r="AM948">
        <v>7.6133656419204221E-2</v>
      </c>
      <c r="AN948">
        <v>0.17203591545867047</v>
      </c>
      <c r="AO948">
        <v>6.6430649926255358E-2</v>
      </c>
      <c r="AR948">
        <v>9.9832452258097337E-4</v>
      </c>
      <c r="AS948">
        <v>4.4406664128146889E-3</v>
      </c>
      <c r="AT948">
        <v>4.9592451744921995E-3</v>
      </c>
      <c r="AU948">
        <v>1.7524412271917079E-3</v>
      </c>
      <c r="AV948">
        <v>1.8866507555525937E-3</v>
      </c>
      <c r="AW948">
        <v>3.1385523363479228E-3</v>
      </c>
      <c r="AX948">
        <v>4.4002305006574094E-4</v>
      </c>
      <c r="AY948">
        <v>3.2123488958316976E-4</v>
      </c>
      <c r="BB948">
        <v>5.5498809273301974E-2</v>
      </c>
      <c r="BC948">
        <v>4.8212683313812232E-2</v>
      </c>
      <c r="BE948">
        <v>76380.945634663949</v>
      </c>
      <c r="BF948">
        <v>15.567075924308689</v>
      </c>
      <c r="BG948">
        <v>78745.810031918198</v>
      </c>
      <c r="BH948">
        <v>15.451813211918827</v>
      </c>
      <c r="BI948">
        <v>-2364.8643972542486</v>
      </c>
      <c r="BJ948">
        <v>0.11526271238986219</v>
      </c>
    </row>
    <row r="949" spans="3:62" x14ac:dyDescent="0.2">
      <c r="C949" s="121">
        <v>74488.916477790131</v>
      </c>
      <c r="D949">
        <v>15.717789417536901</v>
      </c>
      <c r="E949" s="121">
        <v>76782.950759652929</v>
      </c>
      <c r="F949" s="121">
        <v>15.53268861568737</v>
      </c>
      <c r="G949" s="121">
        <v>-2294.0342818627978</v>
      </c>
      <c r="H949" s="121">
        <v>0.18510080184953104</v>
      </c>
      <c r="N949" s="121"/>
      <c r="O949" s="121"/>
      <c r="P949" s="121"/>
      <c r="R949">
        <v>219.23455468246809</v>
      </c>
      <c r="S949">
        <v>56.061601085242657</v>
      </c>
      <c r="T949">
        <v>241.24520503845957</v>
      </c>
      <c r="U949">
        <v>92.842959773220016</v>
      </c>
      <c r="X949">
        <v>0.85590204235607958</v>
      </c>
      <c r="Y949">
        <v>0.80224312419051635</v>
      </c>
      <c r="Z949">
        <v>0.71854120059127613</v>
      </c>
      <c r="AA949">
        <v>0.83437555179809098</v>
      </c>
      <c r="AB949">
        <v>0.92144096717687374</v>
      </c>
      <c r="AC949">
        <v>0.98363975152758054</v>
      </c>
      <c r="AD949">
        <v>0.72556443619874744</v>
      </c>
      <c r="AE949">
        <v>0.66117346645035369</v>
      </c>
      <c r="AH949">
        <v>0.12997830059938142</v>
      </c>
      <c r="AI949">
        <v>0.12097518295219467</v>
      </c>
      <c r="AJ949">
        <v>6.4872353383445991E-2</v>
      </c>
      <c r="AK949">
        <v>3.5078611724891795E-2</v>
      </c>
      <c r="AL949">
        <v>0.14396905900112433</v>
      </c>
      <c r="AM949">
        <v>0.19385016168954905</v>
      </c>
      <c r="AN949">
        <v>8.6500973161782402E-2</v>
      </c>
      <c r="AO949">
        <v>6.4227981508967358E-2</v>
      </c>
      <c r="AR949">
        <v>1.0531919609718665E-3</v>
      </c>
      <c r="AS949">
        <v>4.6878360059012802E-3</v>
      </c>
      <c r="AT949">
        <v>5.0730947354307165E-3</v>
      </c>
      <c r="AU949">
        <v>1.7584717819602233E-3</v>
      </c>
      <c r="AV949">
        <v>2.1535281937302697E-3</v>
      </c>
      <c r="AW949">
        <v>3.5630897397327388E-3</v>
      </c>
      <c r="AX949">
        <v>2.7241779036767534E-4</v>
      </c>
      <c r="AY949">
        <v>5.2974048002207841E-4</v>
      </c>
      <c r="BB949">
        <v>5.0263158140600339E-2</v>
      </c>
      <c r="BC949">
        <v>2.33774324565547E-2</v>
      </c>
      <c r="BE949">
        <v>74488.916477790131</v>
      </c>
      <c r="BF949">
        <v>15.717789417536901</v>
      </c>
      <c r="BG949">
        <v>76782.950759652929</v>
      </c>
      <c r="BH949">
        <v>15.53268861568737</v>
      </c>
      <c r="BI949">
        <v>-2294.0342818627978</v>
      </c>
      <c r="BJ949">
        <v>0.18510080184953104</v>
      </c>
    </row>
    <row r="950" spans="3:62" x14ac:dyDescent="0.2">
      <c r="C950" s="121">
        <v>69753.308421908208</v>
      </c>
      <c r="D950">
        <v>16.238533584650675</v>
      </c>
      <c r="E950" s="121">
        <v>71645.082631205791</v>
      </c>
      <c r="F950" s="121">
        <v>16.046973057173339</v>
      </c>
      <c r="G950" s="121">
        <v>-1891.7742092975823</v>
      </c>
      <c r="H950" s="121">
        <v>0.19156052747733554</v>
      </c>
      <c r="N950" s="121"/>
      <c r="O950" s="121"/>
      <c r="P950" s="121"/>
      <c r="R950">
        <v>141.19569968390891</v>
      </c>
      <c r="S950">
        <v>52.645582297838409</v>
      </c>
      <c r="T950">
        <v>199.71585930790599</v>
      </c>
      <c r="U950">
        <v>97.28051979985365</v>
      </c>
      <c r="X950">
        <v>0.90821468641033232</v>
      </c>
      <c r="Y950">
        <v>0.71833107155916931</v>
      </c>
      <c r="Z950">
        <v>0.83306751023512349</v>
      </c>
      <c r="AA950">
        <v>0.93084693955407727</v>
      </c>
      <c r="AB950">
        <v>0.43443056880198416</v>
      </c>
      <c r="AC950">
        <v>0.67873377513901323</v>
      </c>
      <c r="AD950">
        <v>0.80920424047216943</v>
      </c>
      <c r="AE950">
        <v>0.88247485671633297</v>
      </c>
      <c r="AH950">
        <v>4.9262878502621232E-2</v>
      </c>
      <c r="AI950">
        <v>0.23007656121946307</v>
      </c>
      <c r="AJ950">
        <v>0.21635964736977842</v>
      </c>
      <c r="AK950">
        <v>0.13713689885184799</v>
      </c>
      <c r="AL950">
        <v>0.12564005624958885</v>
      </c>
      <c r="AM950">
        <v>0.15948563742629107</v>
      </c>
      <c r="AN950">
        <v>0.28324976084472397</v>
      </c>
      <c r="AO950">
        <v>0.2157723242707893</v>
      </c>
      <c r="AR950">
        <v>1.0673132903926685E-3</v>
      </c>
      <c r="AS950">
        <v>4.4754961161185044E-3</v>
      </c>
      <c r="AT950">
        <v>5.0069469805047451E-3</v>
      </c>
      <c r="AU950">
        <v>1.9890819366883664E-3</v>
      </c>
      <c r="AV950">
        <v>1.9888850913471192E-3</v>
      </c>
      <c r="AW950">
        <v>3.2102513628580174E-3</v>
      </c>
      <c r="AX950">
        <v>3.4760609499047017E-4</v>
      </c>
      <c r="AY950">
        <v>4.3328254106545606E-4</v>
      </c>
      <c r="BB950">
        <v>4.9536228509535742E-2</v>
      </c>
      <c r="BC950">
        <v>4.8396028956591675E-2</v>
      </c>
      <c r="BE950">
        <v>69753.308421908208</v>
      </c>
      <c r="BF950">
        <v>16.238533584650675</v>
      </c>
      <c r="BG950">
        <v>71645.082631205791</v>
      </c>
      <c r="BH950">
        <v>16.046973057173339</v>
      </c>
      <c r="BI950">
        <v>-1891.7742092975823</v>
      </c>
      <c r="BJ950">
        <v>0.19156052747733554</v>
      </c>
    </row>
    <row r="951" spans="3:62" x14ac:dyDescent="0.2">
      <c r="C951" s="121">
        <v>71345.547300617429</v>
      </c>
      <c r="D951">
        <v>15.93587195306368</v>
      </c>
      <c r="E951" s="121">
        <v>72821.227398762101</v>
      </c>
      <c r="F951" s="121">
        <v>15.816832186602321</v>
      </c>
      <c r="G951" s="121">
        <v>-1475.6800981446722</v>
      </c>
      <c r="H951" s="121">
        <v>0.11903976646135916</v>
      </c>
      <c r="N951" s="121"/>
      <c r="O951" s="121"/>
      <c r="P951" s="121"/>
      <c r="R951">
        <v>196.15231934918924</v>
      </c>
      <c r="S951">
        <v>60.061786137036933</v>
      </c>
      <c r="T951">
        <v>230.29184352171396</v>
      </c>
      <c r="U951">
        <v>91.508263535483351</v>
      </c>
      <c r="X951">
        <v>0.72632459459662568</v>
      </c>
      <c r="Y951">
        <v>0.54381331420094725</v>
      </c>
      <c r="Z951">
        <v>0.57894227141720589</v>
      </c>
      <c r="AA951">
        <v>0.87050496300080471</v>
      </c>
      <c r="AB951">
        <v>0.80945533334772557</v>
      </c>
      <c r="AC951">
        <v>0.91736720932695115</v>
      </c>
      <c r="AD951">
        <v>0.64827760881016139</v>
      </c>
      <c r="AE951">
        <v>0.38778064792606248</v>
      </c>
      <c r="AH951">
        <v>0.14627843325062106</v>
      </c>
      <c r="AI951">
        <v>0.12330036403855804</v>
      </c>
      <c r="AJ951">
        <v>3.411512515436288E-2</v>
      </c>
      <c r="AK951">
        <v>0.11364558911991807</v>
      </c>
      <c r="AL951">
        <v>0.11916270014855024</v>
      </c>
      <c r="AM951">
        <v>4.6043767875752706E-2</v>
      </c>
      <c r="AN951">
        <v>2.1322698468562495E-2</v>
      </c>
      <c r="AO951">
        <v>1.9022888149384354E-2</v>
      </c>
      <c r="AR951">
        <v>8.7816833900656839E-4</v>
      </c>
      <c r="AS951">
        <v>4.3259901892040778E-3</v>
      </c>
      <c r="AT951">
        <v>4.9184794403525087E-3</v>
      </c>
      <c r="AU951">
        <v>2.176105448213006E-3</v>
      </c>
      <c r="AV951">
        <v>2.088206730367137E-3</v>
      </c>
      <c r="AW951">
        <v>3.5828148664989179E-3</v>
      </c>
      <c r="AX951">
        <v>4.6638948695465476E-4</v>
      </c>
      <c r="AY951">
        <v>3.5322436985527679E-4</v>
      </c>
      <c r="BB951">
        <v>4.2917996368730421E-2</v>
      </c>
      <c r="BC951">
        <v>5.7168309625486136E-2</v>
      </c>
      <c r="BE951">
        <v>71345.547300617429</v>
      </c>
      <c r="BF951">
        <v>15.93587195306368</v>
      </c>
      <c r="BG951">
        <v>72821.227398762101</v>
      </c>
      <c r="BH951">
        <v>15.816832186602321</v>
      </c>
      <c r="BI951">
        <v>-1475.6800981446722</v>
      </c>
      <c r="BJ951">
        <v>0.11903976646135916</v>
      </c>
    </row>
    <row r="952" spans="3:62" x14ac:dyDescent="0.2">
      <c r="C952" s="121">
        <v>73940.509748488854</v>
      </c>
      <c r="D952">
        <v>15.273298857351579</v>
      </c>
      <c r="E952" s="121">
        <v>75015.847009384888</v>
      </c>
      <c r="F952" s="121">
        <v>15.151818435032208</v>
      </c>
      <c r="G952" s="121">
        <v>-1075.3372608960344</v>
      </c>
      <c r="H952" s="121">
        <v>0.12148042231937062</v>
      </c>
      <c r="N952" s="121"/>
      <c r="O952" s="121"/>
      <c r="P952" s="121"/>
      <c r="R952">
        <v>327.48273268766542</v>
      </c>
      <c r="S952">
        <v>68.905190295102969</v>
      </c>
      <c r="T952">
        <v>227.08945222684892</v>
      </c>
      <c r="U952">
        <v>89.810530409539211</v>
      </c>
      <c r="X952">
        <v>0.70088875117570781</v>
      </c>
      <c r="Y952">
        <v>0.60426040232757727</v>
      </c>
      <c r="Z952">
        <v>0.87688266721007324</v>
      </c>
      <c r="AA952">
        <v>0.68705356025374731</v>
      </c>
      <c r="AB952">
        <v>0.78142390736214984</v>
      </c>
      <c r="AC952">
        <v>0.94806969972043542</v>
      </c>
      <c r="AD952">
        <v>0.7257793582967158</v>
      </c>
      <c r="AE952">
        <v>0.85654506168252487</v>
      </c>
      <c r="AH952">
        <v>0.24445672748455805</v>
      </c>
      <c r="AI952">
        <v>1.0691456585684822E-2</v>
      </c>
      <c r="AJ952">
        <v>0.1356156431920913</v>
      </c>
      <c r="AK952">
        <v>1.3324814177971822E-2</v>
      </c>
      <c r="AL952">
        <v>8.4439751829157417E-2</v>
      </c>
      <c r="AM952">
        <v>4.4430719577376654E-2</v>
      </c>
      <c r="AN952">
        <v>9.6934099734294787E-2</v>
      </c>
      <c r="AO952">
        <v>0.26450485229827236</v>
      </c>
      <c r="AR952">
        <v>7.4051060675417663E-4</v>
      </c>
      <c r="AS952">
        <v>4.7660599347694177E-3</v>
      </c>
      <c r="AT952">
        <v>5.0222544883781195E-3</v>
      </c>
      <c r="AU952">
        <v>2.0701420128169667E-3</v>
      </c>
      <c r="AV952">
        <v>2.0082909456291542E-3</v>
      </c>
      <c r="AW952">
        <v>3.4231632879107021E-3</v>
      </c>
      <c r="AX952">
        <v>3.2853625107424921E-4</v>
      </c>
      <c r="AY952">
        <v>5.3270931926074905E-4</v>
      </c>
      <c r="BB952">
        <v>4.9260482811769611E-2</v>
      </c>
      <c r="BC952">
        <v>2.3470684800534998E-2</v>
      </c>
      <c r="BE952">
        <v>73940.509748488854</v>
      </c>
      <c r="BF952">
        <v>15.273298857351579</v>
      </c>
      <c r="BG952">
        <v>75015.847009384888</v>
      </c>
      <c r="BH952">
        <v>15.151818435032208</v>
      </c>
      <c r="BI952">
        <v>-1075.3372608960344</v>
      </c>
      <c r="BJ952">
        <v>0.12148042231937062</v>
      </c>
    </row>
    <row r="953" spans="3:62" x14ac:dyDescent="0.2">
      <c r="C953" s="121">
        <v>71874.989979625025</v>
      </c>
      <c r="D953">
        <v>15.736783864487919</v>
      </c>
      <c r="E953" s="121">
        <v>73160.886413747023</v>
      </c>
      <c r="F953" s="121">
        <v>15.620279194531044</v>
      </c>
      <c r="G953" s="121">
        <v>-1285.896434121998</v>
      </c>
      <c r="H953" s="121">
        <v>0.11650466995687481</v>
      </c>
      <c r="N953" s="121"/>
      <c r="O953" s="121"/>
      <c r="P953" s="121"/>
      <c r="R953">
        <v>291.79551960731635</v>
      </c>
      <c r="S953">
        <v>57.0808867672798</v>
      </c>
      <c r="T953">
        <v>181.1377477109373</v>
      </c>
      <c r="U953">
        <v>103.86236345412307</v>
      </c>
      <c r="X953">
        <v>0.87611654033520803</v>
      </c>
      <c r="Y953">
        <v>0.65577629261127901</v>
      </c>
      <c r="Z953">
        <v>0.51918001146465964</v>
      </c>
      <c r="AA953">
        <v>0.78596937780197229</v>
      </c>
      <c r="AB953">
        <v>0.85965511402454753</v>
      </c>
      <c r="AC953">
        <v>0.62287676537492942</v>
      </c>
      <c r="AD953">
        <v>0.77839484299293582</v>
      </c>
      <c r="AE953">
        <v>0.83226124221567566</v>
      </c>
      <c r="AH953">
        <v>0.21313580486068884</v>
      </c>
      <c r="AI953">
        <v>0.14386170980527369</v>
      </c>
      <c r="AJ953">
        <v>0.10755316767827083</v>
      </c>
      <c r="AK953">
        <v>0.1157144688164421</v>
      </c>
      <c r="AL953">
        <v>7.703162704104205E-3</v>
      </c>
      <c r="AM953">
        <v>0.16705969625309602</v>
      </c>
      <c r="AN953">
        <v>1.1749470458405908E-2</v>
      </c>
      <c r="AO953">
        <v>0.16088457963670821</v>
      </c>
      <c r="AR953">
        <v>9.250681627145374E-4</v>
      </c>
      <c r="AS953">
        <v>4.4085019395460612E-3</v>
      </c>
      <c r="AT953">
        <v>4.8871555319653587E-3</v>
      </c>
      <c r="AU953">
        <v>2.012754899497704E-3</v>
      </c>
      <c r="AV953">
        <v>2.0165979358207631E-3</v>
      </c>
      <c r="AW953">
        <v>3.6330150814416484E-3</v>
      </c>
      <c r="AX953">
        <v>3.6512136854550546E-4</v>
      </c>
      <c r="AY953">
        <v>3.9297184688982844E-4</v>
      </c>
      <c r="BB953">
        <v>5.0865454286435186E-2</v>
      </c>
      <c r="BC953">
        <v>4.6943641641175149E-2</v>
      </c>
      <c r="BE953">
        <v>71874.989979625025</v>
      </c>
      <c r="BF953">
        <v>15.736783864487919</v>
      </c>
      <c r="BG953">
        <v>73160.886413747023</v>
      </c>
      <c r="BH953">
        <v>15.620279194531044</v>
      </c>
      <c r="BI953">
        <v>-1285.896434121998</v>
      </c>
      <c r="BJ953">
        <v>0.11650466995687481</v>
      </c>
    </row>
    <row r="954" spans="3:62" x14ac:dyDescent="0.2">
      <c r="C954" s="121">
        <v>69507.784324611828</v>
      </c>
      <c r="D954">
        <v>18.407049817442406</v>
      </c>
      <c r="E954" s="121">
        <v>70958.637423864988</v>
      </c>
      <c r="F954" s="121">
        <v>18.284365047888485</v>
      </c>
      <c r="G954" s="121">
        <v>-1450.8530992531596</v>
      </c>
      <c r="H954" s="121">
        <v>0.1226847695539206</v>
      </c>
      <c r="N954" s="121"/>
      <c r="O954" s="121"/>
      <c r="P954" s="121"/>
      <c r="R954">
        <v>371.20116015304893</v>
      </c>
      <c r="S954">
        <v>62.67839514138398</v>
      </c>
      <c r="T954">
        <v>267.87173067472958</v>
      </c>
      <c r="U954">
        <v>85.839844773410945</v>
      </c>
      <c r="X954">
        <v>0.68761800485840807</v>
      </c>
      <c r="Y954">
        <v>0.81205067723454472</v>
      </c>
      <c r="Z954">
        <v>0.57880707613723092</v>
      </c>
      <c r="AA954">
        <v>0.62354204718358508</v>
      </c>
      <c r="AB954">
        <v>0.75941261882801692</v>
      </c>
      <c r="AC954">
        <v>0.69834741546543888</v>
      </c>
      <c r="AD954">
        <v>0.71566907198784813</v>
      </c>
      <c r="AE954">
        <v>0.67274334721680817</v>
      </c>
      <c r="AH954">
        <v>0.1837997592260695</v>
      </c>
      <c r="AI954">
        <v>5.1684044047398792E-2</v>
      </c>
      <c r="AJ954">
        <v>0.16839923419616665</v>
      </c>
      <c r="AK954">
        <v>0.2049794822331501</v>
      </c>
      <c r="AL954">
        <v>8.6628304018017688E-2</v>
      </c>
      <c r="AM954">
        <v>5.151803292052537E-2</v>
      </c>
      <c r="AN954">
        <v>0.21611577714144903</v>
      </c>
      <c r="AO954">
        <v>0.15946512521523792</v>
      </c>
      <c r="AR954">
        <v>9.3134237008318799E-4</v>
      </c>
      <c r="AS954">
        <v>4.4354559426245709E-3</v>
      </c>
      <c r="AT954">
        <v>4.5842908543496244E-3</v>
      </c>
      <c r="AU954">
        <v>1.8816990904639765E-3</v>
      </c>
      <c r="AV954">
        <v>1.8483081589424604E-3</v>
      </c>
      <c r="AW954">
        <v>3.3495317173721259E-3</v>
      </c>
      <c r="AX954">
        <v>3.6038633587178864E-4</v>
      </c>
      <c r="AY954">
        <v>5.214516735327912E-4</v>
      </c>
      <c r="BB954">
        <v>5.4918722450441382E-2</v>
      </c>
      <c r="BC954">
        <v>3.4434215970519592E-2</v>
      </c>
      <c r="BE954">
        <v>69507.784324611828</v>
      </c>
      <c r="BF954">
        <v>18.407049817442406</v>
      </c>
      <c r="BG954">
        <v>70958.637423864988</v>
      </c>
      <c r="BH954">
        <v>18.284365047888485</v>
      </c>
      <c r="BI954">
        <v>-1450.8530992531596</v>
      </c>
      <c r="BJ954">
        <v>0.1226847695539206</v>
      </c>
    </row>
    <row r="955" spans="3:62" x14ac:dyDescent="0.2">
      <c r="C955" s="121">
        <v>74915.126473632205</v>
      </c>
      <c r="D955">
        <v>16.641800619202822</v>
      </c>
      <c r="E955" s="121">
        <v>77171.214765357436</v>
      </c>
      <c r="F955" s="121">
        <v>16.486269899185579</v>
      </c>
      <c r="G955" s="121">
        <v>-2256.0882917252311</v>
      </c>
      <c r="H955" s="121">
        <v>0.15553072001724288</v>
      </c>
      <c r="N955" s="121"/>
      <c r="O955" s="121"/>
      <c r="P955" s="121"/>
      <c r="R955">
        <v>138.48366788689637</v>
      </c>
      <c r="S955">
        <v>67.069707958107841</v>
      </c>
      <c r="T955">
        <v>275.72741266353415</v>
      </c>
      <c r="U955">
        <v>92.847121002672921</v>
      </c>
      <c r="X955">
        <v>0.61565272832617635</v>
      </c>
      <c r="Y955">
        <v>0.93360927212042533</v>
      </c>
      <c r="Z955">
        <v>0.74952785617510087</v>
      </c>
      <c r="AA955">
        <v>0.71946306206044974</v>
      </c>
      <c r="AB955">
        <v>0.92821338115133756</v>
      </c>
      <c r="AC955">
        <v>0.68239195898127691</v>
      </c>
      <c r="AD955">
        <v>0.92503241542428327</v>
      </c>
      <c r="AE955">
        <v>0.71946079258511519</v>
      </c>
      <c r="AH955">
        <v>0.23620460582301561</v>
      </c>
      <c r="AI955">
        <v>6.7845200327485422E-2</v>
      </c>
      <c r="AJ955">
        <v>5.9066384869701838E-2</v>
      </c>
      <c r="AK955">
        <v>7.5341188445203766E-2</v>
      </c>
      <c r="AL955">
        <v>6.4240362636153403E-2</v>
      </c>
      <c r="AM955">
        <v>0.19603449701204068</v>
      </c>
      <c r="AN955">
        <v>0.1945407088937654</v>
      </c>
      <c r="AO955">
        <v>6.7937906287473537E-2</v>
      </c>
      <c r="AR955">
        <v>9.1767528210406901E-4</v>
      </c>
      <c r="AS955">
        <v>4.3171837373422355E-3</v>
      </c>
      <c r="AT955">
        <v>5.0407413298531045E-3</v>
      </c>
      <c r="AU955">
        <v>2.2017033289550847E-3</v>
      </c>
      <c r="AV955">
        <v>2.1449725122741903E-3</v>
      </c>
      <c r="AW955">
        <v>3.3278892715978762E-3</v>
      </c>
      <c r="AX955">
        <v>4.723542143506565E-4</v>
      </c>
      <c r="AY955">
        <v>4.8904411875694276E-4</v>
      </c>
      <c r="BB955">
        <v>3.8906036287455363E-2</v>
      </c>
      <c r="BC955">
        <v>7.6097392399465447E-2</v>
      </c>
      <c r="BE955">
        <v>74915.126473632205</v>
      </c>
      <c r="BF955">
        <v>16.641800619202822</v>
      </c>
      <c r="BG955">
        <v>77171.214765357436</v>
      </c>
      <c r="BH955">
        <v>16.486269899185579</v>
      </c>
      <c r="BI955">
        <v>-2256.0882917252311</v>
      </c>
      <c r="BJ955">
        <v>0.15553072001724288</v>
      </c>
    </row>
    <row r="956" spans="3:62" x14ac:dyDescent="0.2">
      <c r="C956" s="121">
        <v>70242.516999975138</v>
      </c>
      <c r="D956">
        <v>15.552589155015291</v>
      </c>
      <c r="E956" s="121">
        <v>71932.783535045353</v>
      </c>
      <c r="F956" s="121">
        <v>15.454578279848787</v>
      </c>
      <c r="G956" s="121">
        <v>-1690.2665350702155</v>
      </c>
      <c r="H956" s="121">
        <v>9.8010875166503197E-2</v>
      </c>
      <c r="N956" s="121"/>
      <c r="O956" s="121"/>
      <c r="P956" s="121"/>
      <c r="R956">
        <v>332.64138637383377</v>
      </c>
      <c r="S956">
        <v>60.630909456751674</v>
      </c>
      <c r="T956">
        <v>269.65801594954678</v>
      </c>
      <c r="U956">
        <v>93.750326233401609</v>
      </c>
      <c r="X956">
        <v>0.92752714246665424</v>
      </c>
      <c r="Y956">
        <v>0.67493474673435794</v>
      </c>
      <c r="Z956">
        <v>0.65001021273556769</v>
      </c>
      <c r="AA956">
        <v>0.48579482795694262</v>
      </c>
      <c r="AB956">
        <v>0.87969593655770972</v>
      </c>
      <c r="AC956">
        <v>0.71077698561259972</v>
      </c>
      <c r="AD956">
        <v>0.67743492031844565</v>
      </c>
      <c r="AE956">
        <v>0.60224523936915719</v>
      </c>
      <c r="AH956">
        <v>0.23545297530981935</v>
      </c>
      <c r="AI956">
        <v>0.1309513561450647</v>
      </c>
      <c r="AJ956">
        <v>8.5385221326706118E-2</v>
      </c>
      <c r="AK956">
        <v>0.11515080805824007</v>
      </c>
      <c r="AL956">
        <v>7.5255929622214168E-2</v>
      </c>
      <c r="AM956">
        <v>0.10350298719459361</v>
      </c>
      <c r="AN956">
        <v>2.2840533017019937E-2</v>
      </c>
      <c r="AO956">
        <v>9.9712354106961221E-2</v>
      </c>
      <c r="AR956">
        <v>8.780231583228865E-4</v>
      </c>
      <c r="AS956">
        <v>4.4714363711279397E-3</v>
      </c>
      <c r="AT956">
        <v>4.5531949852633917E-3</v>
      </c>
      <c r="AU956">
        <v>1.891645232203867E-3</v>
      </c>
      <c r="AV956">
        <v>2.1259578428429737E-3</v>
      </c>
      <c r="AW956">
        <v>3.3914095436953489E-3</v>
      </c>
      <c r="AX956">
        <v>4.0421402613521895E-4</v>
      </c>
      <c r="AY956">
        <v>3.945875735004482E-4</v>
      </c>
      <c r="BB956">
        <v>4.7145203221842451E-2</v>
      </c>
      <c r="BC956">
        <v>3.9114029505856657E-2</v>
      </c>
      <c r="BE956">
        <v>70242.516999975138</v>
      </c>
      <c r="BF956">
        <v>15.552589155015291</v>
      </c>
      <c r="BG956">
        <v>71932.783535045353</v>
      </c>
      <c r="BH956">
        <v>15.454578279848787</v>
      </c>
      <c r="BI956">
        <v>-1690.2665350702155</v>
      </c>
      <c r="BJ956">
        <v>9.8010875166503197E-2</v>
      </c>
    </row>
    <row r="957" spans="3:62" x14ac:dyDescent="0.2">
      <c r="C957" s="121">
        <v>72207.343043089641</v>
      </c>
      <c r="D957">
        <v>16.926121398460243</v>
      </c>
      <c r="E957" s="121">
        <v>74705.747974166297</v>
      </c>
      <c r="F957" s="121">
        <v>16.756607272717293</v>
      </c>
      <c r="G957" s="121">
        <v>-2498.4049310766568</v>
      </c>
      <c r="H957" s="121">
        <v>0.16951412574294977</v>
      </c>
      <c r="N957" s="121"/>
      <c r="O957" s="121"/>
      <c r="P957" s="121"/>
      <c r="R957">
        <v>203.98625231213674</v>
      </c>
      <c r="S957">
        <v>59.935453846860241</v>
      </c>
      <c r="T957">
        <v>280.05395341213404</v>
      </c>
      <c r="U957">
        <v>98.436928702360902</v>
      </c>
      <c r="X957">
        <v>0.90189463089940936</v>
      </c>
      <c r="Y957">
        <v>0.7093969483024396</v>
      </c>
      <c r="Z957">
        <v>0.77826303645763362</v>
      </c>
      <c r="AA957">
        <v>0.76712015191880856</v>
      </c>
      <c r="AB957">
        <v>0.85714706277508168</v>
      </c>
      <c r="AC957">
        <v>0.79439216549652536</v>
      </c>
      <c r="AD957">
        <v>0.69569231530025955</v>
      </c>
      <c r="AE957">
        <v>0.94785580322661689</v>
      </c>
      <c r="AH957">
        <v>8.4214107011360007E-2</v>
      </c>
      <c r="AI957">
        <v>9.5421118433691721E-2</v>
      </c>
      <c r="AJ957">
        <v>9.6803182791737052E-2</v>
      </c>
      <c r="AK957">
        <v>5.5994472756312086E-2</v>
      </c>
      <c r="AL957">
        <v>2.7744584922070104E-2</v>
      </c>
      <c r="AM957">
        <v>6.4201396615596762E-2</v>
      </c>
      <c r="AN957">
        <v>6.3257768294618932E-2</v>
      </c>
      <c r="AO957">
        <v>0.15155838585352932</v>
      </c>
      <c r="AR957">
        <v>9.2547775521401032E-4</v>
      </c>
      <c r="AS957">
        <v>4.7881433171799159E-3</v>
      </c>
      <c r="AT957">
        <v>4.7002877924487568E-3</v>
      </c>
      <c r="AU957">
        <v>1.8020672819767211E-3</v>
      </c>
      <c r="AV957">
        <v>1.9585746927800597E-3</v>
      </c>
      <c r="AW957">
        <v>3.1493313284036671E-3</v>
      </c>
      <c r="AX957">
        <v>3.422793264917146E-4</v>
      </c>
      <c r="AY957">
        <v>5.0082292204434165E-4</v>
      </c>
      <c r="BB957">
        <v>5.4906193157567507E-2</v>
      </c>
      <c r="BC957">
        <v>3.2508941004920688E-2</v>
      </c>
      <c r="BE957">
        <v>72207.343043089641</v>
      </c>
      <c r="BF957">
        <v>16.926121398460243</v>
      </c>
      <c r="BG957">
        <v>74705.747974166297</v>
      </c>
      <c r="BH957">
        <v>16.756607272717293</v>
      </c>
      <c r="BI957">
        <v>-2498.4049310766568</v>
      </c>
      <c r="BJ957">
        <v>0.16951412574294977</v>
      </c>
    </row>
    <row r="958" spans="3:62" x14ac:dyDescent="0.2">
      <c r="C958" s="121">
        <v>69255.22734322965</v>
      </c>
      <c r="D958">
        <v>16.095526111754957</v>
      </c>
      <c r="E958" s="121">
        <v>71422.95468265879</v>
      </c>
      <c r="F958" s="121">
        <v>15.898218019963306</v>
      </c>
      <c r="G958" s="121">
        <v>-2167.7273394291406</v>
      </c>
      <c r="H958" s="121">
        <v>0.19730809179165121</v>
      </c>
      <c r="N958" s="121"/>
      <c r="O958" s="121"/>
      <c r="P958" s="121"/>
      <c r="R958">
        <v>288.7353863071724</v>
      </c>
      <c r="S958">
        <v>67.459876376023288</v>
      </c>
      <c r="T958">
        <v>215.01609782040919</v>
      </c>
      <c r="U958">
        <v>119.39040864244015</v>
      </c>
      <c r="X958">
        <v>0.65371730347996093</v>
      </c>
      <c r="Y958">
        <v>0.97412157752125583</v>
      </c>
      <c r="Z958">
        <v>0.9024799701696018</v>
      </c>
      <c r="AA958">
        <v>0.40504043757353958</v>
      </c>
      <c r="AB958">
        <v>0.82880058229757514</v>
      </c>
      <c r="AC958">
        <v>0.758378577544216</v>
      </c>
      <c r="AD958">
        <v>0.91593331287751334</v>
      </c>
      <c r="AE958">
        <v>0.6215514717523497</v>
      </c>
      <c r="AH958">
        <v>0.13281152599717372</v>
      </c>
      <c r="AI958">
        <v>0.1323876798328204</v>
      </c>
      <c r="AJ958">
        <v>0.24985151838267894</v>
      </c>
      <c r="AK958">
        <v>7.6398835131091358E-2</v>
      </c>
      <c r="AL958">
        <v>0.15670029494406601</v>
      </c>
      <c r="AM958">
        <v>9.6176680160143802E-2</v>
      </c>
      <c r="AN958">
        <v>5.7322151596169491E-2</v>
      </c>
      <c r="AO958">
        <v>0.14017991112016515</v>
      </c>
      <c r="AR958">
        <v>7.395193479029944E-4</v>
      </c>
      <c r="AS958">
        <v>4.3174585752372352E-3</v>
      </c>
      <c r="AT958">
        <v>5.2542611132523342E-3</v>
      </c>
      <c r="AU958">
        <v>1.7788519550097242E-3</v>
      </c>
      <c r="AV958">
        <v>1.7984295849572149E-3</v>
      </c>
      <c r="AW958">
        <v>3.0443812894947607E-3</v>
      </c>
      <c r="AX958">
        <v>5.1249283068244278E-4</v>
      </c>
      <c r="AY958">
        <v>5.2301378673669241E-4</v>
      </c>
      <c r="BB958">
        <v>4.9141256243696578E-2</v>
      </c>
      <c r="BC958">
        <v>3.4277796099562836E-2</v>
      </c>
      <c r="BE958">
        <v>69255.22734322965</v>
      </c>
      <c r="BF958">
        <v>16.095526111754957</v>
      </c>
      <c r="BG958">
        <v>71422.95468265879</v>
      </c>
      <c r="BH958">
        <v>15.898218019963306</v>
      </c>
      <c r="BI958">
        <v>-2167.7273394291406</v>
      </c>
      <c r="BJ958">
        <v>0.19730809179165121</v>
      </c>
    </row>
    <row r="959" spans="3:62" x14ac:dyDescent="0.2">
      <c r="C959" s="121">
        <v>74274.597812292835</v>
      </c>
      <c r="D959">
        <v>14.98378574589143</v>
      </c>
      <c r="E959" s="121">
        <v>75069.793792746117</v>
      </c>
      <c r="F959" s="121">
        <v>14.83849400145435</v>
      </c>
      <c r="G959" s="121">
        <v>-795.19598045328166</v>
      </c>
      <c r="H959" s="121">
        <v>0.14529174443707937</v>
      </c>
      <c r="N959" s="121"/>
      <c r="O959" s="121"/>
      <c r="P959" s="121"/>
      <c r="R959">
        <v>254.73997153434854</v>
      </c>
      <c r="S959">
        <v>63.211117068560924</v>
      </c>
      <c r="T959">
        <v>282.36405557572959</v>
      </c>
      <c r="U959">
        <v>80.963469112395074</v>
      </c>
      <c r="X959">
        <v>0.7032249910508972</v>
      </c>
      <c r="Y959">
        <v>0.83559462269040696</v>
      </c>
      <c r="Z959">
        <v>0.57394374780562274</v>
      </c>
      <c r="AA959">
        <v>0.70232437932406211</v>
      </c>
      <c r="AB959">
        <v>0.61784817005666159</v>
      </c>
      <c r="AC959">
        <v>0.8472486643410776</v>
      </c>
      <c r="AD959">
        <v>0.78423539200967485</v>
      </c>
      <c r="AE959">
        <v>0.82509311615404379</v>
      </c>
      <c r="AH959">
        <v>0.1685168182146477</v>
      </c>
      <c r="AI959">
        <v>0.25618372997645511</v>
      </c>
      <c r="AJ959">
        <v>6.3009740670919578E-2</v>
      </c>
      <c r="AK959">
        <v>0.2146021136762194</v>
      </c>
      <c r="AL959">
        <v>8.3130548641856761E-2</v>
      </c>
      <c r="AM959">
        <v>3.4566497956489139E-2</v>
      </c>
      <c r="AN959">
        <v>0.21873083003009441</v>
      </c>
      <c r="AO959">
        <v>0.13115029337799433</v>
      </c>
      <c r="AR959">
        <v>1.0027593949000213E-3</v>
      </c>
      <c r="AS959">
        <v>4.7304322470084204E-3</v>
      </c>
      <c r="AT959">
        <v>4.8405547865728298E-3</v>
      </c>
      <c r="AU959">
        <v>2.1286368239766817E-3</v>
      </c>
      <c r="AV959">
        <v>1.7937025928774243E-3</v>
      </c>
      <c r="AW959">
        <v>3.3391100554563597E-3</v>
      </c>
      <c r="AX959">
        <v>3.6176065749502092E-4</v>
      </c>
      <c r="AY959">
        <v>3.3930786721993693E-4</v>
      </c>
      <c r="BB959">
        <v>5.1112784202604677E-2</v>
      </c>
      <c r="BC959">
        <v>2.2487544081751281E-2</v>
      </c>
      <c r="BE959">
        <v>74274.597812292835</v>
      </c>
      <c r="BF959">
        <v>14.98378574589143</v>
      </c>
      <c r="BG959">
        <v>75069.793792746117</v>
      </c>
      <c r="BH959">
        <v>14.83849400145435</v>
      </c>
      <c r="BI959">
        <v>-795.19598045328166</v>
      </c>
      <c r="BJ959">
        <v>0.14529174443707937</v>
      </c>
    </row>
    <row r="960" spans="3:62" x14ac:dyDescent="0.2">
      <c r="C960" s="121">
        <v>74806.413837376429</v>
      </c>
      <c r="D960">
        <v>14.661093834438283</v>
      </c>
      <c r="E960" s="121">
        <v>74781.462312756819</v>
      </c>
      <c r="F960" s="121">
        <v>14.611704025775268</v>
      </c>
      <c r="G960" s="121">
        <v>24.9515246196097</v>
      </c>
      <c r="H960" s="121">
        <v>4.9389808663015344E-2</v>
      </c>
      <c r="N960" s="121"/>
      <c r="O960" s="121"/>
      <c r="P960" s="121"/>
      <c r="R960">
        <v>153.49653866242522</v>
      </c>
      <c r="S960">
        <v>71.631758118943409</v>
      </c>
      <c r="T960">
        <v>281.20731504226103</v>
      </c>
      <c r="U960">
        <v>94.175989270804294</v>
      </c>
      <c r="X960">
        <v>0.8220088713235576</v>
      </c>
      <c r="Y960">
        <v>0.89654149227021562</v>
      </c>
      <c r="Z960">
        <v>0.83820294306844079</v>
      </c>
      <c r="AA960">
        <v>0.47331897549045138</v>
      </c>
      <c r="AB960">
        <v>0.73596159985727516</v>
      </c>
      <c r="AC960">
        <v>0.78022450767822349</v>
      </c>
      <c r="AD960">
        <v>0.76967283142056619</v>
      </c>
      <c r="AE960">
        <v>0.68268610589693202</v>
      </c>
      <c r="AH960">
        <v>0.16759659767593404</v>
      </c>
      <c r="AI960">
        <v>2.7285429279350182E-2</v>
      </c>
      <c r="AJ960">
        <v>0.17568457271201632</v>
      </c>
      <c r="AK960">
        <v>0.11819560411063479</v>
      </c>
      <c r="AL960">
        <v>9.5045624478293789E-2</v>
      </c>
      <c r="AM960">
        <v>0.10938066892567666</v>
      </c>
      <c r="AN960">
        <v>9.3073019485651498E-2</v>
      </c>
      <c r="AO960">
        <v>0.17021285861837121</v>
      </c>
      <c r="AR960">
        <v>1.0584000892129852E-3</v>
      </c>
      <c r="AS960">
        <v>4.7450118422842635E-3</v>
      </c>
      <c r="AT960">
        <v>5.2742119637225748E-3</v>
      </c>
      <c r="AU960">
        <v>2.2011873806726534E-3</v>
      </c>
      <c r="AV960">
        <v>2.0496398008085226E-3</v>
      </c>
      <c r="AW960">
        <v>3.5422058411375135E-3</v>
      </c>
      <c r="AX960">
        <v>3.7722080803919377E-4</v>
      </c>
      <c r="AY960">
        <v>3.6885255425827309E-4</v>
      </c>
      <c r="BB960">
        <v>5.0744196815847631E-2</v>
      </c>
      <c r="BC960">
        <v>6.3772230909637573E-2</v>
      </c>
      <c r="BE960">
        <v>74806.413837376429</v>
      </c>
      <c r="BF960">
        <v>14.661093834438283</v>
      </c>
      <c r="BG960">
        <v>74781.462312756819</v>
      </c>
      <c r="BH960">
        <v>14.611704025775268</v>
      </c>
      <c r="BI960">
        <v>24.9515246196097</v>
      </c>
      <c r="BJ960">
        <v>4.9389808663015344E-2</v>
      </c>
    </row>
    <row r="961" spans="3:62" x14ac:dyDescent="0.2">
      <c r="C961" s="121">
        <v>68856.114721681195</v>
      </c>
      <c r="D961">
        <v>17.443117201618911</v>
      </c>
      <c r="E961" s="121">
        <v>70208.010538524541</v>
      </c>
      <c r="F961" s="121">
        <v>17.355290888871387</v>
      </c>
      <c r="G961" s="121">
        <v>-1351.8958168433455</v>
      </c>
      <c r="H961" s="121">
        <v>8.7826312747523616E-2</v>
      </c>
      <c r="N961" s="121"/>
      <c r="O961" s="121"/>
      <c r="P961" s="121"/>
      <c r="R961">
        <v>299.09454943338017</v>
      </c>
      <c r="S961">
        <v>62.187985044790736</v>
      </c>
      <c r="T961">
        <v>249.9567177051299</v>
      </c>
      <c r="U961">
        <v>93.421463754981431</v>
      </c>
      <c r="X961">
        <v>0.91571342696711555</v>
      </c>
      <c r="Y961">
        <v>0.96216587822740141</v>
      </c>
      <c r="Z961">
        <v>0.93222625154442318</v>
      </c>
      <c r="AA961">
        <v>0.84285452920647486</v>
      </c>
      <c r="AB961">
        <v>0.80110383283475239</v>
      </c>
      <c r="AC961">
        <v>0.82106671285850008</v>
      </c>
      <c r="AD961">
        <v>0.80579973452728126</v>
      </c>
      <c r="AE961">
        <v>0.82457417573222913</v>
      </c>
      <c r="AH961">
        <v>0.26503942658434498</v>
      </c>
      <c r="AI961">
        <v>0.1750436619205219</v>
      </c>
      <c r="AJ961">
        <v>6.5914877280872974E-2</v>
      </c>
      <c r="AK961">
        <v>5.9083351714827037E-2</v>
      </c>
      <c r="AL961">
        <v>6.9303624402590747E-2</v>
      </c>
      <c r="AM961">
        <v>8.6014739464271961E-2</v>
      </c>
      <c r="AN961">
        <v>0.33694200396228213</v>
      </c>
      <c r="AO961">
        <v>0.11328249790450839</v>
      </c>
      <c r="AR961">
        <v>8.0620801009089458E-4</v>
      </c>
      <c r="AS961">
        <v>4.3723012987981081E-3</v>
      </c>
      <c r="AT961">
        <v>4.904923824027488E-3</v>
      </c>
      <c r="AU961">
        <v>1.8930921755267391E-3</v>
      </c>
      <c r="AV961">
        <v>2.0654353684927962E-3</v>
      </c>
      <c r="AW961">
        <v>3.3397741449318571E-3</v>
      </c>
      <c r="AX961">
        <v>3.2322912070533041E-4</v>
      </c>
      <c r="AY961">
        <v>4.0264050376822945E-4</v>
      </c>
      <c r="BB961">
        <v>6.740955333642662E-2</v>
      </c>
      <c r="BC961">
        <v>4.5305872499566226E-2</v>
      </c>
      <c r="BE961">
        <v>68856.114721681195</v>
      </c>
      <c r="BF961">
        <v>17.443117201618911</v>
      </c>
      <c r="BG961">
        <v>70208.010538524541</v>
      </c>
      <c r="BH961">
        <v>17.355290888871387</v>
      </c>
      <c r="BI961">
        <v>-1351.8958168433455</v>
      </c>
      <c r="BJ961">
        <v>8.7826312747523616E-2</v>
      </c>
    </row>
    <row r="962" spans="3:62" x14ac:dyDescent="0.2">
      <c r="C962" s="121">
        <v>65279.850443036601</v>
      </c>
      <c r="D962">
        <v>16.208268026151213</v>
      </c>
      <c r="E962" s="121">
        <v>66541.429065671648</v>
      </c>
      <c r="F962" s="121">
        <v>16.079427261983625</v>
      </c>
      <c r="G962" s="121">
        <v>-1261.5786226350465</v>
      </c>
      <c r="H962" s="121">
        <v>0.12884076416758816</v>
      </c>
      <c r="N962" s="121"/>
      <c r="O962" s="121"/>
      <c r="P962" s="121"/>
      <c r="R962">
        <v>219.80425663291913</v>
      </c>
      <c r="S962">
        <v>67.845816506410443</v>
      </c>
      <c r="T962">
        <v>283.71506998155968</v>
      </c>
      <c r="U962">
        <v>85.765517384742466</v>
      </c>
      <c r="X962">
        <v>0.63035942869397088</v>
      </c>
      <c r="Y962">
        <v>0.65898232044578176</v>
      </c>
      <c r="Z962">
        <v>0.68725225605549556</v>
      </c>
      <c r="AA962">
        <v>0.73760174372425302</v>
      </c>
      <c r="AB962">
        <v>0.92887999464097726</v>
      </c>
      <c r="AC962">
        <v>0.82862817787616794</v>
      </c>
      <c r="AD962">
        <v>0.65325056665127279</v>
      </c>
      <c r="AE962">
        <v>0.80477592028424905</v>
      </c>
      <c r="AH962">
        <v>0.18109082027290802</v>
      </c>
      <c r="AI962">
        <v>0.26720021226595547</v>
      </c>
      <c r="AJ962">
        <v>0.15133990533726849</v>
      </c>
      <c r="AK962">
        <v>0.12310957054468519</v>
      </c>
      <c r="AL962">
        <v>0.26999456381358</v>
      </c>
      <c r="AM962">
        <v>6.5801101478421109E-2</v>
      </c>
      <c r="AN962">
        <v>5.0943745134287344E-2</v>
      </c>
      <c r="AO962">
        <v>8.410961716929799E-2</v>
      </c>
      <c r="AR962">
        <v>8.5958403231396036E-4</v>
      </c>
      <c r="AS962">
        <v>4.5852962705511535E-3</v>
      </c>
      <c r="AT962">
        <v>5.2618464625530104E-3</v>
      </c>
      <c r="AU962">
        <v>2.098024607455673E-3</v>
      </c>
      <c r="AV962">
        <v>1.9882062034942668E-3</v>
      </c>
      <c r="AW962">
        <v>3.2002187195972458E-3</v>
      </c>
      <c r="AX962">
        <v>3.7638810177791115E-4</v>
      </c>
      <c r="AY962">
        <v>5.1102272441228003E-4</v>
      </c>
      <c r="BB962">
        <v>5.4480701698659706E-2</v>
      </c>
      <c r="BC962">
        <v>0.12742683693393186</v>
      </c>
      <c r="BE962">
        <v>65279.850443036601</v>
      </c>
      <c r="BF962">
        <v>16.208268026151213</v>
      </c>
      <c r="BG962">
        <v>66541.429065671648</v>
      </c>
      <c r="BH962">
        <v>16.079427261983625</v>
      </c>
      <c r="BI962">
        <v>-1261.5786226350465</v>
      </c>
      <c r="BJ962">
        <v>0.12884076416758816</v>
      </c>
    </row>
    <row r="963" spans="3:62" x14ac:dyDescent="0.2">
      <c r="C963" s="121">
        <v>71751.705223928686</v>
      </c>
      <c r="D963">
        <v>16.775028250904132</v>
      </c>
      <c r="E963" s="121">
        <v>73716.57851612677</v>
      </c>
      <c r="F963" s="121">
        <v>16.643913124981488</v>
      </c>
      <c r="G963" s="121">
        <v>-1964.8732921980845</v>
      </c>
      <c r="H963" s="121">
        <v>0.13111512592264418</v>
      </c>
      <c r="N963" s="121"/>
      <c r="O963" s="121"/>
      <c r="P963" s="121"/>
      <c r="R963">
        <v>323.84710330620464</v>
      </c>
      <c r="S963">
        <v>56.263633769519224</v>
      </c>
      <c r="T963">
        <v>248.44328542452547</v>
      </c>
      <c r="U963">
        <v>66.558440412952748</v>
      </c>
      <c r="X963">
        <v>0.92227326950830446</v>
      </c>
      <c r="Y963">
        <v>0.83649489332329219</v>
      </c>
      <c r="Z963">
        <v>0.82394691276043508</v>
      </c>
      <c r="AA963">
        <v>0.77099873385795215</v>
      </c>
      <c r="AB963">
        <v>0.86052014460981519</v>
      </c>
      <c r="AC963">
        <v>0.78035103005193518</v>
      </c>
      <c r="AD963">
        <v>0.52901233395738601</v>
      </c>
      <c r="AE963">
        <v>0.80467501201557445</v>
      </c>
      <c r="AH963">
        <v>6.7962878073863475E-2</v>
      </c>
      <c r="AI963">
        <v>8.8364392042328599E-2</v>
      </c>
      <c r="AJ963">
        <v>2.4909708404352804E-2</v>
      </c>
      <c r="AK963">
        <v>0.27654729214579843</v>
      </c>
      <c r="AL963">
        <v>8.5723529369262863E-2</v>
      </c>
      <c r="AM963">
        <v>8.2921678724518944E-2</v>
      </c>
      <c r="AN963">
        <v>9.6187649649494777E-2</v>
      </c>
      <c r="AO963">
        <v>0.14432948420847658</v>
      </c>
      <c r="AR963">
        <v>1.0158745480302045E-3</v>
      </c>
      <c r="AS963">
        <v>4.6644952168826137E-3</v>
      </c>
      <c r="AT963">
        <v>5.0820053877379534E-3</v>
      </c>
      <c r="AU963">
        <v>1.9787413864026022E-3</v>
      </c>
      <c r="AV963">
        <v>1.8186232901044874E-3</v>
      </c>
      <c r="AW963">
        <v>3.6143807071269407E-3</v>
      </c>
      <c r="AX963">
        <v>3.9917936977307278E-4</v>
      </c>
      <c r="AY963">
        <v>4.4888297803014066E-4</v>
      </c>
      <c r="BB963">
        <v>4.6929785721601877E-2</v>
      </c>
      <c r="BC963">
        <v>8.205052511176103E-2</v>
      </c>
      <c r="BE963">
        <v>71751.705223928686</v>
      </c>
      <c r="BF963">
        <v>16.775028250904132</v>
      </c>
      <c r="BG963">
        <v>73716.57851612677</v>
      </c>
      <c r="BH963">
        <v>16.643913124981488</v>
      </c>
      <c r="BI963">
        <v>-1964.8732921980845</v>
      </c>
      <c r="BJ963">
        <v>0.13111512592264418</v>
      </c>
    </row>
    <row r="964" spans="3:62" x14ac:dyDescent="0.2">
      <c r="C964" s="121">
        <v>61230.177912156796</v>
      </c>
      <c r="D964">
        <v>16.920130086721947</v>
      </c>
      <c r="E964" s="121">
        <v>62702.93680325013</v>
      </c>
      <c r="F964" s="121">
        <v>16.822271892052985</v>
      </c>
      <c r="G964" s="121">
        <v>-1472.7588910933337</v>
      </c>
      <c r="H964" s="121">
        <v>9.7858194668962284E-2</v>
      </c>
      <c r="N964" s="121"/>
      <c r="O964" s="121"/>
      <c r="P964" s="121"/>
      <c r="R964">
        <v>132.91069851952673</v>
      </c>
      <c r="S964">
        <v>53.685597070298542</v>
      </c>
      <c r="T964">
        <v>204.93340437256606</v>
      </c>
      <c r="U964">
        <v>101.18644270475943</v>
      </c>
      <c r="X964">
        <v>0.86969671971483908</v>
      </c>
      <c r="Y964">
        <v>0.79263748832123326</v>
      </c>
      <c r="Z964">
        <v>0.9221130681633567</v>
      </c>
      <c r="AA964">
        <v>0.87705066625871919</v>
      </c>
      <c r="AB964">
        <v>0.80168733479978971</v>
      </c>
      <c r="AC964">
        <v>0.76215227091071613</v>
      </c>
      <c r="AD964">
        <v>0.64444046516253894</v>
      </c>
      <c r="AE964">
        <v>0.77324091273602247</v>
      </c>
      <c r="AH964">
        <v>5.1426426729026531E-3</v>
      </c>
      <c r="AI964">
        <v>0.13992430095138664</v>
      </c>
      <c r="AJ964">
        <v>0.20962621418054894</v>
      </c>
      <c r="AK964">
        <v>6.444529905635088E-2</v>
      </c>
      <c r="AL964">
        <v>7.120316001205762E-2</v>
      </c>
      <c r="AM964">
        <v>0.18242673121392128</v>
      </c>
      <c r="AN964">
        <v>0.14492829693063181</v>
      </c>
      <c r="AO964">
        <v>0.19495596411474403</v>
      </c>
      <c r="AR964">
        <v>8.4465499067014446E-4</v>
      </c>
      <c r="AS964">
        <v>4.1555961295797975E-3</v>
      </c>
      <c r="AT964">
        <v>5.130307514677912E-3</v>
      </c>
      <c r="AU964">
        <v>1.9370781374228611E-3</v>
      </c>
      <c r="AV964">
        <v>2.1000541071172218E-3</v>
      </c>
      <c r="AW964">
        <v>3.5065236349439699E-3</v>
      </c>
      <c r="AX964">
        <v>3.6826146481995617E-4</v>
      </c>
      <c r="AY964">
        <v>4.7535179865265675E-4</v>
      </c>
      <c r="BB964">
        <v>4.034428942557549E-2</v>
      </c>
      <c r="BC964">
        <v>6.5753028875621067E-2</v>
      </c>
      <c r="BE964">
        <v>61230.177912156796</v>
      </c>
      <c r="BF964">
        <v>16.920130086721947</v>
      </c>
      <c r="BG964">
        <v>62702.93680325013</v>
      </c>
      <c r="BH964">
        <v>16.822271892052985</v>
      </c>
      <c r="BI964">
        <v>-1472.7588910933337</v>
      </c>
      <c r="BJ964">
        <v>9.7858194668962284E-2</v>
      </c>
    </row>
    <row r="965" spans="3:62" x14ac:dyDescent="0.2">
      <c r="C965" s="121">
        <v>75253.432419085482</v>
      </c>
      <c r="D965">
        <v>14.76292051090298</v>
      </c>
      <c r="E965" s="121">
        <v>77310.812693777567</v>
      </c>
      <c r="F965" s="121">
        <v>14.60763858415198</v>
      </c>
      <c r="G965" s="121">
        <v>-2057.3802746920846</v>
      </c>
      <c r="H965" s="121">
        <v>0.15528192675099994</v>
      </c>
      <c r="N965" s="121"/>
      <c r="O965" s="121"/>
      <c r="P965" s="121"/>
      <c r="R965">
        <v>245.77038003012748</v>
      </c>
      <c r="S965">
        <v>64.302029165611586</v>
      </c>
      <c r="T965">
        <v>198.38257172093716</v>
      </c>
      <c r="U965">
        <v>82.193123834852969</v>
      </c>
      <c r="X965">
        <v>0.66534011611404509</v>
      </c>
      <c r="Y965">
        <v>0.80011561678967058</v>
      </c>
      <c r="Z965">
        <v>0.84293086904160541</v>
      </c>
      <c r="AA965">
        <v>0.82482768467456746</v>
      </c>
      <c r="AB965">
        <v>0.94623427787699244</v>
      </c>
      <c r="AC965">
        <v>0.93580334478114136</v>
      </c>
      <c r="AD965">
        <v>0.89586052783527115</v>
      </c>
      <c r="AE965">
        <v>0.86715359192518315</v>
      </c>
      <c r="AH965">
        <v>0.13540486729846513</v>
      </c>
      <c r="AI965">
        <v>3.1376866822352634E-2</v>
      </c>
      <c r="AJ965">
        <v>9.2617650576136912E-2</v>
      </c>
      <c r="AK965">
        <v>8.5825155762861094E-2</v>
      </c>
      <c r="AL965">
        <v>0.15971660323748138</v>
      </c>
      <c r="AM965">
        <v>2.7136632854360743E-2</v>
      </c>
      <c r="AN965">
        <v>5.9898088942319849E-2</v>
      </c>
      <c r="AO965">
        <v>5.5664064887995579E-2</v>
      </c>
      <c r="AR965">
        <v>8.9440627928161209E-4</v>
      </c>
      <c r="AS965">
        <v>4.7136544750203679E-3</v>
      </c>
      <c r="AT965">
        <v>4.7592474927029022E-3</v>
      </c>
      <c r="AU965">
        <v>2.1051584863055472E-3</v>
      </c>
      <c r="AV965">
        <v>1.8585803405036568E-3</v>
      </c>
      <c r="AW965">
        <v>3.3475348267973607E-3</v>
      </c>
      <c r="AX965">
        <v>4.41065167103738E-4</v>
      </c>
      <c r="AY965">
        <v>5.6629724092183142E-4</v>
      </c>
      <c r="BB965">
        <v>3.5120812554798438E-2</v>
      </c>
      <c r="BC965">
        <v>6.4488250097134547E-2</v>
      </c>
      <c r="BE965">
        <v>75253.432419085482</v>
      </c>
      <c r="BF965">
        <v>14.76292051090298</v>
      </c>
      <c r="BG965">
        <v>77310.812693777567</v>
      </c>
      <c r="BH965">
        <v>14.60763858415198</v>
      </c>
      <c r="BI965">
        <v>-2057.3802746920846</v>
      </c>
      <c r="BJ965">
        <v>0.15528192675099994</v>
      </c>
    </row>
    <row r="966" spans="3:62" x14ac:dyDescent="0.2">
      <c r="C966" s="121">
        <v>65843.588171981814</v>
      </c>
      <c r="D966">
        <v>16.25248570521665</v>
      </c>
      <c r="E966" s="121">
        <v>67525.66725529675</v>
      </c>
      <c r="F966" s="121">
        <v>16.097714795796492</v>
      </c>
      <c r="G966" s="121">
        <v>-1682.0790833149367</v>
      </c>
      <c r="H966" s="121">
        <v>0.15477090942015792</v>
      </c>
      <c r="N966" s="121"/>
      <c r="O966" s="121"/>
      <c r="P966" s="121"/>
      <c r="R966">
        <v>223.21571102501579</v>
      </c>
      <c r="S966">
        <v>65.888918356426387</v>
      </c>
      <c r="T966">
        <v>202.56395405621186</v>
      </c>
      <c r="U966">
        <v>109.84303059569221</v>
      </c>
      <c r="X966">
        <v>0.79819987637722867</v>
      </c>
      <c r="Y966">
        <v>0.70113446305855176</v>
      </c>
      <c r="Z966">
        <v>0.77376229577625022</v>
      </c>
      <c r="AA966">
        <v>0.90032274011911406</v>
      </c>
      <c r="AB966">
        <v>0.95021699911052959</v>
      </c>
      <c r="AC966">
        <v>0.72174595577604561</v>
      </c>
      <c r="AD966">
        <v>0.88293145135791073</v>
      </c>
      <c r="AE966">
        <v>0.83068700014730834</v>
      </c>
      <c r="AH966">
        <v>9.1829503079112751E-3</v>
      </c>
      <c r="AI966">
        <v>0.10498757304600503</v>
      </c>
      <c r="AJ966">
        <v>0.20957054818222565</v>
      </c>
      <c r="AK966">
        <v>0.21176222431539704</v>
      </c>
      <c r="AL966">
        <v>0.13667844433421195</v>
      </c>
      <c r="AM966">
        <v>0.10039929614375642</v>
      </c>
      <c r="AN966">
        <v>0.13464842828691692</v>
      </c>
      <c r="AO966">
        <v>7.153924200838957E-2</v>
      </c>
      <c r="AR966">
        <v>8.4452718874407893E-4</v>
      </c>
      <c r="AS966">
        <v>4.6379190326258923E-3</v>
      </c>
      <c r="AT966">
        <v>5.0004778304808539E-3</v>
      </c>
      <c r="AU966">
        <v>1.9211960914526558E-3</v>
      </c>
      <c r="AV966">
        <v>2.1349562341361761E-3</v>
      </c>
      <c r="AW966">
        <v>3.3861040726963798E-3</v>
      </c>
      <c r="AX966">
        <v>5.5949083048401071E-4</v>
      </c>
      <c r="AY966">
        <v>4.5887344063555435E-4</v>
      </c>
      <c r="BB966">
        <v>4.4827262797947118E-2</v>
      </c>
      <c r="BC966">
        <v>3.765643616783227E-2</v>
      </c>
      <c r="BE966">
        <v>65843.588171981814</v>
      </c>
      <c r="BF966">
        <v>16.25248570521665</v>
      </c>
      <c r="BG966">
        <v>67525.66725529675</v>
      </c>
      <c r="BH966">
        <v>16.097714795796492</v>
      </c>
      <c r="BI966">
        <v>-1682.0790833149367</v>
      </c>
      <c r="BJ966">
        <v>0.15477090942015792</v>
      </c>
    </row>
    <row r="967" spans="3:62" x14ac:dyDescent="0.2">
      <c r="C967" s="121">
        <v>73262.219573357521</v>
      </c>
      <c r="D967">
        <v>15.473146039429675</v>
      </c>
      <c r="E967" s="121">
        <v>75462.898164163213</v>
      </c>
      <c r="F967" s="121">
        <v>15.325255140179443</v>
      </c>
      <c r="G967" s="121">
        <v>-2200.6785908056918</v>
      </c>
      <c r="H967" s="121">
        <v>0.14789089925023191</v>
      </c>
      <c r="N967" s="121"/>
      <c r="O967" s="121"/>
      <c r="P967" s="121"/>
      <c r="R967">
        <v>328.46749362505841</v>
      </c>
      <c r="S967">
        <v>55.264881715197021</v>
      </c>
      <c r="T967">
        <v>256.32125300009886</v>
      </c>
      <c r="U967">
        <v>101.1304216036601</v>
      </c>
      <c r="X967">
        <v>0.79114422710992294</v>
      </c>
      <c r="Y967">
        <v>0.78255239932808873</v>
      </c>
      <c r="Z967">
        <v>0.69156829265672715</v>
      </c>
      <c r="AA967">
        <v>0.67115814676053265</v>
      </c>
      <c r="AB967">
        <v>0.89034945503306906</v>
      </c>
      <c r="AC967">
        <v>0.83945031471410292</v>
      </c>
      <c r="AD967">
        <v>0.76241040558774309</v>
      </c>
      <c r="AE967">
        <v>0.68649338481711764</v>
      </c>
      <c r="AH967">
        <v>7.9946871423751897E-2</v>
      </c>
      <c r="AI967">
        <v>0.1199627894377252</v>
      </c>
      <c r="AJ967">
        <v>0.37341918101673222</v>
      </c>
      <c r="AK967">
        <v>0.24810654033154123</v>
      </c>
      <c r="AL967">
        <v>6.2564831965816414E-2</v>
      </c>
      <c r="AM967">
        <v>0.13962538220117238</v>
      </c>
      <c r="AN967">
        <v>9.2990325340752911E-2</v>
      </c>
      <c r="AO967">
        <v>2.3708062330519697E-2</v>
      </c>
      <c r="AR967">
        <v>8.4754108764631799E-4</v>
      </c>
      <c r="AS967">
        <v>4.6054790466535378E-3</v>
      </c>
      <c r="AT967">
        <v>5.0953308890199223E-3</v>
      </c>
      <c r="AU967">
        <v>1.762742406711976E-3</v>
      </c>
      <c r="AV967">
        <v>1.7260137009845276E-3</v>
      </c>
      <c r="AW967">
        <v>3.4498131294793399E-3</v>
      </c>
      <c r="AX967">
        <v>4.0392191755012075E-4</v>
      </c>
      <c r="AY967">
        <v>4.7097225105474649E-4</v>
      </c>
      <c r="BB967">
        <v>4.9152167526286039E-2</v>
      </c>
      <c r="BC967">
        <v>0.13730099601504786</v>
      </c>
      <c r="BE967">
        <v>73262.219573357521</v>
      </c>
      <c r="BF967">
        <v>15.473146039429675</v>
      </c>
      <c r="BG967">
        <v>75462.898164163213</v>
      </c>
      <c r="BH967">
        <v>15.325255140179443</v>
      </c>
      <c r="BI967">
        <v>-2200.6785908056918</v>
      </c>
      <c r="BJ967">
        <v>0.14789089925023191</v>
      </c>
    </row>
    <row r="968" spans="3:62" x14ac:dyDescent="0.2">
      <c r="C968" s="121">
        <v>60579.729714320893</v>
      </c>
      <c r="D968">
        <v>18.401503994134828</v>
      </c>
      <c r="E968" s="121">
        <v>61678.056086066201</v>
      </c>
      <c r="F968" s="121">
        <v>18.321955890505706</v>
      </c>
      <c r="G968" s="121">
        <v>-1098.3263717453083</v>
      </c>
      <c r="H968" s="121">
        <v>7.9548103629122124E-2</v>
      </c>
      <c r="N968" s="121"/>
      <c r="O968" s="121"/>
      <c r="P968" s="121"/>
      <c r="R968">
        <v>227.5835087941235</v>
      </c>
      <c r="S968">
        <v>54.820674252809162</v>
      </c>
      <c r="T968">
        <v>239.12739265300903</v>
      </c>
      <c r="U968">
        <v>101.79461991160603</v>
      </c>
      <c r="X968">
        <v>0.81016249469869372</v>
      </c>
      <c r="Y968">
        <v>0.59392567766971038</v>
      </c>
      <c r="Z968">
        <v>0.72166743832709324</v>
      </c>
      <c r="AA968">
        <v>0.71035748406036436</v>
      </c>
      <c r="AB968">
        <v>0.97750311473643015</v>
      </c>
      <c r="AC968">
        <v>0.96752394004355624</v>
      </c>
      <c r="AD968">
        <v>0.54326277761082775</v>
      </c>
      <c r="AE968">
        <v>0.83820557519716021</v>
      </c>
      <c r="AH968">
        <v>5.5250554735302049E-2</v>
      </c>
      <c r="AI968">
        <v>0.36129069756790677</v>
      </c>
      <c r="AJ968">
        <v>0.11838120193643542</v>
      </c>
      <c r="AK968">
        <v>0.13056173519568259</v>
      </c>
      <c r="AL968">
        <v>0.17878331105424128</v>
      </c>
      <c r="AM968">
        <v>4.1851577779653981E-2</v>
      </c>
      <c r="AN968">
        <v>0.13736792364326711</v>
      </c>
      <c r="AO968">
        <v>3.4622017519088999E-2</v>
      </c>
      <c r="AR968">
        <v>8.6313503687036604E-4</v>
      </c>
      <c r="AS968">
        <v>4.5957963046776573E-3</v>
      </c>
      <c r="AT968">
        <v>5.1334823800122109E-3</v>
      </c>
      <c r="AU968">
        <v>2.2205508542726404E-3</v>
      </c>
      <c r="AV968">
        <v>2.0572605219182361E-3</v>
      </c>
      <c r="AW968">
        <v>3.2640235906804568E-3</v>
      </c>
      <c r="AX968">
        <v>5.2195124070386623E-4</v>
      </c>
      <c r="AY968">
        <v>4.8293969372525947E-4</v>
      </c>
      <c r="BB968">
        <v>4.0975326838539827E-2</v>
      </c>
      <c r="BC968">
        <v>0.11285275897316038</v>
      </c>
      <c r="BE968">
        <v>60579.729714320893</v>
      </c>
      <c r="BF968">
        <v>18.401503994134828</v>
      </c>
      <c r="BG968">
        <v>61678.056086066201</v>
      </c>
      <c r="BH968">
        <v>18.321955890505706</v>
      </c>
      <c r="BI968">
        <v>-1098.3263717453083</v>
      </c>
      <c r="BJ968">
        <v>7.9548103629122124E-2</v>
      </c>
    </row>
    <row r="969" spans="3:62" x14ac:dyDescent="0.2">
      <c r="C969" s="121">
        <v>71291.350997963731</v>
      </c>
      <c r="D969">
        <v>14.174993964156789</v>
      </c>
      <c r="E969" s="121">
        <v>73337.951970577647</v>
      </c>
      <c r="F969" s="121">
        <v>14.018672330360058</v>
      </c>
      <c r="G969" s="121">
        <v>-2046.6009726139164</v>
      </c>
      <c r="H969" s="121">
        <v>0.15632163379673081</v>
      </c>
      <c r="N969" s="121"/>
      <c r="O969" s="121"/>
      <c r="P969" s="121"/>
      <c r="R969">
        <v>193.92618822894397</v>
      </c>
      <c r="S969">
        <v>61.446335986792135</v>
      </c>
      <c r="T969">
        <v>240.53431361359742</v>
      </c>
      <c r="U969">
        <v>96.523583785236951</v>
      </c>
      <c r="X969">
        <v>0.76285015299930137</v>
      </c>
      <c r="Y969">
        <v>0.73922078201236485</v>
      </c>
      <c r="Z969">
        <v>0.83196793595591034</v>
      </c>
      <c r="AA969">
        <v>0.79766716224174572</v>
      </c>
      <c r="AB969">
        <v>0.72211579364787526</v>
      </c>
      <c r="AC969">
        <v>0.82329676999414159</v>
      </c>
      <c r="AD969">
        <v>0.81735395296153612</v>
      </c>
      <c r="AE969">
        <v>0.76805889801055227</v>
      </c>
      <c r="AH969">
        <v>0.16618778710483473</v>
      </c>
      <c r="AI969">
        <v>5.8992797434308741E-2</v>
      </c>
      <c r="AJ969">
        <v>0.17130542614453426</v>
      </c>
      <c r="AK969">
        <v>4.604064201631819E-2</v>
      </c>
      <c r="AL969">
        <v>0.41798294226323807</v>
      </c>
      <c r="AM969">
        <v>8.7794011805293115E-2</v>
      </c>
      <c r="AN969">
        <v>0.24808693688791639</v>
      </c>
      <c r="AO969">
        <v>0.17245113142062851</v>
      </c>
      <c r="AR969">
        <v>8.1306103255753123E-4</v>
      </c>
      <c r="AS969">
        <v>4.659398251436575E-3</v>
      </c>
      <c r="AT969">
        <v>4.9336487811072645E-3</v>
      </c>
      <c r="AU969">
        <v>1.8339453227496116E-3</v>
      </c>
      <c r="AV969">
        <v>1.9432723609997303E-3</v>
      </c>
      <c r="AW969">
        <v>2.9310361425225447E-3</v>
      </c>
      <c r="AX969">
        <v>4.2683230183870879E-4</v>
      </c>
      <c r="AY969">
        <v>5.7320267144800319E-4</v>
      </c>
      <c r="BB969">
        <v>4.9821780817617324E-2</v>
      </c>
      <c r="BC969">
        <v>5.1715473959330072E-2</v>
      </c>
      <c r="BE969">
        <v>71291.350997963731</v>
      </c>
      <c r="BF969">
        <v>14.174993964156789</v>
      </c>
      <c r="BG969">
        <v>73337.951970577647</v>
      </c>
      <c r="BH969">
        <v>14.018672330360058</v>
      </c>
      <c r="BI969">
        <v>-2046.6009726139164</v>
      </c>
      <c r="BJ969">
        <v>0.15632163379673081</v>
      </c>
    </row>
    <row r="970" spans="3:62" x14ac:dyDescent="0.2">
      <c r="C970" s="121">
        <v>67978.413770394065</v>
      </c>
      <c r="D970">
        <v>16.175272532954178</v>
      </c>
      <c r="E970" s="121">
        <v>69884.593397449498</v>
      </c>
      <c r="F970" s="121">
        <v>16.058054939251498</v>
      </c>
      <c r="G970" s="121">
        <v>-1906.1796270554332</v>
      </c>
      <c r="H970" s="121">
        <v>0.11721759370268003</v>
      </c>
      <c r="N970" s="121"/>
      <c r="O970" s="121"/>
      <c r="P970" s="121"/>
      <c r="R970">
        <v>239.26322219806195</v>
      </c>
      <c r="S970">
        <v>60.855189450050133</v>
      </c>
      <c r="T970">
        <v>264.60835875241503</v>
      </c>
      <c r="U970">
        <v>66.280934781023888</v>
      </c>
      <c r="X970">
        <v>0.93578724088553478</v>
      </c>
      <c r="Y970">
        <v>0.74902811377714607</v>
      </c>
      <c r="Z970">
        <v>0.83968189684067995</v>
      </c>
      <c r="AA970">
        <v>0.67537104327558262</v>
      </c>
      <c r="AB970">
        <v>0.79644393921850065</v>
      </c>
      <c r="AC970">
        <v>0.91594402261374519</v>
      </c>
      <c r="AD970">
        <v>0.70913129478864889</v>
      </c>
      <c r="AE970">
        <v>0.60868144149228232</v>
      </c>
      <c r="AH970">
        <v>0.13589719746841067</v>
      </c>
      <c r="AI970">
        <v>0.16540417233877325</v>
      </c>
      <c r="AJ970">
        <v>0.23053748398115748</v>
      </c>
      <c r="AK970">
        <v>9.7103920858133019E-2</v>
      </c>
      <c r="AL970">
        <v>0.18920157011028194</v>
      </c>
      <c r="AM970">
        <v>6.4243296190311217E-2</v>
      </c>
      <c r="AN970">
        <v>0.32225952247019385</v>
      </c>
      <c r="AO970">
        <v>0.29533036724147865</v>
      </c>
      <c r="AR970">
        <v>8.6376007035744576E-4</v>
      </c>
      <c r="AS970">
        <v>4.6593119107534164E-3</v>
      </c>
      <c r="AT970">
        <v>4.6755161928605776E-3</v>
      </c>
      <c r="AU970">
        <v>1.9440505273251698E-3</v>
      </c>
      <c r="AV970">
        <v>1.9547604671800401E-3</v>
      </c>
      <c r="AW970">
        <v>3.7618410600958052E-3</v>
      </c>
      <c r="AX970">
        <v>4.423855856188208E-4</v>
      </c>
      <c r="AY970">
        <v>5.8758620203236411E-4</v>
      </c>
      <c r="BB970">
        <v>4.0814151267959502E-2</v>
      </c>
      <c r="BC970">
        <v>2.5540591636086921E-2</v>
      </c>
      <c r="BE970">
        <v>67978.413770394065</v>
      </c>
      <c r="BF970">
        <v>16.175272532954178</v>
      </c>
      <c r="BG970">
        <v>69884.593397449498</v>
      </c>
      <c r="BH970">
        <v>16.058054939251498</v>
      </c>
      <c r="BI970">
        <v>-1906.1796270554332</v>
      </c>
      <c r="BJ970">
        <v>0.11721759370268003</v>
      </c>
    </row>
    <row r="971" spans="3:62" x14ac:dyDescent="0.2">
      <c r="C971" s="121">
        <v>67170.09717764605</v>
      </c>
      <c r="D971">
        <v>16.736114008257474</v>
      </c>
      <c r="E971" s="121">
        <v>68058.307566581803</v>
      </c>
      <c r="F971" s="121">
        <v>16.629734112363845</v>
      </c>
      <c r="G971" s="121">
        <v>-888.21038893575314</v>
      </c>
      <c r="H971" s="121">
        <v>0.10637989589362817</v>
      </c>
      <c r="N971" s="121"/>
      <c r="O971" s="121"/>
      <c r="P971" s="121"/>
      <c r="R971">
        <v>423.7641722056286</v>
      </c>
      <c r="S971">
        <v>63.779261541684946</v>
      </c>
      <c r="T971">
        <v>228.09498721017923</v>
      </c>
      <c r="U971">
        <v>93.735318902180666</v>
      </c>
      <c r="X971">
        <v>0.73589612028838258</v>
      </c>
      <c r="Y971">
        <v>0.66563254725644927</v>
      </c>
      <c r="Z971">
        <v>0.6536441034327567</v>
      </c>
      <c r="AA971">
        <v>0.75129868098592978</v>
      </c>
      <c r="AB971">
        <v>0.7173927249420301</v>
      </c>
      <c r="AC971">
        <v>0.53981411296331971</v>
      </c>
      <c r="AD971">
        <v>0.58529904520031972</v>
      </c>
      <c r="AE971">
        <v>0.88198435009487786</v>
      </c>
      <c r="AH971">
        <v>6.2591719227630072E-2</v>
      </c>
      <c r="AI971">
        <v>0.21151024037348942</v>
      </c>
      <c r="AJ971">
        <v>0.23555678966794524</v>
      </c>
      <c r="AK971">
        <v>4.7575876211164547E-2</v>
      </c>
      <c r="AL971">
        <v>8.9371768925735728E-2</v>
      </c>
      <c r="AM971">
        <v>6.7285141500892598E-2</v>
      </c>
      <c r="AN971">
        <v>4.2338570608967729E-2</v>
      </c>
      <c r="AO971">
        <v>5.6086880631865732E-2</v>
      </c>
      <c r="AR971">
        <v>9.0311559535183328E-4</v>
      </c>
      <c r="AS971">
        <v>4.2413432191064828E-3</v>
      </c>
      <c r="AT971">
        <v>5.1524979574778529E-3</v>
      </c>
      <c r="AU971">
        <v>1.795962598382614E-3</v>
      </c>
      <c r="AV971">
        <v>1.9868691529014641E-3</v>
      </c>
      <c r="AW971">
        <v>3.513898668214166E-3</v>
      </c>
      <c r="AX971">
        <v>3.6819404099888698E-4</v>
      </c>
      <c r="AY971">
        <v>4.6365009872095797E-4</v>
      </c>
      <c r="BB971">
        <v>3.9973823647098422E-2</v>
      </c>
      <c r="BC971">
        <v>5.7905221047578226E-2</v>
      </c>
      <c r="BE971">
        <v>67170.09717764605</v>
      </c>
      <c r="BF971">
        <v>16.736114008257474</v>
      </c>
      <c r="BG971">
        <v>68058.307566581803</v>
      </c>
      <c r="BH971">
        <v>16.629734112363845</v>
      </c>
      <c r="BI971">
        <v>-888.21038893575314</v>
      </c>
      <c r="BJ971">
        <v>0.10637989589362817</v>
      </c>
    </row>
    <row r="972" spans="3:62" x14ac:dyDescent="0.2">
      <c r="C972" s="121">
        <v>66411.272182985122</v>
      </c>
      <c r="D972">
        <v>15.975088128913034</v>
      </c>
      <c r="E972" s="121">
        <v>68500.497752052208</v>
      </c>
      <c r="F972" s="121">
        <v>15.815832427780709</v>
      </c>
      <c r="G972" s="121">
        <v>-2089.2255690670863</v>
      </c>
      <c r="H972" s="121">
        <v>0.15925570113232546</v>
      </c>
      <c r="N972" s="121"/>
      <c r="O972" s="121"/>
      <c r="P972" s="121"/>
      <c r="R972">
        <v>158.54242350902757</v>
      </c>
      <c r="S972">
        <v>69.75071416466983</v>
      </c>
      <c r="T972">
        <v>268.43230565198155</v>
      </c>
      <c r="U972">
        <v>90.329093750649122</v>
      </c>
      <c r="X972">
        <v>0.64325881461073131</v>
      </c>
      <c r="Y972">
        <v>0.70471038526170071</v>
      </c>
      <c r="Z972">
        <v>0.4904540226086494</v>
      </c>
      <c r="AA972">
        <v>0.77704849362525685</v>
      </c>
      <c r="AB972">
        <v>0.48082059412548284</v>
      </c>
      <c r="AC972">
        <v>0.86066648966433945</v>
      </c>
      <c r="AD972">
        <v>0.56010756331170708</v>
      </c>
      <c r="AE972">
        <v>0.81782971909421687</v>
      </c>
      <c r="AH972">
        <v>6.0236708858471211E-2</v>
      </c>
      <c r="AI972">
        <v>0.13018976831703788</v>
      </c>
      <c r="AJ972">
        <v>7.8625096189160804E-2</v>
      </c>
      <c r="AK972">
        <v>0.1612617934305719</v>
      </c>
      <c r="AL972">
        <v>3.7870782569987105E-2</v>
      </c>
      <c r="AM972">
        <v>0.10429794405613879</v>
      </c>
      <c r="AN972">
        <v>0.17564435208255524</v>
      </c>
      <c r="AO972">
        <v>5.904648555182046E-2</v>
      </c>
      <c r="AR972">
        <v>1.022389879433927E-3</v>
      </c>
      <c r="AS972">
        <v>4.3551446200759793E-3</v>
      </c>
      <c r="AT972">
        <v>4.7404064943885613E-3</v>
      </c>
      <c r="AU972">
        <v>2.0085910308738075E-3</v>
      </c>
      <c r="AV972">
        <v>2.1608414485094762E-3</v>
      </c>
      <c r="AW972">
        <v>3.437339577751386E-3</v>
      </c>
      <c r="AX972">
        <v>3.0449968888377106E-4</v>
      </c>
      <c r="AY972">
        <v>4.5180438768777087E-4</v>
      </c>
      <c r="BB972">
        <v>4.5832123068009246E-2</v>
      </c>
      <c r="BC972">
        <v>5.7094813690356627E-2</v>
      </c>
      <c r="BE972">
        <v>66411.272182985122</v>
      </c>
      <c r="BF972">
        <v>15.975088128913034</v>
      </c>
      <c r="BG972">
        <v>68500.497752052208</v>
      </c>
      <c r="BH972">
        <v>15.815832427780709</v>
      </c>
      <c r="BI972">
        <v>-2089.2255690670863</v>
      </c>
      <c r="BJ972">
        <v>0.15925570113232546</v>
      </c>
    </row>
    <row r="973" spans="3:62" x14ac:dyDescent="0.2">
      <c r="C973" s="121">
        <v>71345.105985288435</v>
      </c>
      <c r="D973">
        <v>15.605644276082316</v>
      </c>
      <c r="E973" s="121">
        <v>71899.085111260429</v>
      </c>
      <c r="F973" s="121">
        <v>15.508126731665472</v>
      </c>
      <c r="G973" s="121">
        <v>-553.9791259719932</v>
      </c>
      <c r="H973" s="121">
        <v>9.7517544416843904E-2</v>
      </c>
      <c r="N973" s="121"/>
      <c r="O973" s="121"/>
      <c r="P973" s="121"/>
      <c r="R973">
        <v>197.26834396249586</v>
      </c>
      <c r="S973">
        <v>58.769679928846912</v>
      </c>
      <c r="T973">
        <v>240.93481599056494</v>
      </c>
      <c r="U973">
        <v>89.784939776620959</v>
      </c>
      <c r="X973">
        <v>0.83141827164325366</v>
      </c>
      <c r="Y973">
        <v>0.75428028605056652</v>
      </c>
      <c r="Z973">
        <v>0.67925766768543205</v>
      </c>
      <c r="AA973">
        <v>0.76101504507106721</v>
      </c>
      <c r="AB973">
        <v>0.78574617448598416</v>
      </c>
      <c r="AC973">
        <v>0.83213709168442929</v>
      </c>
      <c r="AD973">
        <v>0.86520415789823113</v>
      </c>
      <c r="AE973">
        <v>0.80725154152454015</v>
      </c>
      <c r="AH973">
        <v>8.3785015110228622E-2</v>
      </c>
      <c r="AI973">
        <v>5.6006045993630682E-2</v>
      </c>
      <c r="AJ973">
        <v>9.0424805229430749E-2</v>
      </c>
      <c r="AK973">
        <v>3.8991255179281037E-2</v>
      </c>
      <c r="AL973">
        <v>8.3305815187473486E-2</v>
      </c>
      <c r="AM973">
        <v>0.12430742970164688</v>
      </c>
      <c r="AN973">
        <v>8.5278397356170488E-2</v>
      </c>
      <c r="AO973">
        <v>7.2198819029757999E-2</v>
      </c>
      <c r="AR973">
        <v>8.8291934541050317E-4</v>
      </c>
      <c r="AS973">
        <v>4.3831770823281576E-3</v>
      </c>
      <c r="AT973">
        <v>5.1941439706001402E-3</v>
      </c>
      <c r="AU973">
        <v>2.0168832728442165E-3</v>
      </c>
      <c r="AV973">
        <v>1.9892560861299296E-3</v>
      </c>
      <c r="AW973">
        <v>3.3003087534585408E-3</v>
      </c>
      <c r="AX973">
        <v>3.4529234221950959E-4</v>
      </c>
      <c r="AY973">
        <v>4.8395020621738727E-4</v>
      </c>
      <c r="BB973">
        <v>4.3876042796610212E-2</v>
      </c>
      <c r="BC973">
        <v>4.5661285101543658E-2</v>
      </c>
      <c r="BE973">
        <v>71345.105985288435</v>
      </c>
      <c r="BF973">
        <v>15.605644276082316</v>
      </c>
      <c r="BG973">
        <v>71899.085111260429</v>
      </c>
      <c r="BH973">
        <v>15.508126731665472</v>
      </c>
      <c r="BI973">
        <v>-553.9791259719932</v>
      </c>
      <c r="BJ973">
        <v>9.7517544416843904E-2</v>
      </c>
    </row>
    <row r="974" spans="3:62" x14ac:dyDescent="0.2">
      <c r="C974" s="121">
        <v>75942.62314903659</v>
      </c>
      <c r="D974">
        <v>16.271394068824947</v>
      </c>
      <c r="E974" s="121">
        <v>78240.999174810757</v>
      </c>
      <c r="F974" s="121">
        <v>16.10932662052986</v>
      </c>
      <c r="G974" s="121">
        <v>-2298.3760257741669</v>
      </c>
      <c r="H974" s="121">
        <v>0.16206744829508679</v>
      </c>
      <c r="N974" s="121"/>
      <c r="O974" s="121"/>
      <c r="P974" s="121"/>
      <c r="R974">
        <v>293.55469667711088</v>
      </c>
      <c r="S974">
        <v>66.933551133712783</v>
      </c>
      <c r="T974">
        <v>234.00718518696908</v>
      </c>
      <c r="U974">
        <v>105.78532516472451</v>
      </c>
      <c r="X974">
        <v>0.61670688447824229</v>
      </c>
      <c r="Y974">
        <v>0.78129841825320201</v>
      </c>
      <c r="Z974">
        <v>0.79233801886380362</v>
      </c>
      <c r="AA974">
        <v>0.85966089981868365</v>
      </c>
      <c r="AB974">
        <v>0.41045275118549529</v>
      </c>
      <c r="AC974">
        <v>0.63124836921344907</v>
      </c>
      <c r="AD974">
        <v>0.63909349888432676</v>
      </c>
      <c r="AE974">
        <v>0.55794844400511867</v>
      </c>
      <c r="AH974">
        <v>0.26733716006305641</v>
      </c>
      <c r="AI974">
        <v>0.15226026819687399</v>
      </c>
      <c r="AJ974">
        <v>0.13465561649067315</v>
      </c>
      <c r="AK974">
        <v>0.1161792348969225</v>
      </c>
      <c r="AL974">
        <v>0.21537913624862215</v>
      </c>
      <c r="AM974">
        <v>8.4233106727673146E-2</v>
      </c>
      <c r="AN974">
        <v>0.1044578581507043</v>
      </c>
      <c r="AO974">
        <v>0.22152378206404255</v>
      </c>
      <c r="AR974">
        <v>9.8541277938468674E-4</v>
      </c>
      <c r="AS974">
        <v>4.4533246345754658E-3</v>
      </c>
      <c r="AT974">
        <v>4.7979069122714218E-3</v>
      </c>
      <c r="AU974">
        <v>1.9168626634669622E-3</v>
      </c>
      <c r="AV974">
        <v>1.9570676409079914E-3</v>
      </c>
      <c r="AW974">
        <v>3.3833747847875411E-3</v>
      </c>
      <c r="AX974">
        <v>4.0333758818300591E-4</v>
      </c>
      <c r="AY974">
        <v>6.1320095705819089E-4</v>
      </c>
      <c r="BB974">
        <v>4.4602783574571821E-2</v>
      </c>
      <c r="BC974">
        <v>8.5982812202006542E-2</v>
      </c>
      <c r="BE974">
        <v>75942.62314903659</v>
      </c>
      <c r="BF974">
        <v>16.271394068824947</v>
      </c>
      <c r="BG974">
        <v>78240.999174810757</v>
      </c>
      <c r="BH974">
        <v>16.10932662052986</v>
      </c>
      <c r="BI974">
        <v>-2298.3760257741669</v>
      </c>
      <c r="BJ974">
        <v>0.16206744829508679</v>
      </c>
    </row>
    <row r="975" spans="3:62" x14ac:dyDescent="0.2">
      <c r="C975" s="121">
        <v>61332.439422464071</v>
      </c>
      <c r="D975">
        <v>17.743627704055335</v>
      </c>
      <c r="E975" s="121">
        <v>62926.297759340836</v>
      </c>
      <c r="F975" s="121">
        <v>17.631841264140487</v>
      </c>
      <c r="G975" s="121">
        <v>-1593.858336876765</v>
      </c>
      <c r="H975" s="121">
        <v>0.11178643991484805</v>
      </c>
      <c r="N975" s="121"/>
      <c r="O975" s="121"/>
      <c r="P975" s="121"/>
      <c r="R975">
        <v>160.68256165601116</v>
      </c>
      <c r="S975">
        <v>58.439749503082794</v>
      </c>
      <c r="T975">
        <v>261.06401954101358</v>
      </c>
      <c r="U975">
        <v>76.266873010793176</v>
      </c>
      <c r="X975">
        <v>0.66823705907423481</v>
      </c>
      <c r="Y975">
        <v>0.86207766931712082</v>
      </c>
      <c r="Z975">
        <v>0.76500923617320682</v>
      </c>
      <c r="AA975">
        <v>0.60590264759059065</v>
      </c>
      <c r="AB975">
        <v>0.59626614994644733</v>
      </c>
      <c r="AC975">
        <v>0.85258848983546542</v>
      </c>
      <c r="AD975">
        <v>0.8546062262171823</v>
      </c>
      <c r="AE975">
        <v>0.73059494273614811</v>
      </c>
      <c r="AH975">
        <v>0.12806360037672748</v>
      </c>
      <c r="AI975">
        <v>6.4086336509009523E-2</v>
      </c>
      <c r="AJ975">
        <v>0.1164390724778227</v>
      </c>
      <c r="AK975">
        <v>3.9699354463911707E-2</v>
      </c>
      <c r="AL975">
        <v>8.8992180250808461E-2</v>
      </c>
      <c r="AM975">
        <v>3.737240340041792E-2</v>
      </c>
      <c r="AN975">
        <v>8.8469469027111725E-2</v>
      </c>
      <c r="AO975">
        <v>0.1184317177052896</v>
      </c>
      <c r="AR975">
        <v>9.9952567541750081E-4</v>
      </c>
      <c r="AS975">
        <v>4.3392966697769599E-3</v>
      </c>
      <c r="AT975">
        <v>5.3321641402090947E-3</v>
      </c>
      <c r="AU975">
        <v>1.926870145315635E-3</v>
      </c>
      <c r="AV975">
        <v>2.1706808831869484E-3</v>
      </c>
      <c r="AW975">
        <v>3.468723041870847E-3</v>
      </c>
      <c r="AX975">
        <v>4.6992411242341436E-4</v>
      </c>
      <c r="AY975">
        <v>4.273172388970215E-4</v>
      </c>
      <c r="BB975">
        <v>4.966951692882967E-2</v>
      </c>
      <c r="BC975">
        <v>0.13401566770360274</v>
      </c>
      <c r="BE975">
        <v>61332.439422464071</v>
      </c>
      <c r="BF975">
        <v>17.743627704055335</v>
      </c>
      <c r="BG975">
        <v>62926.297759340836</v>
      </c>
      <c r="BH975">
        <v>17.631841264140487</v>
      </c>
      <c r="BI975">
        <v>-1593.858336876765</v>
      </c>
      <c r="BJ975">
        <v>0.11178643991484805</v>
      </c>
    </row>
    <row r="976" spans="3:62" x14ac:dyDescent="0.2">
      <c r="C976" s="121">
        <v>60961.769872457437</v>
      </c>
      <c r="D976">
        <v>14.846110985885529</v>
      </c>
      <c r="E976" s="121">
        <v>62650.658292782384</v>
      </c>
      <c r="F976" s="121">
        <v>14.818471408509327</v>
      </c>
      <c r="G976" s="121">
        <v>-1688.8884203249472</v>
      </c>
      <c r="H976" s="121">
        <v>2.7639577376202595E-2</v>
      </c>
      <c r="N976" s="121"/>
      <c r="O976" s="121"/>
      <c r="P976" s="121"/>
      <c r="R976">
        <v>182.06237879823036</v>
      </c>
      <c r="S976">
        <v>60.263093498266201</v>
      </c>
      <c r="T976">
        <v>262.76018668433272</v>
      </c>
      <c r="U976">
        <v>113.63120963711042</v>
      </c>
      <c r="X976">
        <v>0.57730658842031679</v>
      </c>
      <c r="Y976">
        <v>0.76441855374381207</v>
      </c>
      <c r="Z976">
        <v>0.88791160264522428</v>
      </c>
      <c r="AA976">
        <v>0.8170503620991223</v>
      </c>
      <c r="AB976">
        <v>0.74011361951135124</v>
      </c>
      <c r="AC976">
        <v>0.51951913630664193</v>
      </c>
      <c r="AD976">
        <v>0.61533808614553498</v>
      </c>
      <c r="AE976">
        <v>0.75845170361227165</v>
      </c>
      <c r="AH976">
        <v>7.2799643646865642E-2</v>
      </c>
      <c r="AI976">
        <v>7.9061892286203084E-2</v>
      </c>
      <c r="AJ976">
        <v>2.2059504062801771E-2</v>
      </c>
      <c r="AK976">
        <v>0.10032184846055847</v>
      </c>
      <c r="AL976">
        <v>4.50677490568272E-2</v>
      </c>
      <c r="AM976">
        <v>0.17552351115163867</v>
      </c>
      <c r="AN976">
        <v>1.2536856824994391E-2</v>
      </c>
      <c r="AO976">
        <v>0.1746750524917956</v>
      </c>
      <c r="AR976">
        <v>1.0113356966369169E-3</v>
      </c>
      <c r="AS976">
        <v>4.5038431624225828E-3</v>
      </c>
      <c r="AT976">
        <v>4.8429178560512789E-3</v>
      </c>
      <c r="AU976">
        <v>2.1333530527660738E-3</v>
      </c>
      <c r="AV976">
        <v>1.9860914617603896E-3</v>
      </c>
      <c r="AW976">
        <v>3.5751366729354084E-3</v>
      </c>
      <c r="AX976">
        <v>4.2075556589626917E-4</v>
      </c>
      <c r="AY976">
        <v>4.2138823237901878E-4</v>
      </c>
      <c r="BB976">
        <v>5.0610639396735602E-2</v>
      </c>
      <c r="BC976">
        <v>5.131298316917321E-2</v>
      </c>
      <c r="BE976">
        <v>60961.769872457437</v>
      </c>
      <c r="BF976">
        <v>14.846110985885529</v>
      </c>
      <c r="BG976">
        <v>62650.658292782384</v>
      </c>
      <c r="BH976">
        <v>14.818471408509327</v>
      </c>
      <c r="BI976">
        <v>-1688.8884203249472</v>
      </c>
      <c r="BJ976">
        <v>2.7639577376202595E-2</v>
      </c>
    </row>
    <row r="977" spans="3:62" x14ac:dyDescent="0.2">
      <c r="C977" s="121">
        <v>78042.257203441623</v>
      </c>
      <c r="D977">
        <v>15.84417861641772</v>
      </c>
      <c r="E977" s="121">
        <v>80045.431910542757</v>
      </c>
      <c r="F977" s="121">
        <v>15.69061433741803</v>
      </c>
      <c r="G977" s="121">
        <v>-2003.1747071011341</v>
      </c>
      <c r="H977" s="121">
        <v>0.15356427899969027</v>
      </c>
      <c r="N977" s="121"/>
      <c r="O977" s="121"/>
      <c r="P977" s="121"/>
      <c r="R977">
        <v>309.87956741621696</v>
      </c>
      <c r="S977">
        <v>65.597558991612829</v>
      </c>
      <c r="T977">
        <v>256.02123194372928</v>
      </c>
      <c r="U977">
        <v>71.450368278788289</v>
      </c>
      <c r="X977">
        <v>0.63260086962561124</v>
      </c>
      <c r="Y977">
        <v>0.80951064368482351</v>
      </c>
      <c r="Z977">
        <v>0.8231552964926081</v>
      </c>
      <c r="AA977">
        <v>0.58240732787280669</v>
      </c>
      <c r="AB977">
        <v>0.73269304980734651</v>
      </c>
      <c r="AC977">
        <v>0.83851907147175708</v>
      </c>
      <c r="AD977">
        <v>0.96156396626044127</v>
      </c>
      <c r="AE977">
        <v>0.82998246881495585</v>
      </c>
      <c r="AH977">
        <v>7.5859705212084405E-2</v>
      </c>
      <c r="AI977">
        <v>7.5055275328847482E-2</v>
      </c>
      <c r="AJ977">
        <v>4.4433740572557001E-2</v>
      </c>
      <c r="AK977">
        <v>0.17122683543734629</v>
      </c>
      <c r="AL977">
        <v>0.25309936829678625</v>
      </c>
      <c r="AM977">
        <v>6.7222809360089952E-2</v>
      </c>
      <c r="AN977">
        <v>0.24418255150658019</v>
      </c>
      <c r="AO977">
        <v>0.13170106902509182</v>
      </c>
      <c r="AR977">
        <v>8.5937312420648903E-4</v>
      </c>
      <c r="AS977">
        <v>4.6146207329501587E-3</v>
      </c>
      <c r="AT977">
        <v>4.613419754375252E-3</v>
      </c>
      <c r="AU977">
        <v>1.9121574526846092E-3</v>
      </c>
      <c r="AV977">
        <v>2.2192506248197574E-3</v>
      </c>
      <c r="AW977">
        <v>3.4071320281178208E-3</v>
      </c>
      <c r="AX977">
        <v>3.2240903190105391E-4</v>
      </c>
      <c r="AY977">
        <v>4.5672955498199386E-4</v>
      </c>
      <c r="BB977">
        <v>4.7651291381621975E-2</v>
      </c>
      <c r="BC977">
        <v>6.0204559052676743E-2</v>
      </c>
      <c r="BE977">
        <v>78042.257203441623</v>
      </c>
      <c r="BF977">
        <v>15.84417861641772</v>
      </c>
      <c r="BG977">
        <v>80045.431910542757</v>
      </c>
      <c r="BH977">
        <v>15.69061433741803</v>
      </c>
      <c r="BI977">
        <v>-2003.1747071011341</v>
      </c>
      <c r="BJ977">
        <v>0.15356427899969027</v>
      </c>
    </row>
    <row r="978" spans="3:62" x14ac:dyDescent="0.2">
      <c r="C978" s="121">
        <v>61473.226460457096</v>
      </c>
      <c r="D978">
        <v>16.95854174206789</v>
      </c>
      <c r="E978" s="121">
        <v>62817.020551009366</v>
      </c>
      <c r="F978" s="121">
        <v>16.833786805684998</v>
      </c>
      <c r="G978" s="121">
        <v>-1343.7940905522701</v>
      </c>
      <c r="H978" s="121">
        <v>0.12475493638289237</v>
      </c>
      <c r="N978" s="121"/>
      <c r="O978" s="121"/>
      <c r="P978" s="121"/>
      <c r="R978">
        <v>259.61261909344347</v>
      </c>
      <c r="S978">
        <v>52.510555711944683</v>
      </c>
      <c r="T978">
        <v>272.40531527622022</v>
      </c>
      <c r="U978">
        <v>103.73186566186564</v>
      </c>
      <c r="X978">
        <v>0.80846955750035232</v>
      </c>
      <c r="Y978">
        <v>0.89492965198099483</v>
      </c>
      <c r="Z978">
        <v>0.86172452290509449</v>
      </c>
      <c r="AA978">
        <v>0.80049193116840245</v>
      </c>
      <c r="AB978">
        <v>0.67735328622067381</v>
      </c>
      <c r="AC978">
        <v>0.64373478036224552</v>
      </c>
      <c r="AD978">
        <v>0.79351622161654867</v>
      </c>
      <c r="AE978">
        <v>0.84404330908146541</v>
      </c>
      <c r="AH978">
        <v>8.4555768753490357E-3</v>
      </c>
      <c r="AI978">
        <v>0.16975259800771081</v>
      </c>
      <c r="AJ978">
        <v>6.9574383321624578E-2</v>
      </c>
      <c r="AK978">
        <v>0.17443215694319247</v>
      </c>
      <c r="AL978">
        <v>8.6427804788137608E-2</v>
      </c>
      <c r="AM978">
        <v>0.10549361922625544</v>
      </c>
      <c r="AN978">
        <v>0.16831856968701542</v>
      </c>
      <c r="AO978">
        <v>0.2715753353556406</v>
      </c>
      <c r="AR978">
        <v>8.1931330422617453E-4</v>
      </c>
      <c r="AS978">
        <v>4.1788969314554914E-3</v>
      </c>
      <c r="AT978">
        <v>4.9395301789866928E-3</v>
      </c>
      <c r="AU978">
        <v>1.9498065386029787E-3</v>
      </c>
      <c r="AV978">
        <v>2.0164724015522273E-3</v>
      </c>
      <c r="AW978">
        <v>3.1588693962980915E-3</v>
      </c>
      <c r="AX978">
        <v>3.2924343740686524E-4</v>
      </c>
      <c r="AY978">
        <v>4.7399772379397298E-4</v>
      </c>
      <c r="BB978">
        <v>4.914207422225865E-2</v>
      </c>
      <c r="BC978">
        <v>4.2602170968625411E-2</v>
      </c>
      <c r="BE978">
        <v>61473.226460457096</v>
      </c>
      <c r="BF978">
        <v>16.95854174206789</v>
      </c>
      <c r="BG978">
        <v>62817.020551009366</v>
      </c>
      <c r="BH978">
        <v>16.833786805684998</v>
      </c>
      <c r="BI978">
        <v>-1343.7940905522701</v>
      </c>
      <c r="BJ978">
        <v>0.12475493638289237</v>
      </c>
    </row>
    <row r="979" spans="3:62" x14ac:dyDescent="0.2">
      <c r="C979" s="121">
        <v>63721.659235261526</v>
      </c>
      <c r="D979">
        <v>17.619857107664785</v>
      </c>
      <c r="E979" s="121">
        <v>64937.072568662217</v>
      </c>
      <c r="F979" s="121">
        <v>17.526569713541395</v>
      </c>
      <c r="G979" s="121">
        <v>-1215.413333400691</v>
      </c>
      <c r="H979" s="121">
        <v>9.3287394123390044E-2</v>
      </c>
      <c r="N979" s="121"/>
      <c r="O979" s="121"/>
      <c r="P979" s="121"/>
      <c r="R979">
        <v>141.1167890145214</v>
      </c>
      <c r="S979">
        <v>66.189799422185516</v>
      </c>
      <c r="T979">
        <v>269.55203631954811</v>
      </c>
      <c r="U979">
        <v>89.356584381321213</v>
      </c>
      <c r="X979">
        <v>0.69248700444634004</v>
      </c>
      <c r="Y979">
        <v>0.51270760661483439</v>
      </c>
      <c r="Z979">
        <v>0.84284902848869137</v>
      </c>
      <c r="AA979">
        <v>0.44845051405500519</v>
      </c>
      <c r="AB979">
        <v>0.78454533319786368</v>
      </c>
      <c r="AC979">
        <v>0.71965065187970922</v>
      </c>
      <c r="AD979">
        <v>0.75955132761126687</v>
      </c>
      <c r="AE979">
        <v>0.85991771532381778</v>
      </c>
      <c r="AH979">
        <v>0.12654876506900448</v>
      </c>
      <c r="AI979">
        <v>0.10056242334844567</v>
      </c>
      <c r="AJ979">
        <v>7.2706283981564979E-2</v>
      </c>
      <c r="AK979">
        <v>0.20967598852868108</v>
      </c>
      <c r="AL979">
        <v>0.16452392239891667</v>
      </c>
      <c r="AM979">
        <v>0.10602164383721946</v>
      </c>
      <c r="AN979">
        <v>0.18938241319494331</v>
      </c>
      <c r="AO979">
        <v>2.4031713286304379E-2</v>
      </c>
      <c r="AR979">
        <v>9.2081240153452093E-4</v>
      </c>
      <c r="AS979">
        <v>4.7668772293418815E-3</v>
      </c>
      <c r="AT979">
        <v>4.8522866408921301E-3</v>
      </c>
      <c r="AU979">
        <v>2.1679328387620433E-3</v>
      </c>
      <c r="AV979">
        <v>2.1115764827900341E-3</v>
      </c>
      <c r="AW979">
        <v>3.2844722825419105E-3</v>
      </c>
      <c r="AX979">
        <v>3.1872405993686249E-4</v>
      </c>
      <c r="AY979">
        <v>5.3198975021540029E-4</v>
      </c>
      <c r="BB979">
        <v>5.2590640101320196E-2</v>
      </c>
      <c r="BC979">
        <v>3.9621807844296392E-2</v>
      </c>
      <c r="BE979">
        <v>63721.659235261526</v>
      </c>
      <c r="BF979">
        <v>17.619857107664785</v>
      </c>
      <c r="BG979">
        <v>64937.072568662217</v>
      </c>
      <c r="BH979">
        <v>17.526569713541395</v>
      </c>
      <c r="BI979">
        <v>-1215.413333400691</v>
      </c>
      <c r="BJ979">
        <v>9.3287394123390044E-2</v>
      </c>
    </row>
    <row r="980" spans="3:62" x14ac:dyDescent="0.2">
      <c r="C980" s="121">
        <v>74892.444356023261</v>
      </c>
      <c r="D980">
        <v>16.527054412319032</v>
      </c>
      <c r="E980" s="121">
        <v>77028.66783381594</v>
      </c>
      <c r="F980" s="121">
        <v>16.419651940451363</v>
      </c>
      <c r="G980" s="121">
        <v>-2136.2234777926788</v>
      </c>
      <c r="H980" s="121">
        <v>0.10740247186766894</v>
      </c>
      <c r="N980" s="121"/>
      <c r="O980" s="121"/>
      <c r="P980" s="121"/>
      <c r="R980">
        <v>225.39308147571069</v>
      </c>
      <c r="S980">
        <v>64.576315413748489</v>
      </c>
      <c r="T980">
        <v>233.00828224352094</v>
      </c>
      <c r="U980">
        <v>94.306894917772823</v>
      </c>
      <c r="X980">
        <v>0.72928368717850733</v>
      </c>
      <c r="Y980">
        <v>0.83610965061736697</v>
      </c>
      <c r="Z980">
        <v>0.96141688178575579</v>
      </c>
      <c r="AA980">
        <v>0.49238011625018047</v>
      </c>
      <c r="AB980">
        <v>0.55522982801668852</v>
      </c>
      <c r="AC980">
        <v>0.74703751114438077</v>
      </c>
      <c r="AD980">
        <v>0.71308735432585235</v>
      </c>
      <c r="AE980">
        <v>0.80211042919171449</v>
      </c>
      <c r="AH980">
        <v>0.1796293709862361</v>
      </c>
      <c r="AI980">
        <v>0.17125969975066069</v>
      </c>
      <c r="AJ980">
        <v>0.27986925472322688</v>
      </c>
      <c r="AK980">
        <v>9.2013326539542195E-2</v>
      </c>
      <c r="AL980">
        <v>4.9208939552630837E-2</v>
      </c>
      <c r="AM980">
        <v>0.21527700213251622</v>
      </c>
      <c r="AN980">
        <v>4.4817957170912526E-2</v>
      </c>
      <c r="AO980">
        <v>0.27013805316245154</v>
      </c>
      <c r="AR980">
        <v>9.8589542585858503E-4</v>
      </c>
      <c r="AS980">
        <v>4.3091087378449196E-3</v>
      </c>
      <c r="AT980">
        <v>5.0841764643974052E-3</v>
      </c>
      <c r="AU980">
        <v>1.9071411293418484E-3</v>
      </c>
      <c r="AV980">
        <v>1.7494427997772025E-3</v>
      </c>
      <c r="AW980">
        <v>3.3156751797071668E-3</v>
      </c>
      <c r="AX980">
        <v>3.3261572347633567E-4</v>
      </c>
      <c r="AY980">
        <v>3.8152365173197968E-4</v>
      </c>
      <c r="BB980">
        <v>4.7952329744018508E-2</v>
      </c>
      <c r="BC980">
        <v>5.811785766448474E-2</v>
      </c>
      <c r="BE980">
        <v>74892.444356023261</v>
      </c>
      <c r="BF980">
        <v>16.527054412319032</v>
      </c>
      <c r="BG980">
        <v>77028.66783381594</v>
      </c>
      <c r="BH980">
        <v>16.419651940451363</v>
      </c>
      <c r="BI980">
        <v>-2136.2234777926788</v>
      </c>
      <c r="BJ980">
        <v>0.10740247186766894</v>
      </c>
    </row>
    <row r="981" spans="3:62" x14ac:dyDescent="0.2">
      <c r="C981" s="121">
        <v>69090.463664519615</v>
      </c>
      <c r="D981">
        <v>14.797379929603585</v>
      </c>
      <c r="E981" s="121">
        <v>70900.376632771746</v>
      </c>
      <c r="F981" s="121">
        <v>14.604001351892853</v>
      </c>
      <c r="G981" s="121">
        <v>-1809.9129682521307</v>
      </c>
      <c r="H981" s="121">
        <v>0.19337857771073175</v>
      </c>
      <c r="N981" s="121"/>
      <c r="O981" s="121"/>
      <c r="P981" s="121"/>
      <c r="R981">
        <v>269.80064101859426</v>
      </c>
      <c r="S981">
        <v>58.68299144323727</v>
      </c>
      <c r="T981">
        <v>248.18631543738721</v>
      </c>
      <c r="U981">
        <v>103.44113224594211</v>
      </c>
      <c r="X981">
        <v>0.76145240134529579</v>
      </c>
      <c r="Y981">
        <v>0.8297815930446607</v>
      </c>
      <c r="Z981">
        <v>0.38883951065046624</v>
      </c>
      <c r="AA981">
        <v>0.79512075211152844</v>
      </c>
      <c r="AB981">
        <v>0.78977735059699905</v>
      </c>
      <c r="AC981">
        <v>0.69997145426484253</v>
      </c>
      <c r="AD981">
        <v>0.64716830573279627</v>
      </c>
      <c r="AE981">
        <v>0.73130780412132645</v>
      </c>
      <c r="AH981">
        <v>0.17651431476924784</v>
      </c>
      <c r="AI981">
        <v>9.2233600684545114E-2</v>
      </c>
      <c r="AJ981">
        <v>0.22310378464275338</v>
      </c>
      <c r="AK981">
        <v>5.0293669194206858E-2</v>
      </c>
      <c r="AL981">
        <v>1.5308088106267381E-2</v>
      </c>
      <c r="AM981">
        <v>5.2737277794175252E-2</v>
      </c>
      <c r="AN981">
        <v>0.16925477973236125</v>
      </c>
      <c r="AO981">
        <v>8.21318948786528E-2</v>
      </c>
      <c r="AR981">
        <v>9.8129847059080788E-4</v>
      </c>
      <c r="AS981">
        <v>4.2323614419998755E-3</v>
      </c>
      <c r="AT981">
        <v>4.5495892102227122E-3</v>
      </c>
      <c r="AU981">
        <v>1.9710003384525911E-3</v>
      </c>
      <c r="AV981">
        <v>2.0820118382746111E-3</v>
      </c>
      <c r="AW981">
        <v>3.2186136617092316E-3</v>
      </c>
      <c r="AX981">
        <v>4.43082858533006E-4</v>
      </c>
      <c r="AY981">
        <v>4.2788023787405368E-4</v>
      </c>
      <c r="BB981">
        <v>4.7835920851261753E-2</v>
      </c>
      <c r="BC981">
        <v>5.0927533793588942E-2</v>
      </c>
      <c r="BE981">
        <v>69090.463664519615</v>
      </c>
      <c r="BF981">
        <v>14.797379929603585</v>
      </c>
      <c r="BG981">
        <v>70900.376632771746</v>
      </c>
      <c r="BH981">
        <v>14.604001351892853</v>
      </c>
      <c r="BI981">
        <v>-1809.9129682521307</v>
      </c>
      <c r="BJ981">
        <v>0.19337857771073175</v>
      </c>
    </row>
    <row r="982" spans="3:62" x14ac:dyDescent="0.2">
      <c r="C982" s="121">
        <v>71888.971122645336</v>
      </c>
      <c r="D982">
        <v>16.278797212517002</v>
      </c>
      <c r="E982" s="121">
        <v>72831.517539950277</v>
      </c>
      <c r="F982" s="121">
        <v>16.186656081805207</v>
      </c>
      <c r="G982" s="121">
        <v>-942.54641730494041</v>
      </c>
      <c r="H982" s="121">
        <v>9.2141130711794972E-2</v>
      </c>
      <c r="N982" s="121"/>
      <c r="O982" s="121"/>
      <c r="P982" s="121"/>
      <c r="R982">
        <v>234.60979630125485</v>
      </c>
      <c r="S982">
        <v>57.881758298660628</v>
      </c>
      <c r="T982">
        <v>228.03770469919453</v>
      </c>
      <c r="U982">
        <v>82.484143476084839</v>
      </c>
      <c r="X982">
        <v>0.97434471976999371</v>
      </c>
      <c r="Y982">
        <v>0.95422526700390697</v>
      </c>
      <c r="Z982">
        <v>0.73602924362768407</v>
      </c>
      <c r="AA982">
        <v>0.65971733239635599</v>
      </c>
      <c r="AB982">
        <v>0.85213595465424918</v>
      </c>
      <c r="AC982">
        <v>0.43889327369815317</v>
      </c>
      <c r="AD982">
        <v>0.9180743341590053</v>
      </c>
      <c r="AE982">
        <v>0.7548498638028035</v>
      </c>
      <c r="AH982">
        <v>0.10495152688414</v>
      </c>
      <c r="AI982">
        <v>5.4773599101966997E-2</v>
      </c>
      <c r="AJ982">
        <v>2.411026503880076E-2</v>
      </c>
      <c r="AK982">
        <v>5.2034192270419943E-2</v>
      </c>
      <c r="AL982">
        <v>2.9417486312148244E-2</v>
      </c>
      <c r="AM982">
        <v>0.13140859031187213</v>
      </c>
      <c r="AN982">
        <v>3.7756640086053395E-2</v>
      </c>
      <c r="AO982">
        <v>0.1358006043834239</v>
      </c>
      <c r="AR982">
        <v>9.0774306060947829E-4</v>
      </c>
      <c r="AS982">
        <v>4.5817880740227634E-3</v>
      </c>
      <c r="AT982">
        <v>5.2587474805653178E-3</v>
      </c>
      <c r="AU982">
        <v>1.841401502107438E-3</v>
      </c>
      <c r="AV982">
        <v>2.2069171665561882E-3</v>
      </c>
      <c r="AW982">
        <v>3.5498400213620496E-3</v>
      </c>
      <c r="AX982">
        <v>3.7902352035879661E-4</v>
      </c>
      <c r="AY982">
        <v>3.8802704552496275E-4</v>
      </c>
      <c r="BB982">
        <v>4.9413995411316532E-2</v>
      </c>
      <c r="BC982">
        <v>4.2362724414629759E-2</v>
      </c>
      <c r="BE982">
        <v>71888.971122645336</v>
      </c>
      <c r="BF982">
        <v>16.278797212517002</v>
      </c>
      <c r="BG982">
        <v>72831.517539950277</v>
      </c>
      <c r="BH982">
        <v>16.186656081805207</v>
      </c>
      <c r="BI982">
        <v>-942.54641730494041</v>
      </c>
      <c r="BJ982">
        <v>9.2141130711794972E-2</v>
      </c>
    </row>
    <row r="983" spans="3:62" x14ac:dyDescent="0.2">
      <c r="C983" s="121">
        <v>75548.953682999476</v>
      </c>
      <c r="D983">
        <v>15.003107937894272</v>
      </c>
      <c r="E983" s="121">
        <v>77556.790944495064</v>
      </c>
      <c r="F983" s="121">
        <v>14.795458561529136</v>
      </c>
      <c r="G983" s="121">
        <v>-2007.8372614955879</v>
      </c>
      <c r="H983" s="121">
        <v>0.20764937636513636</v>
      </c>
      <c r="N983" s="121"/>
      <c r="O983" s="121"/>
      <c r="P983" s="121"/>
      <c r="R983">
        <v>340.06533915425882</v>
      </c>
      <c r="S983">
        <v>60.602766228375771</v>
      </c>
      <c r="T983">
        <v>219.08384191802159</v>
      </c>
      <c r="U983">
        <v>93.451884999976258</v>
      </c>
      <c r="X983">
        <v>0.69961662697095017</v>
      </c>
      <c r="Y983">
        <v>0.68846423595632</v>
      </c>
      <c r="Z983">
        <v>0.62860717995928361</v>
      </c>
      <c r="AA983">
        <v>0.80863708551251634</v>
      </c>
      <c r="AB983">
        <v>0.87608377007605154</v>
      </c>
      <c r="AC983">
        <v>0.7509871797414811</v>
      </c>
      <c r="AD983">
        <v>0.61521448675458712</v>
      </c>
      <c r="AE983">
        <v>0.43594081340017532</v>
      </c>
      <c r="AH983">
        <v>0.24878538697954244</v>
      </c>
      <c r="AI983">
        <v>4.4247850354978469E-2</v>
      </c>
      <c r="AJ983">
        <v>0.16697437027321238</v>
      </c>
      <c r="AK983">
        <v>8.2645734293495421E-2</v>
      </c>
      <c r="AL983">
        <v>0.23311467709823264</v>
      </c>
      <c r="AM983">
        <v>0.29311094039044971</v>
      </c>
      <c r="AN983">
        <v>1.305674476535279E-2</v>
      </c>
      <c r="AO983">
        <v>7.7926451384886297E-2</v>
      </c>
      <c r="AR983">
        <v>8.0666749753341112E-4</v>
      </c>
      <c r="AS983">
        <v>4.5118482889088263E-3</v>
      </c>
      <c r="AT983">
        <v>4.9787198960961065E-3</v>
      </c>
      <c r="AU983">
        <v>1.7165511782388078E-3</v>
      </c>
      <c r="AV983">
        <v>2.1295867666825119E-3</v>
      </c>
      <c r="AW983">
        <v>3.4259641730739476E-3</v>
      </c>
      <c r="AX983">
        <v>4.6408259319430378E-4</v>
      </c>
      <c r="AY983">
        <v>4.072049659439793E-4</v>
      </c>
      <c r="BB983">
        <v>5.6410240000696832E-2</v>
      </c>
      <c r="BC983">
        <v>8.1345796752571253E-2</v>
      </c>
      <c r="BE983">
        <v>75548.953682999476</v>
      </c>
      <c r="BF983">
        <v>15.003107937894272</v>
      </c>
      <c r="BG983">
        <v>77556.790944495064</v>
      </c>
      <c r="BH983">
        <v>14.795458561529136</v>
      </c>
      <c r="BI983">
        <v>-2007.8372614955879</v>
      </c>
      <c r="BJ983">
        <v>0.20764937636513636</v>
      </c>
    </row>
    <row r="984" spans="3:62" x14ac:dyDescent="0.2">
      <c r="C984" s="121">
        <v>72706.527372144672</v>
      </c>
      <c r="D984">
        <v>16.466489714515337</v>
      </c>
      <c r="E984" s="121">
        <v>75166.938525447855</v>
      </c>
      <c r="F984" s="121">
        <v>16.29104947892003</v>
      </c>
      <c r="G984" s="121">
        <v>-2460.4111533031828</v>
      </c>
      <c r="H984" s="121">
        <v>0.17544023559530686</v>
      </c>
      <c r="N984" s="121"/>
      <c r="O984" s="121"/>
      <c r="P984" s="121"/>
      <c r="R984">
        <v>104.82665192641898</v>
      </c>
      <c r="S984">
        <v>68.845787810054802</v>
      </c>
      <c r="T984">
        <v>236.02452628679524</v>
      </c>
      <c r="U984">
        <v>80.212630397806066</v>
      </c>
      <c r="X984">
        <v>0.74115203982888134</v>
      </c>
      <c r="Y984">
        <v>0.61074367032518329</v>
      </c>
      <c r="Z984">
        <v>0.79886537030491644</v>
      </c>
      <c r="AA984">
        <v>0.95611720156324564</v>
      </c>
      <c r="AB984">
        <v>0.65089086373183236</v>
      </c>
      <c r="AC984">
        <v>0.83160771051124183</v>
      </c>
      <c r="AD984">
        <v>0.81346239414156429</v>
      </c>
      <c r="AE984">
        <v>0.87713254113373618</v>
      </c>
      <c r="AH984">
        <v>0.21157746731725124</v>
      </c>
      <c r="AI984">
        <v>0.20856433853260703</v>
      </c>
      <c r="AJ984">
        <v>0.13247485622964938</v>
      </c>
      <c r="AK984">
        <v>0.16276134552597454</v>
      </c>
      <c r="AL984">
        <v>0.13260787976530086</v>
      </c>
      <c r="AM984">
        <v>9.0828792725374585E-2</v>
      </c>
      <c r="AN984">
        <v>0.12169965158748164</v>
      </c>
      <c r="AO984">
        <v>0.11427425644106148</v>
      </c>
      <c r="AR984">
        <v>9.1202381725696835E-4</v>
      </c>
      <c r="AS984">
        <v>4.7889016209781143E-3</v>
      </c>
      <c r="AT984">
        <v>4.6868186618040583E-3</v>
      </c>
      <c r="AU984">
        <v>1.969541134925628E-3</v>
      </c>
      <c r="AV984">
        <v>1.9162174620058125E-3</v>
      </c>
      <c r="AW984">
        <v>3.7424471472931042E-3</v>
      </c>
      <c r="AX984">
        <v>3.4533481679189658E-4</v>
      </c>
      <c r="AY984">
        <v>5.2365884201666102E-4</v>
      </c>
      <c r="BB984">
        <v>4.5468166951456009E-2</v>
      </c>
      <c r="BC984">
        <v>7.6941115132385773E-2</v>
      </c>
      <c r="BE984">
        <v>72706.527372144672</v>
      </c>
      <c r="BF984">
        <v>16.466489714515337</v>
      </c>
      <c r="BG984">
        <v>75166.938525447855</v>
      </c>
      <c r="BH984">
        <v>16.29104947892003</v>
      </c>
      <c r="BI984">
        <v>-2460.4111533031828</v>
      </c>
      <c r="BJ984">
        <v>0.17544023559530686</v>
      </c>
    </row>
    <row r="985" spans="3:62" x14ac:dyDescent="0.2">
      <c r="C985" s="121">
        <v>72836.269346328569</v>
      </c>
      <c r="D985">
        <v>15.408961841846461</v>
      </c>
      <c r="E985" s="121">
        <v>74818.121229082535</v>
      </c>
      <c r="F985" s="121">
        <v>15.211380199250685</v>
      </c>
      <c r="G985" s="121">
        <v>-1981.8518827539665</v>
      </c>
      <c r="H985" s="121">
        <v>0.19758164259577526</v>
      </c>
      <c r="N985" s="121"/>
      <c r="O985" s="121"/>
      <c r="P985" s="121"/>
      <c r="R985">
        <v>274.41043247109485</v>
      </c>
      <c r="S985">
        <v>56.040204379603736</v>
      </c>
      <c r="T985">
        <v>243.39068499006021</v>
      </c>
      <c r="U985">
        <v>84.829821626550711</v>
      </c>
      <c r="X985">
        <v>0.81499642544009054</v>
      </c>
      <c r="Y985">
        <v>0.68097968121373076</v>
      </c>
      <c r="Z985">
        <v>0.85491016482529436</v>
      </c>
      <c r="AA985">
        <v>0.91503944746749077</v>
      </c>
      <c r="AB985">
        <v>0.69156187057449225</v>
      </c>
      <c r="AC985">
        <v>0.60174318214251188</v>
      </c>
      <c r="AD985">
        <v>0.75274705261471031</v>
      </c>
      <c r="AE985">
        <v>0.90433357421918559</v>
      </c>
      <c r="AH985">
        <v>0.31043297714099893</v>
      </c>
      <c r="AI985">
        <v>2.5733926418762709E-2</v>
      </c>
      <c r="AJ985">
        <v>6.5034829888386048E-2</v>
      </c>
      <c r="AK985">
        <v>0.18720544034840692</v>
      </c>
      <c r="AL985">
        <v>7.5151158105542404E-2</v>
      </c>
      <c r="AM985">
        <v>5.4679756453651196E-2</v>
      </c>
      <c r="AN985">
        <v>0.15772647741311308</v>
      </c>
      <c r="AO985">
        <v>1.1171634244920403E-2</v>
      </c>
      <c r="AR985">
        <v>9.0292788577661653E-4</v>
      </c>
      <c r="AS985">
        <v>4.5605041066544283E-3</v>
      </c>
      <c r="AT985">
        <v>4.9932624778290524E-3</v>
      </c>
      <c r="AU985">
        <v>1.9383944146019244E-3</v>
      </c>
      <c r="AV985">
        <v>2.097450999836048E-3</v>
      </c>
      <c r="AW985">
        <v>3.266786358502115E-3</v>
      </c>
      <c r="AX985">
        <v>4.1486491911046919E-4</v>
      </c>
      <c r="AY985">
        <v>3.5635371061736829E-4</v>
      </c>
      <c r="BB985">
        <v>4.8548935957516505E-2</v>
      </c>
      <c r="BC985">
        <v>1.8752178182097651E-2</v>
      </c>
      <c r="BE985">
        <v>72836.269346328569</v>
      </c>
      <c r="BF985">
        <v>15.408961841846461</v>
      </c>
      <c r="BG985">
        <v>74818.121229082535</v>
      </c>
      <c r="BH985">
        <v>15.211380199250685</v>
      </c>
      <c r="BI985">
        <v>-1981.8518827539665</v>
      </c>
      <c r="BJ985">
        <v>0.19758164259577526</v>
      </c>
    </row>
    <row r="986" spans="3:62" x14ac:dyDescent="0.2">
      <c r="C986" s="121">
        <v>78779.927680613328</v>
      </c>
      <c r="D986">
        <v>13.718118368229852</v>
      </c>
      <c r="E986" s="121">
        <v>80790.883352166318</v>
      </c>
      <c r="F986" s="121">
        <v>13.564643641939437</v>
      </c>
      <c r="G986" s="121">
        <v>-2010.9556715529907</v>
      </c>
      <c r="H986" s="121">
        <v>0.15347472629041548</v>
      </c>
      <c r="N986" s="121"/>
      <c r="O986" s="121"/>
      <c r="P986" s="121"/>
      <c r="R986">
        <v>222.38999016812969</v>
      </c>
      <c r="S986">
        <v>54.023559180571169</v>
      </c>
      <c r="T986">
        <v>252.3239419406267</v>
      </c>
      <c r="U986">
        <v>95.373704769820748</v>
      </c>
      <c r="X986">
        <v>0.8020332753754057</v>
      </c>
      <c r="Y986">
        <v>0.88983551135992522</v>
      </c>
      <c r="Z986">
        <v>0.74947135456250447</v>
      </c>
      <c r="AA986">
        <v>0.82087347510447728</v>
      </c>
      <c r="AB986">
        <v>0.76552323514415244</v>
      </c>
      <c r="AC986">
        <v>0.67767503294833842</v>
      </c>
      <c r="AD986">
        <v>0.70416619419287207</v>
      </c>
      <c r="AE986">
        <v>0.83423842878490195</v>
      </c>
      <c r="AH986">
        <v>0.10568320497315908</v>
      </c>
      <c r="AI986">
        <v>0.15985593700575551</v>
      </c>
      <c r="AJ986">
        <v>0.19034397613619902</v>
      </c>
      <c r="AK986">
        <v>0.13076610379001552</v>
      </c>
      <c r="AL986">
        <v>0.30009911299703307</v>
      </c>
      <c r="AM986">
        <v>0.14156110684739986</v>
      </c>
      <c r="AN986">
        <v>0.13366067333526643</v>
      </c>
      <c r="AO986">
        <v>0.15329116324476122</v>
      </c>
      <c r="AR986">
        <v>8.9033054725073946E-4</v>
      </c>
      <c r="AS986">
        <v>4.2569476372899514E-3</v>
      </c>
      <c r="AT986">
        <v>4.5489460113317887E-3</v>
      </c>
      <c r="AU986">
        <v>2.0059462895914981E-3</v>
      </c>
      <c r="AV986">
        <v>1.9248199478336351E-3</v>
      </c>
      <c r="AW986">
        <v>3.8143951443564417E-3</v>
      </c>
      <c r="AX986">
        <v>3.9656549712493408E-4</v>
      </c>
      <c r="AY986">
        <v>4.2448476754482396E-4</v>
      </c>
      <c r="BB986">
        <v>5.4543434490574638E-2</v>
      </c>
      <c r="BC986">
        <v>6.4795239535203386E-2</v>
      </c>
      <c r="BE986">
        <v>78779.927680613328</v>
      </c>
      <c r="BF986">
        <v>13.718118368229852</v>
      </c>
      <c r="BG986">
        <v>80790.883352166318</v>
      </c>
      <c r="BH986">
        <v>13.564643641939437</v>
      </c>
      <c r="BI986">
        <v>-2010.9556715529907</v>
      </c>
      <c r="BJ986">
        <v>0.15347472629041548</v>
      </c>
    </row>
    <row r="987" spans="3:62" x14ac:dyDescent="0.2">
      <c r="C987" s="121">
        <v>69675.740108711791</v>
      </c>
      <c r="D987">
        <v>17.025854708187872</v>
      </c>
      <c r="E987" s="121">
        <v>70342.011942805329</v>
      </c>
      <c r="F987" s="121">
        <v>16.947247366163815</v>
      </c>
      <c r="G987" s="121">
        <v>-666.27183409353893</v>
      </c>
      <c r="H987" s="121">
        <v>7.8607342024056948E-2</v>
      </c>
      <c r="N987" s="121"/>
      <c r="O987" s="121"/>
      <c r="P987" s="121"/>
      <c r="R987">
        <v>212.14129966855197</v>
      </c>
      <c r="S987">
        <v>62.24501683842356</v>
      </c>
      <c r="T987">
        <v>244.01947376740446</v>
      </c>
      <c r="U987">
        <v>94.158678994498274</v>
      </c>
      <c r="X987">
        <v>0.55005629879407891</v>
      </c>
      <c r="Y987">
        <v>0.8434674150343302</v>
      </c>
      <c r="Z987">
        <v>0.64610884239712685</v>
      </c>
      <c r="AA987">
        <v>0.76751725648879787</v>
      </c>
      <c r="AB987">
        <v>0.59028542083598823</v>
      </c>
      <c r="AC987">
        <v>0.83950658709331816</v>
      </c>
      <c r="AD987">
        <v>0.65643312224749362</v>
      </c>
      <c r="AE987">
        <v>0.6465288435093921</v>
      </c>
      <c r="AH987">
        <v>0.20485853018405831</v>
      </c>
      <c r="AI987">
        <v>8.7989897817714713E-2</v>
      </c>
      <c r="AJ987">
        <v>8.1946894498389433E-2</v>
      </c>
      <c r="AK987">
        <v>0.13086335667948501</v>
      </c>
      <c r="AL987">
        <v>0.16995074580294478</v>
      </c>
      <c r="AM987">
        <v>0.15107308885267556</v>
      </c>
      <c r="AN987">
        <v>0.19808530463530227</v>
      </c>
      <c r="AO987">
        <v>0.11527318456470736</v>
      </c>
      <c r="AR987">
        <v>9.4511018247289691E-4</v>
      </c>
      <c r="AS987">
        <v>4.5950375953616174E-3</v>
      </c>
      <c r="AT987">
        <v>4.8602117422211254E-3</v>
      </c>
      <c r="AU987">
        <v>1.9262331187119028E-3</v>
      </c>
      <c r="AV987">
        <v>1.8470927140762509E-3</v>
      </c>
      <c r="AW987">
        <v>3.278385741247376E-3</v>
      </c>
      <c r="AX987">
        <v>4.3680089446285209E-4</v>
      </c>
      <c r="AY987">
        <v>3.7015399521419205E-4</v>
      </c>
      <c r="BB987">
        <v>4.8178816239746888E-2</v>
      </c>
      <c r="BC987">
        <v>7.6400936996790292E-2</v>
      </c>
      <c r="BE987">
        <v>69675.740108711791</v>
      </c>
      <c r="BF987">
        <v>17.025854708187872</v>
      </c>
      <c r="BG987">
        <v>70342.011942805329</v>
      </c>
      <c r="BH987">
        <v>16.947247366163815</v>
      </c>
      <c r="BI987">
        <v>-666.27183409353893</v>
      </c>
      <c r="BJ987">
        <v>7.8607342024056948E-2</v>
      </c>
    </row>
    <row r="988" spans="3:62" x14ac:dyDescent="0.2">
      <c r="C988" s="121">
        <v>70130.899669592938</v>
      </c>
      <c r="D988">
        <v>17.65182727479678</v>
      </c>
      <c r="E988" s="121">
        <v>71945.229793908773</v>
      </c>
      <c r="F988" s="121">
        <v>17.528213665064044</v>
      </c>
      <c r="G988" s="121">
        <v>-1814.3301243158348</v>
      </c>
      <c r="H988" s="121">
        <v>0.12361360973273605</v>
      </c>
      <c r="N988" s="121"/>
      <c r="O988" s="121"/>
      <c r="P988" s="121"/>
      <c r="R988">
        <v>404.74457225313267</v>
      </c>
      <c r="S988">
        <v>55.606418824300221</v>
      </c>
      <c r="T988">
        <v>259.88895596274068</v>
      </c>
      <c r="U988">
        <v>96.381462423060881</v>
      </c>
      <c r="X988">
        <v>0.77475437746792941</v>
      </c>
      <c r="Y988">
        <v>0.52557117389350561</v>
      </c>
      <c r="Z988">
        <v>0.87795215852766417</v>
      </c>
      <c r="AA988">
        <v>0.63338123143787595</v>
      </c>
      <c r="AB988">
        <v>0.85363828338696679</v>
      </c>
      <c r="AC988">
        <v>0.37963522129542782</v>
      </c>
      <c r="AD988">
        <v>0.88342166047825776</v>
      </c>
      <c r="AE988">
        <v>0.87386882944596955</v>
      </c>
      <c r="AH988">
        <v>0.29560394290822856</v>
      </c>
      <c r="AI988">
        <v>0.1329032327786237</v>
      </c>
      <c r="AJ988">
        <v>6.6918156482341229E-2</v>
      </c>
      <c r="AK988">
        <v>9.7513388827419112E-2</v>
      </c>
      <c r="AL988">
        <v>7.4194637382982043E-2</v>
      </c>
      <c r="AM988">
        <v>0.1190344564771898</v>
      </c>
      <c r="AN988">
        <v>0.13723960905152444</v>
      </c>
      <c r="AO988">
        <v>1.3620564762398146E-2</v>
      </c>
      <c r="AR988">
        <v>1.0240574679545311E-3</v>
      </c>
      <c r="AS988">
        <v>4.6843677959276242E-3</v>
      </c>
      <c r="AT988">
        <v>5.0464716080866889E-3</v>
      </c>
      <c r="AU988">
        <v>2.038985792416903E-3</v>
      </c>
      <c r="AV988">
        <v>2.0335493347275468E-3</v>
      </c>
      <c r="AW988">
        <v>3.1928156749095786E-3</v>
      </c>
      <c r="AX988">
        <v>4.3836033386612794E-4</v>
      </c>
      <c r="AY988">
        <v>4.5644942274747358E-4</v>
      </c>
      <c r="BB988">
        <v>5.4820690481498069E-2</v>
      </c>
      <c r="BC988">
        <v>9.1453303916771422E-2</v>
      </c>
      <c r="BE988">
        <v>70130.899669592938</v>
      </c>
      <c r="BF988">
        <v>17.65182727479678</v>
      </c>
      <c r="BG988">
        <v>71945.229793908773</v>
      </c>
      <c r="BH988">
        <v>17.528213665064044</v>
      </c>
      <c r="BI988">
        <v>-1814.3301243158348</v>
      </c>
      <c r="BJ988">
        <v>0.12361360973273605</v>
      </c>
    </row>
    <row r="989" spans="3:62" x14ac:dyDescent="0.2">
      <c r="C989" s="121">
        <v>66080.07230279858</v>
      </c>
      <c r="D989">
        <v>17.133625375287302</v>
      </c>
      <c r="E989" s="121">
        <v>68631.006738958735</v>
      </c>
      <c r="F989" s="121">
        <v>16.996463854983983</v>
      </c>
      <c r="G989" s="121">
        <v>-2550.9344361601543</v>
      </c>
      <c r="H989" s="121">
        <v>0.13716152030331941</v>
      </c>
      <c r="N989" s="121"/>
      <c r="O989" s="121"/>
      <c r="P989" s="121"/>
      <c r="R989">
        <v>-25.805855610869628</v>
      </c>
      <c r="S989">
        <v>64.003521372278982</v>
      </c>
      <c r="T989">
        <v>211.87445101599721</v>
      </c>
      <c r="U989">
        <v>64.940081423227042</v>
      </c>
      <c r="X989">
        <v>0.7130507416197327</v>
      </c>
      <c r="Y989">
        <v>0.73021032686881115</v>
      </c>
      <c r="Z989">
        <v>0.82186864361204204</v>
      </c>
      <c r="AA989">
        <v>0.8023582538116496</v>
      </c>
      <c r="AB989">
        <v>0.78945849967164672</v>
      </c>
      <c r="AC989">
        <v>0.93989271494484994</v>
      </c>
      <c r="AD989">
        <v>0.54974543006287557</v>
      </c>
      <c r="AE989">
        <v>0.76152934165766373</v>
      </c>
      <c r="AH989">
        <v>7.9919336624344139E-2</v>
      </c>
      <c r="AI989">
        <v>4.124135576934429E-2</v>
      </c>
      <c r="AJ989">
        <v>0.1581121942048902</v>
      </c>
      <c r="AK989">
        <v>8.4596058903197435E-2</v>
      </c>
      <c r="AL989">
        <v>0.14648658054118668</v>
      </c>
      <c r="AM989">
        <v>0.10642846516183002</v>
      </c>
      <c r="AN989">
        <v>0.10922057308244837</v>
      </c>
      <c r="AO989">
        <v>0.13711435496276192</v>
      </c>
      <c r="AR989">
        <v>8.0764610683256089E-4</v>
      </c>
      <c r="AS989">
        <v>4.1696033888367554E-3</v>
      </c>
      <c r="AT989">
        <v>4.9159847462490599E-3</v>
      </c>
      <c r="AU989">
        <v>1.8419754356979194E-3</v>
      </c>
      <c r="AV989">
        <v>2.0180653792265524E-3</v>
      </c>
      <c r="AW989">
        <v>3.0152341956125629E-3</v>
      </c>
      <c r="AX989">
        <v>3.3927087536229412E-4</v>
      </c>
      <c r="AY989">
        <v>4.2609322855318631E-4</v>
      </c>
      <c r="BB989">
        <v>4.8364975821735594E-2</v>
      </c>
      <c r="BC989">
        <v>3.304580729342934E-2</v>
      </c>
      <c r="BE989">
        <v>66080.07230279858</v>
      </c>
      <c r="BF989">
        <v>17.133625375287302</v>
      </c>
      <c r="BG989">
        <v>68631.006738958735</v>
      </c>
      <c r="BH989">
        <v>16.996463854983983</v>
      </c>
      <c r="BI989">
        <v>-2550.9344361601543</v>
      </c>
      <c r="BJ989">
        <v>0.13716152030331941</v>
      </c>
    </row>
    <row r="990" spans="3:62" x14ac:dyDescent="0.2">
      <c r="C990" s="121">
        <v>68868.108936078046</v>
      </c>
      <c r="D990">
        <v>18.002288279317941</v>
      </c>
      <c r="E990" s="121">
        <v>70656.201855430641</v>
      </c>
      <c r="F990" s="121">
        <v>17.913691800016903</v>
      </c>
      <c r="G990" s="121">
        <v>-1788.0929193525953</v>
      </c>
      <c r="H990" s="121">
        <v>8.8596479301038755E-2</v>
      </c>
      <c r="N990" s="121"/>
      <c r="O990" s="121"/>
      <c r="P990" s="121"/>
      <c r="R990">
        <v>52.200264755802749</v>
      </c>
      <c r="S990">
        <v>76.288971066455673</v>
      </c>
      <c r="T990">
        <v>281.8137726228361</v>
      </c>
      <c r="U990">
        <v>84.742990504780863</v>
      </c>
      <c r="X990">
        <v>0.59245862002432981</v>
      </c>
      <c r="Y990">
        <v>0.55892147939045822</v>
      </c>
      <c r="Z990">
        <v>0.65315531021191719</v>
      </c>
      <c r="AA990">
        <v>0.70714798062221162</v>
      </c>
      <c r="AB990">
        <v>0.76838033032469788</v>
      </c>
      <c r="AC990">
        <v>0.88552591517840684</v>
      </c>
      <c r="AD990">
        <v>0.82920299418087229</v>
      </c>
      <c r="AE990">
        <v>0.62988240828350917</v>
      </c>
      <c r="AH990">
        <v>0.13940046957795926</v>
      </c>
      <c r="AI990">
        <v>4.1564570559664449E-2</v>
      </c>
      <c r="AJ990">
        <v>4.7358805558347705E-2</v>
      </c>
      <c r="AK990">
        <v>4.4319683574513324E-2</v>
      </c>
      <c r="AL990">
        <v>0.15239076069469037</v>
      </c>
      <c r="AM990">
        <v>2.6711194088635315E-2</v>
      </c>
      <c r="AN990">
        <v>0.11860803409060616</v>
      </c>
      <c r="AO990">
        <v>7.7430319631042854E-2</v>
      </c>
      <c r="AR990">
        <v>1.1294478648193884E-3</v>
      </c>
      <c r="AS990">
        <v>4.5143179295515923E-3</v>
      </c>
      <c r="AT990">
        <v>5.029268904935269E-3</v>
      </c>
      <c r="AU990">
        <v>2.1911505548927179E-3</v>
      </c>
      <c r="AV990">
        <v>2.0915587875621755E-3</v>
      </c>
      <c r="AW990">
        <v>3.1996688791516271E-3</v>
      </c>
      <c r="AX990">
        <v>4.9284815759398359E-4</v>
      </c>
      <c r="AY990">
        <v>4.8822007994109295E-4</v>
      </c>
      <c r="BB990">
        <v>4.4618139187116601E-2</v>
      </c>
      <c r="BC990">
        <v>4.4226056215125438E-2</v>
      </c>
      <c r="BE990">
        <v>68868.108936078046</v>
      </c>
      <c r="BF990">
        <v>18.002288279317941</v>
      </c>
      <c r="BG990">
        <v>70656.201855430641</v>
      </c>
      <c r="BH990">
        <v>17.913691800016903</v>
      </c>
      <c r="BI990">
        <v>-1788.0929193525953</v>
      </c>
      <c r="BJ990">
        <v>8.8596479301038755E-2</v>
      </c>
    </row>
    <row r="991" spans="3:62" x14ac:dyDescent="0.2">
      <c r="C991" s="121">
        <v>75407.887297064066</v>
      </c>
      <c r="D991">
        <v>16.052355296712353</v>
      </c>
      <c r="E991" s="121">
        <v>77364.3500006955</v>
      </c>
      <c r="F991" s="121">
        <v>15.88903531529072</v>
      </c>
      <c r="G991" s="121">
        <v>-1956.4627036314341</v>
      </c>
      <c r="H991" s="121">
        <v>0.16331998142163329</v>
      </c>
      <c r="N991" s="121"/>
      <c r="O991" s="121"/>
      <c r="P991" s="121"/>
      <c r="R991">
        <v>433.70967292559681</v>
      </c>
      <c r="S991">
        <v>70.036229282370186</v>
      </c>
      <c r="T991">
        <v>244.30494201798896</v>
      </c>
      <c r="U991">
        <v>101.6933485575902</v>
      </c>
      <c r="X991">
        <v>0.89332883738834723</v>
      </c>
      <c r="Y991">
        <v>0.63962334829726564</v>
      </c>
      <c r="Z991">
        <v>0.74095006864374857</v>
      </c>
      <c r="AA991">
        <v>0.70019293375913683</v>
      </c>
      <c r="AB991">
        <v>0.86780999640226086</v>
      </c>
      <c r="AC991">
        <v>0.72538917666264446</v>
      </c>
      <c r="AD991">
        <v>0.69218991841524591</v>
      </c>
      <c r="AE991">
        <v>0.82908557961750984</v>
      </c>
      <c r="AH991">
        <v>0.12145710336133775</v>
      </c>
      <c r="AI991">
        <v>3.2808058725009803E-2</v>
      </c>
      <c r="AJ991">
        <v>2.4432414514774403E-2</v>
      </c>
      <c r="AK991">
        <v>0.19499703179033978</v>
      </c>
      <c r="AL991">
        <v>0.20132654526387839</v>
      </c>
      <c r="AM991">
        <v>0.12549674928578181</v>
      </c>
      <c r="AN991">
        <v>6.0150418935344785E-2</v>
      </c>
      <c r="AO991">
        <v>7.2728989181543247E-2</v>
      </c>
      <c r="AR991">
        <v>9.2898564898025171E-4</v>
      </c>
      <c r="AS991">
        <v>4.6315328822758017E-3</v>
      </c>
      <c r="AT991">
        <v>4.9396202209325149E-3</v>
      </c>
      <c r="AU991">
        <v>1.8032735193084814E-3</v>
      </c>
      <c r="AV991">
        <v>2.1338741305904074E-3</v>
      </c>
      <c r="AW991">
        <v>3.5248364380597863E-3</v>
      </c>
      <c r="AX991">
        <v>3.3608738176578023E-4</v>
      </c>
      <c r="AY991">
        <v>4.8181484577902722E-4</v>
      </c>
      <c r="BB991">
        <v>4.7481141770325155E-2</v>
      </c>
      <c r="BC991">
        <v>0.10004938988818368</v>
      </c>
      <c r="BE991">
        <v>75407.887297064066</v>
      </c>
      <c r="BF991">
        <v>16.052355296712353</v>
      </c>
      <c r="BG991">
        <v>77364.3500006955</v>
      </c>
      <c r="BH991">
        <v>15.88903531529072</v>
      </c>
      <c r="BI991">
        <v>-1956.4627036314341</v>
      </c>
      <c r="BJ991">
        <v>0.16331998142163329</v>
      </c>
    </row>
    <row r="992" spans="3:62" x14ac:dyDescent="0.2">
      <c r="C992" s="121">
        <v>76565.408443991153</v>
      </c>
      <c r="D992">
        <v>14.981605607629909</v>
      </c>
      <c r="E992" s="121">
        <v>78293.770854654344</v>
      </c>
      <c r="F992" s="121">
        <v>14.790911732549178</v>
      </c>
      <c r="G992" s="121">
        <v>-1728.3624106631905</v>
      </c>
      <c r="H992" s="121">
        <v>0.19069387508073099</v>
      </c>
      <c r="N992" s="121"/>
      <c r="O992" s="121"/>
      <c r="P992" s="121"/>
      <c r="R992">
        <v>157.26226736741347</v>
      </c>
      <c r="S992">
        <v>66.197426394226326</v>
      </c>
      <c r="T992">
        <v>248.89488300918501</v>
      </c>
      <c r="U992">
        <v>76.286237292275686</v>
      </c>
      <c r="X992">
        <v>0.69669860054520782</v>
      </c>
      <c r="Y992">
        <v>0.8325419787351126</v>
      </c>
      <c r="Z992">
        <v>0.80671974436696836</v>
      </c>
      <c r="AA992">
        <v>0.72224645647510499</v>
      </c>
      <c r="AB992">
        <v>0.81386062500464673</v>
      </c>
      <c r="AC992">
        <v>0.62886438595919381</v>
      </c>
      <c r="AD992">
        <v>0.73924730664006866</v>
      </c>
      <c r="AE992">
        <v>0.8560734989782105</v>
      </c>
      <c r="AH992">
        <v>0.30706548567008174</v>
      </c>
      <c r="AI992">
        <v>5.2563454815659827E-2</v>
      </c>
      <c r="AJ992">
        <v>0.15100569885282644</v>
      </c>
      <c r="AK992">
        <v>9.8033649827331204E-2</v>
      </c>
      <c r="AL992">
        <v>0.11874103218609666</v>
      </c>
      <c r="AM992">
        <v>0.41311935394275356</v>
      </c>
      <c r="AN992">
        <v>5.620138474792491E-2</v>
      </c>
      <c r="AO992">
        <v>0.11479335549633585</v>
      </c>
      <c r="AR992">
        <v>1.0260279343375922E-3</v>
      </c>
      <c r="AS992">
        <v>4.5436557277883649E-3</v>
      </c>
      <c r="AT992">
        <v>5.3287275960107738E-3</v>
      </c>
      <c r="AU992">
        <v>1.9443629700551216E-3</v>
      </c>
      <c r="AV992">
        <v>2.1915170614350554E-3</v>
      </c>
      <c r="AW992">
        <v>3.3397226721841697E-3</v>
      </c>
      <c r="AX992">
        <v>4.4733878541791672E-4</v>
      </c>
      <c r="AY992">
        <v>3.7286397451978737E-4</v>
      </c>
      <c r="BB992">
        <v>5.4125661648203982E-2</v>
      </c>
      <c r="BC992">
        <v>3.1618424456417271E-2</v>
      </c>
      <c r="BE992">
        <v>76565.408443991153</v>
      </c>
      <c r="BF992">
        <v>14.981605607629909</v>
      </c>
      <c r="BG992">
        <v>78293.770854654344</v>
      </c>
      <c r="BH992">
        <v>14.790911732549178</v>
      </c>
      <c r="BI992">
        <v>-1728.3624106631905</v>
      </c>
      <c r="BJ992">
        <v>0.19069387508073099</v>
      </c>
    </row>
    <row r="993" spans="3:62" x14ac:dyDescent="0.2">
      <c r="C993" s="121">
        <v>82776.92526238237</v>
      </c>
      <c r="D993">
        <v>15.770724419308152</v>
      </c>
      <c r="E993" s="121">
        <v>83998.880161694149</v>
      </c>
      <c r="F993" s="121">
        <v>15.6546778483241</v>
      </c>
      <c r="G993" s="121">
        <v>-1221.9548993117787</v>
      </c>
      <c r="H993" s="121">
        <v>0.11604657098405191</v>
      </c>
      <c r="N993" s="121"/>
      <c r="O993" s="121"/>
      <c r="P993" s="121"/>
      <c r="R993">
        <v>310.56177083477252</v>
      </c>
      <c r="S993">
        <v>67.898126543959194</v>
      </c>
      <c r="T993">
        <v>219.38844423646958</v>
      </c>
      <c r="U993">
        <v>100.65764561995742</v>
      </c>
      <c r="X993">
        <v>0.9212733901004696</v>
      </c>
      <c r="Y993">
        <v>0.93248794077559727</v>
      </c>
      <c r="Z993">
        <v>0.78014726152639735</v>
      </c>
      <c r="AA993">
        <v>0.70561279166291702</v>
      </c>
      <c r="AB993">
        <v>0.85825313151946747</v>
      </c>
      <c r="AC993">
        <v>0.93324185502608659</v>
      </c>
      <c r="AD993">
        <v>0.8377554985593535</v>
      </c>
      <c r="AE993">
        <v>0.66326047773678276</v>
      </c>
      <c r="AH993">
        <v>4.5779784606929219E-2</v>
      </c>
      <c r="AI993">
        <v>0.12389269053165874</v>
      </c>
      <c r="AJ993">
        <v>1.2327312904094168E-2</v>
      </c>
      <c r="AK993">
        <v>0.24663759934305396</v>
      </c>
      <c r="AL993">
        <v>7.9066208413535177E-2</v>
      </c>
      <c r="AM993">
        <v>0.22308374472364267</v>
      </c>
      <c r="AN993">
        <v>0.10311599190614429</v>
      </c>
      <c r="AO993">
        <v>0.22947915405843655</v>
      </c>
      <c r="AR993">
        <v>8.8241088002274329E-4</v>
      </c>
      <c r="AS993">
        <v>4.4809723393627694E-3</v>
      </c>
      <c r="AT993">
        <v>4.7906141504892516E-3</v>
      </c>
      <c r="AU993">
        <v>2.0332627830390582E-3</v>
      </c>
      <c r="AV993">
        <v>2.3272105637184293E-3</v>
      </c>
      <c r="AW993">
        <v>3.1342813966074197E-3</v>
      </c>
      <c r="AX993">
        <v>4.4813322378933762E-4</v>
      </c>
      <c r="AY993">
        <v>4.9294992021864381E-4</v>
      </c>
      <c r="BB993">
        <v>6.0322086234367744E-2</v>
      </c>
      <c r="BC993">
        <v>5.9693725633721328E-2</v>
      </c>
      <c r="BE993">
        <v>82776.92526238237</v>
      </c>
      <c r="BF993">
        <v>15.770724419308152</v>
      </c>
      <c r="BG993">
        <v>83998.880161694149</v>
      </c>
      <c r="BH993">
        <v>15.6546778483241</v>
      </c>
      <c r="BI993">
        <v>-1221.9548993117787</v>
      </c>
      <c r="BJ993">
        <v>0.11604657098405191</v>
      </c>
    </row>
    <row r="994" spans="3:62" x14ac:dyDescent="0.2">
      <c r="C994" s="121">
        <v>68771.572598233717</v>
      </c>
      <c r="D994">
        <v>15.897069092660344</v>
      </c>
      <c r="E994" s="121">
        <v>70912.371482131552</v>
      </c>
      <c r="F994" s="121">
        <v>15.753917944800371</v>
      </c>
      <c r="G994" s="121">
        <v>-2140.7988838978345</v>
      </c>
      <c r="H994" s="121">
        <v>0.14315114785997274</v>
      </c>
      <c r="N994" s="121"/>
      <c r="O994" s="121"/>
      <c r="P994" s="121"/>
      <c r="R994">
        <v>247.62859470180541</v>
      </c>
      <c r="S994">
        <v>62.188314989196485</v>
      </c>
      <c r="T994">
        <v>217.41166718332849</v>
      </c>
      <c r="U994">
        <v>79.260940881183146</v>
      </c>
      <c r="X994">
        <v>0.80213290038878227</v>
      </c>
      <c r="Y994">
        <v>0.69864563398123758</v>
      </c>
      <c r="Z994">
        <v>0.73004191114166817</v>
      </c>
      <c r="AA994">
        <v>0.82008807949092244</v>
      </c>
      <c r="AB994">
        <v>0.87762973869890692</v>
      </c>
      <c r="AC994">
        <v>0.80985294914006212</v>
      </c>
      <c r="AD994">
        <v>0.49639186525253154</v>
      </c>
      <c r="AE994">
        <v>0.6535909389849156</v>
      </c>
      <c r="AH994">
        <v>0.16819605127720305</v>
      </c>
      <c r="AI994">
        <v>6.4747845634564927E-2</v>
      </c>
      <c r="AJ994">
        <v>0.3942922810542735</v>
      </c>
      <c r="AK994">
        <v>6.8852543635132268E-2</v>
      </c>
      <c r="AL994">
        <v>0.19261619344812253</v>
      </c>
      <c r="AM994">
        <v>8.9521981554429919E-2</v>
      </c>
      <c r="AN994">
        <v>3.2994746900313121E-2</v>
      </c>
      <c r="AO994">
        <v>8.669856533550202E-2</v>
      </c>
      <c r="AR994">
        <v>7.8920928860929632E-4</v>
      </c>
      <c r="AS994">
        <v>4.4515616156460555E-3</v>
      </c>
      <c r="AT994">
        <v>5.3412672599164601E-3</v>
      </c>
      <c r="AU994">
        <v>1.9290504091877476E-3</v>
      </c>
      <c r="AV994">
        <v>1.9203302612869318E-3</v>
      </c>
      <c r="AW994">
        <v>3.2928987379551096E-3</v>
      </c>
      <c r="AX994">
        <v>3.8175416178663768E-4</v>
      </c>
      <c r="AY994">
        <v>4.3747819665303569E-4</v>
      </c>
      <c r="BB994">
        <v>5.426391764270444E-2</v>
      </c>
      <c r="BC994">
        <v>8.6372860359536396E-2</v>
      </c>
      <c r="BE994">
        <v>68771.572598233717</v>
      </c>
      <c r="BF994">
        <v>15.897069092660344</v>
      </c>
      <c r="BG994">
        <v>70912.371482131552</v>
      </c>
      <c r="BH994">
        <v>15.753917944800371</v>
      </c>
      <c r="BI994">
        <v>-2140.7988838978345</v>
      </c>
      <c r="BJ994">
        <v>0.14315114785997274</v>
      </c>
    </row>
    <row r="995" spans="3:62" x14ac:dyDescent="0.2">
      <c r="C995" s="121">
        <v>71046.969889283762</v>
      </c>
      <c r="D995">
        <v>15.484592620227479</v>
      </c>
      <c r="E995" s="121">
        <v>72138.528536357248</v>
      </c>
      <c r="F995" s="121">
        <v>15.418315394096847</v>
      </c>
      <c r="G995" s="121">
        <v>-1091.5586470734852</v>
      </c>
      <c r="H995" s="121">
        <v>6.6277226130631917E-2</v>
      </c>
      <c r="N995" s="121"/>
      <c r="O995" s="121"/>
      <c r="P995" s="121"/>
      <c r="R995">
        <v>201.38355580903453</v>
      </c>
      <c r="S995">
        <v>66.829267519804006</v>
      </c>
      <c r="T995">
        <v>219.95431847309686</v>
      </c>
      <c r="U995">
        <v>96.157223389218814</v>
      </c>
      <c r="X995">
        <v>0.86002624396257232</v>
      </c>
      <c r="Y995">
        <v>0.83838949987284728</v>
      </c>
      <c r="Z995">
        <v>0.86125227559292572</v>
      </c>
      <c r="AA995">
        <v>0.95658408146480844</v>
      </c>
      <c r="AB995">
        <v>0.58923568726332021</v>
      </c>
      <c r="AC995">
        <v>0.78310223499377329</v>
      </c>
      <c r="AD995">
        <v>0.74328175291518361</v>
      </c>
      <c r="AE995">
        <v>0.59512912689300201</v>
      </c>
      <c r="AH995">
        <v>0.10106694563937713</v>
      </c>
      <c r="AI995">
        <v>9.5376450948600144E-2</v>
      </c>
      <c r="AJ995">
        <v>3.743215343798989E-2</v>
      </c>
      <c r="AK995">
        <v>6.6131254728300615E-2</v>
      </c>
      <c r="AL995">
        <v>3.0141986770222617E-2</v>
      </c>
      <c r="AM995">
        <v>9.0351626201351509E-2</v>
      </c>
      <c r="AN995">
        <v>0.29587566023618062</v>
      </c>
      <c r="AO995">
        <v>6.7562099508443496E-2</v>
      </c>
      <c r="AR995">
        <v>8.4500969104983799E-4</v>
      </c>
      <c r="AS995">
        <v>4.6554107161744795E-3</v>
      </c>
      <c r="AT995">
        <v>4.8888677943271968E-3</v>
      </c>
      <c r="AU995">
        <v>2.0152203339419694E-3</v>
      </c>
      <c r="AV995">
        <v>2.0321654961812374E-3</v>
      </c>
      <c r="AW995">
        <v>3.413209161688191E-3</v>
      </c>
      <c r="AX995">
        <v>3.7108255686094354E-4</v>
      </c>
      <c r="AY995">
        <v>4.9164051239369844E-4</v>
      </c>
      <c r="BB995">
        <v>5.0694970712455989E-2</v>
      </c>
      <c r="BC995">
        <v>2.1841317615120304E-2</v>
      </c>
      <c r="BE995">
        <v>71046.969889283762</v>
      </c>
      <c r="BF995">
        <v>15.484592620227479</v>
      </c>
      <c r="BG995">
        <v>72138.528536357248</v>
      </c>
      <c r="BH995">
        <v>15.418315394096847</v>
      </c>
      <c r="BI995">
        <v>-1091.5586470734852</v>
      </c>
      <c r="BJ995">
        <v>6.6277226130631917E-2</v>
      </c>
    </row>
    <row r="996" spans="3:62" x14ac:dyDescent="0.2">
      <c r="C996" s="121">
        <v>68648.579648073806</v>
      </c>
      <c r="D996">
        <v>13.213600368365444</v>
      </c>
      <c r="E996" s="121">
        <v>70512.754212367727</v>
      </c>
      <c r="F996" s="121">
        <v>13.147116403460648</v>
      </c>
      <c r="G996" s="121">
        <v>-1864.1745642939204</v>
      </c>
      <c r="H996" s="121">
        <v>6.6483964904795911E-2</v>
      </c>
      <c r="N996" s="121"/>
      <c r="O996" s="121"/>
      <c r="P996" s="121"/>
      <c r="R996">
        <v>284.87639739632488</v>
      </c>
      <c r="S996">
        <v>62.93318020814764</v>
      </c>
      <c r="T996">
        <v>223.13470173206915</v>
      </c>
      <c r="U996">
        <v>102.66288669722944</v>
      </c>
      <c r="X996">
        <v>0.5543156648413109</v>
      </c>
      <c r="Y996">
        <v>0.76522244619617108</v>
      </c>
      <c r="Z996">
        <v>0.35104261205446996</v>
      </c>
      <c r="AA996">
        <v>0.85962253279494238</v>
      </c>
      <c r="AB996">
        <v>0.74626474487610384</v>
      </c>
      <c r="AC996">
        <v>0.67550777066315415</v>
      </c>
      <c r="AD996">
        <v>0.76017735951576637</v>
      </c>
      <c r="AE996">
        <v>0.93961144494377702</v>
      </c>
      <c r="AH996">
        <v>0.17999344329413114</v>
      </c>
      <c r="AI996">
        <v>0.2477096882341584</v>
      </c>
      <c r="AJ996">
        <v>0.11028661304535059</v>
      </c>
      <c r="AK996">
        <v>0.14740403319039097</v>
      </c>
      <c r="AL996">
        <v>5.8145056359347524E-2</v>
      </c>
      <c r="AM996">
        <v>8.5714402075294571E-2</v>
      </c>
      <c r="AN996">
        <v>6.0341337788302307E-2</v>
      </c>
      <c r="AO996">
        <v>0.10980269714055191</v>
      </c>
      <c r="AR996">
        <v>9.1593317999694168E-4</v>
      </c>
      <c r="AS996">
        <v>4.2986008593191754E-3</v>
      </c>
      <c r="AT996">
        <v>4.9748512110252552E-3</v>
      </c>
      <c r="AU996">
        <v>2.0056188935809738E-3</v>
      </c>
      <c r="AV996">
        <v>1.9961523190611947E-3</v>
      </c>
      <c r="AW996">
        <v>3.8174638480210632E-3</v>
      </c>
      <c r="AX996">
        <v>3.8648224243946147E-4</v>
      </c>
      <c r="AY996">
        <v>5.3166082777222901E-4</v>
      </c>
      <c r="BB996">
        <v>4.4806371685275494E-2</v>
      </c>
      <c r="BC996">
        <v>5.1896443135467152E-2</v>
      </c>
      <c r="BE996">
        <v>68648.579648073806</v>
      </c>
      <c r="BF996">
        <v>13.213600368365444</v>
      </c>
      <c r="BG996">
        <v>70512.754212367727</v>
      </c>
      <c r="BH996">
        <v>13.147116403460648</v>
      </c>
      <c r="BI996">
        <v>-1864.1745642939204</v>
      </c>
      <c r="BJ996">
        <v>6.6483964904795911E-2</v>
      </c>
    </row>
    <row r="997" spans="3:62" x14ac:dyDescent="0.2">
      <c r="C997" s="121">
        <v>71102.476152546878</v>
      </c>
      <c r="D997">
        <v>16.8865388855716</v>
      </c>
      <c r="E997" s="121">
        <v>72581.600320636338</v>
      </c>
      <c r="F997" s="121">
        <v>16.746310992701567</v>
      </c>
      <c r="G997" s="121">
        <v>-1479.12416808946</v>
      </c>
      <c r="H997" s="121">
        <v>0.14022789287003334</v>
      </c>
      <c r="N997" s="121"/>
      <c r="O997" s="121"/>
      <c r="P997" s="121"/>
      <c r="R997">
        <v>326.36396321636016</v>
      </c>
      <c r="S997">
        <v>63.158316745008008</v>
      </c>
      <c r="T997">
        <v>270.69073355674379</v>
      </c>
      <c r="U997">
        <v>101.20399293193223</v>
      </c>
      <c r="X997">
        <v>0.86509882084564971</v>
      </c>
      <c r="Y997">
        <v>0.61622193494218747</v>
      </c>
      <c r="Z997">
        <v>0.7732383388435633</v>
      </c>
      <c r="AA997">
        <v>0.92105852274067612</v>
      </c>
      <c r="AB997">
        <v>0.81722956960739124</v>
      </c>
      <c r="AC997">
        <v>0.8216735826623266</v>
      </c>
      <c r="AD997">
        <v>0.61539837204416348</v>
      </c>
      <c r="AE997">
        <v>0.87997247717029903</v>
      </c>
      <c r="AH997">
        <v>0.19942547671868671</v>
      </c>
      <c r="AI997">
        <v>2.6902565747434215E-2</v>
      </c>
      <c r="AJ997">
        <v>0.3328342363759853</v>
      </c>
      <c r="AK997">
        <v>0.26040112582021069</v>
      </c>
      <c r="AL997">
        <v>0.14143972065601462</v>
      </c>
      <c r="AM997">
        <v>9.1930451568327687E-2</v>
      </c>
      <c r="AN997">
        <v>2.8867712428791492E-2</v>
      </c>
      <c r="AO997">
        <v>6.6058191447448067E-2</v>
      </c>
      <c r="AR997">
        <v>9.0916443415156589E-4</v>
      </c>
      <c r="AS997">
        <v>4.6660482246452251E-3</v>
      </c>
      <c r="AT997">
        <v>4.8600082646001507E-3</v>
      </c>
      <c r="AU997">
        <v>1.9587270198941605E-3</v>
      </c>
      <c r="AV997">
        <v>1.980635188629714E-3</v>
      </c>
      <c r="AW997">
        <v>3.4108978844500371E-3</v>
      </c>
      <c r="AX997">
        <v>4.6001582139998387E-4</v>
      </c>
      <c r="AY997">
        <v>4.3467367514088493E-4</v>
      </c>
      <c r="BB997">
        <v>6.5678317739346292E-2</v>
      </c>
      <c r="BC997">
        <v>8.5753903264789599E-2</v>
      </c>
      <c r="BE997">
        <v>71102.476152546878</v>
      </c>
      <c r="BF997">
        <v>16.8865388855716</v>
      </c>
      <c r="BG997">
        <v>72581.600320636338</v>
      </c>
      <c r="BH997">
        <v>16.746310992701567</v>
      </c>
      <c r="BI997">
        <v>-1479.12416808946</v>
      </c>
      <c r="BJ997">
        <v>0.14022789287003334</v>
      </c>
    </row>
    <row r="998" spans="3:62" x14ac:dyDescent="0.2">
      <c r="C998" s="121">
        <v>68706.511716777721</v>
      </c>
      <c r="D998">
        <v>15.746355566101146</v>
      </c>
      <c r="E998" s="121">
        <v>70239.000939932594</v>
      </c>
      <c r="F998" s="121">
        <v>15.597517618517941</v>
      </c>
      <c r="G998" s="121">
        <v>-1532.4892231548729</v>
      </c>
      <c r="H998" s="121">
        <v>0.14883794758320512</v>
      </c>
      <c r="N998" s="121"/>
      <c r="O998" s="121"/>
      <c r="P998" s="121"/>
      <c r="R998">
        <v>200.57558391936334</v>
      </c>
      <c r="S998">
        <v>56.30281443621255</v>
      </c>
      <c r="T998">
        <v>250.32099809948193</v>
      </c>
      <c r="U998">
        <v>97.91939209239176</v>
      </c>
      <c r="X998">
        <v>0.67154342806099332</v>
      </c>
      <c r="Y998">
        <v>0.8713425222784259</v>
      </c>
      <c r="Z998">
        <v>0.81267476869358646</v>
      </c>
      <c r="AA998">
        <v>0.81477809020213221</v>
      </c>
      <c r="AB998">
        <v>0.89185533380702597</v>
      </c>
      <c r="AC998">
        <v>0.73981532452690713</v>
      </c>
      <c r="AD998">
        <v>0.86117425194847907</v>
      </c>
      <c r="AE998">
        <v>0.91174399115626081</v>
      </c>
      <c r="AH998">
        <v>8.2171862297375831E-2</v>
      </c>
      <c r="AI998">
        <v>0.13214228724817656</v>
      </c>
      <c r="AJ998">
        <v>0.20655297326305477</v>
      </c>
      <c r="AK998">
        <v>9.6917609362802359E-2</v>
      </c>
      <c r="AL998">
        <v>5.5149889238723437E-2</v>
      </c>
      <c r="AM998">
        <v>2.5697835258739476E-2</v>
      </c>
      <c r="AN998">
        <v>5.1343505156283165E-2</v>
      </c>
      <c r="AO998">
        <v>0.11615861348902112</v>
      </c>
      <c r="AR998">
        <v>9.7778442241192032E-4</v>
      </c>
      <c r="AS998">
        <v>4.5528051498712196E-3</v>
      </c>
      <c r="AT998">
        <v>4.7709179736811604E-3</v>
      </c>
      <c r="AU998">
        <v>2.1250839351216744E-3</v>
      </c>
      <c r="AV998">
        <v>1.8759163089997807E-3</v>
      </c>
      <c r="AW998">
        <v>3.607894022630842E-3</v>
      </c>
      <c r="AX998">
        <v>4.4001314174335615E-4</v>
      </c>
      <c r="AY998">
        <v>4.2738461640515766E-4</v>
      </c>
      <c r="BB998">
        <v>5.848393121041684E-2</v>
      </c>
      <c r="BC998">
        <v>5.2526421278492386E-2</v>
      </c>
      <c r="BE998">
        <v>68706.511716777721</v>
      </c>
      <c r="BF998">
        <v>15.746355566101146</v>
      </c>
      <c r="BG998">
        <v>70239.000939932594</v>
      </c>
      <c r="BH998">
        <v>15.597517618517941</v>
      </c>
      <c r="BI998">
        <v>-1532.4892231548729</v>
      </c>
      <c r="BJ998">
        <v>0.14883794758320512</v>
      </c>
    </row>
    <row r="999" spans="3:62" x14ac:dyDescent="0.2">
      <c r="C999" s="121">
        <v>75049.38470901837</v>
      </c>
      <c r="D999">
        <v>15.063852475119244</v>
      </c>
      <c r="E999" s="121">
        <v>76776.410151946766</v>
      </c>
      <c r="F999" s="121">
        <v>14.922306095008866</v>
      </c>
      <c r="G999" s="121">
        <v>-1727.0254429283959</v>
      </c>
      <c r="H999" s="121">
        <v>0.14154638011037868</v>
      </c>
      <c r="N999" s="121"/>
      <c r="O999" s="121"/>
      <c r="P999" s="121"/>
      <c r="R999">
        <v>352.74712560657235</v>
      </c>
      <c r="S999">
        <v>57.411423161127303</v>
      </c>
      <c r="T999">
        <v>264.15840598599601</v>
      </c>
      <c r="U999">
        <v>97.325942024581906</v>
      </c>
      <c r="X999">
        <v>0.82185959535113173</v>
      </c>
      <c r="Y999">
        <v>0.95109768216959201</v>
      </c>
      <c r="Z999">
        <v>0.70428999865233077</v>
      </c>
      <c r="AA999">
        <v>0.74309747581668062</v>
      </c>
      <c r="AB999">
        <v>0.76566122773444945</v>
      </c>
      <c r="AC999">
        <v>0.80914548071103076</v>
      </c>
      <c r="AD999">
        <v>0.86775772749682423</v>
      </c>
      <c r="AE999">
        <v>0.85047272741902469</v>
      </c>
      <c r="AH999">
        <v>0.12549502418930936</v>
      </c>
      <c r="AI999">
        <v>9.1583110268227408E-2</v>
      </c>
      <c r="AJ999">
        <v>0.18743909084546317</v>
      </c>
      <c r="AK999">
        <v>0.35043360503101206</v>
      </c>
      <c r="AL999">
        <v>7.2524953310471041E-2</v>
      </c>
      <c r="AM999">
        <v>0.26542329172653323</v>
      </c>
      <c r="AN999">
        <v>0.18183469882625092</v>
      </c>
      <c r="AO999">
        <v>0.26747135843399861</v>
      </c>
      <c r="AR999">
        <v>8.030907441539416E-4</v>
      </c>
      <c r="AS999">
        <v>4.1845662622230226E-3</v>
      </c>
      <c r="AT999">
        <v>5.1837233896541157E-3</v>
      </c>
      <c r="AU999">
        <v>1.8241069952258219E-3</v>
      </c>
      <c r="AV999">
        <v>1.9263913488983056E-3</v>
      </c>
      <c r="AW999">
        <v>3.2496685258319676E-3</v>
      </c>
      <c r="AX999">
        <v>2.5590969645253742E-4</v>
      </c>
      <c r="AY999">
        <v>4.6254672350243276E-4</v>
      </c>
      <c r="BB999">
        <v>5.1295538326335488E-2</v>
      </c>
      <c r="BC999">
        <v>5.3715072740397551E-2</v>
      </c>
      <c r="BE999">
        <v>75049.38470901837</v>
      </c>
      <c r="BF999">
        <v>15.063852475119244</v>
      </c>
      <c r="BG999">
        <v>76776.410151946766</v>
      </c>
      <c r="BH999">
        <v>14.922306095008866</v>
      </c>
      <c r="BI999">
        <v>-1727.0254429283959</v>
      </c>
      <c r="BJ999">
        <v>0.14154638011037868</v>
      </c>
    </row>
    <row r="1000" spans="3:62" x14ac:dyDescent="0.2">
      <c r="C1000" s="121">
        <v>76697.221051241024</v>
      </c>
      <c r="D1000">
        <v>14.615507560502481</v>
      </c>
      <c r="E1000" s="121">
        <v>78280.443099891301</v>
      </c>
      <c r="F1000" s="121">
        <v>14.521061949591239</v>
      </c>
      <c r="G1000" s="121">
        <v>-1583.2220486502774</v>
      </c>
      <c r="H1000" s="121">
        <v>9.4445610911241928E-2</v>
      </c>
      <c r="N1000" s="121"/>
      <c r="O1000" s="121"/>
      <c r="P1000" s="121"/>
      <c r="R1000">
        <v>221.37074685952425</v>
      </c>
      <c r="S1000">
        <v>57.616857789569352</v>
      </c>
      <c r="T1000">
        <v>253.6322190174273</v>
      </c>
      <c r="U1000">
        <v>105.84955423825798</v>
      </c>
      <c r="X1000">
        <v>0.54279022741880023</v>
      </c>
      <c r="Y1000">
        <v>0.79480833551096663</v>
      </c>
      <c r="Z1000">
        <v>0.83268281180819737</v>
      </c>
      <c r="AA1000">
        <v>0.519159624709849</v>
      </c>
      <c r="AB1000">
        <v>0.73356188659209542</v>
      </c>
      <c r="AC1000">
        <v>0.6649606969985119</v>
      </c>
      <c r="AD1000">
        <v>0.86921628744430346</v>
      </c>
      <c r="AE1000">
        <v>0.61983633037808605</v>
      </c>
      <c r="AH1000">
        <v>4.8864939055956347E-2</v>
      </c>
      <c r="AI1000">
        <v>0.28040225243596018</v>
      </c>
      <c r="AJ1000">
        <v>9.2585398283974718E-2</v>
      </c>
      <c r="AK1000">
        <v>0.11226532441463444</v>
      </c>
      <c r="AL1000">
        <v>0.16211877958289667</v>
      </c>
      <c r="AM1000">
        <v>0.16057602286586659</v>
      </c>
      <c r="AN1000">
        <v>0.24314674954956594</v>
      </c>
      <c r="AO1000">
        <v>0.23782859126023237</v>
      </c>
      <c r="AR1000">
        <v>8.165975052752721E-4</v>
      </c>
      <c r="AS1000">
        <v>4.8065556829071099E-3</v>
      </c>
      <c r="AT1000">
        <v>4.9874024372636994E-3</v>
      </c>
      <c r="AU1000">
        <v>2.0610525120993151E-3</v>
      </c>
      <c r="AV1000">
        <v>2.0297349388905817E-3</v>
      </c>
      <c r="AW1000">
        <v>3.1402058919688652E-3</v>
      </c>
      <c r="AX1000">
        <v>4.4665091627693609E-4</v>
      </c>
      <c r="AY1000">
        <v>5.1831732259344232E-4</v>
      </c>
      <c r="BB1000">
        <v>4.284994762260539E-2</v>
      </c>
      <c r="BC1000">
        <v>3.3871506216214341E-2</v>
      </c>
      <c r="BE1000">
        <v>76697.221051241024</v>
      </c>
      <c r="BF1000">
        <v>14.615507560502481</v>
      </c>
      <c r="BG1000">
        <v>78280.443099891301</v>
      </c>
      <c r="BH1000">
        <v>14.521061949591239</v>
      </c>
      <c r="BI1000">
        <v>-1583.2220486502774</v>
      </c>
      <c r="BJ1000">
        <v>9.4445610911241928E-2</v>
      </c>
    </row>
    <row r="1001" spans="3:62" x14ac:dyDescent="0.2">
      <c r="C1001" s="121">
        <v>67029.346427468205</v>
      </c>
      <c r="D1001">
        <v>17.098962911069989</v>
      </c>
      <c r="E1001" s="121">
        <v>69009.754268389879</v>
      </c>
      <c r="F1001" s="121">
        <v>16.995213159450365</v>
      </c>
      <c r="G1001" s="121">
        <v>-1980.4078409216745</v>
      </c>
      <c r="H1001" s="121">
        <v>0.10374975161962396</v>
      </c>
      <c r="N1001" s="121"/>
      <c r="O1001" s="121"/>
      <c r="P1001" s="121"/>
      <c r="R1001">
        <v>331.09006883277232</v>
      </c>
      <c r="S1001">
        <v>57.591107199333734</v>
      </c>
      <c r="T1001">
        <v>227.06576798660245</v>
      </c>
      <c r="U1001">
        <v>77.997997892769661</v>
      </c>
      <c r="X1001">
        <v>0.69077139661008558</v>
      </c>
      <c r="Y1001">
        <v>0.75532941254908514</v>
      </c>
      <c r="Z1001">
        <v>0.86167439126406653</v>
      </c>
      <c r="AA1001">
        <v>0.90597394227648342</v>
      </c>
      <c r="AB1001">
        <v>0.77306749697255916</v>
      </c>
      <c r="AC1001">
        <v>0.79959673085897986</v>
      </c>
      <c r="AD1001">
        <v>0.73164038932492548</v>
      </c>
      <c r="AE1001">
        <v>0.61212352372658163</v>
      </c>
      <c r="AH1001">
        <v>7.7553231585097526E-2</v>
      </c>
      <c r="AI1001">
        <v>0.24666678668366016</v>
      </c>
      <c r="AJ1001">
        <v>0.16097441263155998</v>
      </c>
      <c r="AK1001">
        <v>0.20518923491783714</v>
      </c>
      <c r="AL1001">
        <v>0.36354213731853791</v>
      </c>
      <c r="AM1001">
        <v>0.21642906992566102</v>
      </c>
      <c r="AN1001">
        <v>0.3061626934779168</v>
      </c>
      <c r="AO1001">
        <v>0.24352775186326903</v>
      </c>
      <c r="AR1001">
        <v>8.4889425514346603E-4</v>
      </c>
      <c r="AS1001">
        <v>4.6396324307175218E-3</v>
      </c>
      <c r="AT1001">
        <v>5.0438759520186061E-3</v>
      </c>
      <c r="AU1001">
        <v>2.0097534237685233E-3</v>
      </c>
      <c r="AV1001">
        <v>1.8471182978834391E-3</v>
      </c>
      <c r="AW1001">
        <v>3.51454535643414E-3</v>
      </c>
      <c r="AX1001">
        <v>3.5329722506797937E-4</v>
      </c>
      <c r="AY1001">
        <v>3.7366091498677005E-4</v>
      </c>
      <c r="BB1001">
        <v>4.9176148461935139E-2</v>
      </c>
      <c r="BC1001">
        <v>5.6385072263165914E-2</v>
      </c>
      <c r="BE1001">
        <v>67029.346427468205</v>
      </c>
      <c r="BF1001">
        <v>17.098962911069989</v>
      </c>
      <c r="BG1001">
        <v>69009.754268389879</v>
      </c>
      <c r="BH1001">
        <v>16.995213159450365</v>
      </c>
      <c r="BI1001">
        <v>-1980.4078409216745</v>
      </c>
      <c r="BJ1001">
        <v>0.10374975161962396</v>
      </c>
    </row>
    <row r="1002" spans="3:62" x14ac:dyDescent="0.2">
      <c r="C1002" s="121">
        <v>70096.227439862938</v>
      </c>
      <c r="D1002">
        <v>15.78086056734853</v>
      </c>
      <c r="E1002" s="121">
        <v>72285.921911700716</v>
      </c>
      <c r="F1002" s="121">
        <v>15.590914689647855</v>
      </c>
      <c r="G1002" s="121">
        <v>-2189.6944718377781</v>
      </c>
      <c r="H1002" s="121">
        <v>0.18994587770067461</v>
      </c>
      <c r="N1002" s="121"/>
      <c r="O1002" s="121"/>
      <c r="P1002" s="121"/>
      <c r="R1002">
        <v>286.73400301784193</v>
      </c>
      <c r="S1002">
        <v>70.294509631352426</v>
      </c>
      <c r="T1002">
        <v>252.44135457123323</v>
      </c>
      <c r="U1002">
        <v>83.075886555022862</v>
      </c>
      <c r="X1002">
        <v>0.63768487473088109</v>
      </c>
      <c r="Y1002">
        <v>0.86191328444978366</v>
      </c>
      <c r="Z1002">
        <v>0.70711831021805016</v>
      </c>
      <c r="AA1002">
        <v>0.91072709629366533</v>
      </c>
      <c r="AB1002">
        <v>0.89617578050509927</v>
      </c>
      <c r="AC1002">
        <v>0.82020190966118989</v>
      </c>
      <c r="AD1002">
        <v>0.70861808188177078</v>
      </c>
      <c r="AE1002">
        <v>0.70033343012781002</v>
      </c>
      <c r="AH1002">
        <v>0.11462135196075018</v>
      </c>
      <c r="AI1002">
        <v>8.8845086247347105E-2</v>
      </c>
      <c r="AJ1002">
        <v>0.11071703802693911</v>
      </c>
      <c r="AK1002">
        <v>7.3958471492464595E-2</v>
      </c>
      <c r="AL1002">
        <v>0.12276162360808784</v>
      </c>
      <c r="AM1002">
        <v>0.19674660883086525</v>
      </c>
      <c r="AN1002">
        <v>0.35061006271518524</v>
      </c>
      <c r="AO1002">
        <v>0.19750650972811279</v>
      </c>
      <c r="AR1002">
        <v>8.0332718141247798E-4</v>
      </c>
      <c r="AS1002">
        <v>4.1060598038522734E-3</v>
      </c>
      <c r="AT1002">
        <v>4.8330665627279263E-3</v>
      </c>
      <c r="AU1002">
        <v>2.3530552563044704E-3</v>
      </c>
      <c r="AV1002">
        <v>2.1346974901723659E-3</v>
      </c>
      <c r="AW1002">
        <v>3.8355263105707138E-3</v>
      </c>
      <c r="AX1002">
        <v>4.0418538098818679E-4</v>
      </c>
      <c r="AY1002">
        <v>5.0733657230128681E-4</v>
      </c>
      <c r="BB1002">
        <v>4.230945321919314E-2</v>
      </c>
      <c r="BC1002">
        <v>3.2770478399850637E-2</v>
      </c>
      <c r="BE1002">
        <v>70096.227439862938</v>
      </c>
      <c r="BF1002">
        <v>15.78086056734853</v>
      </c>
      <c r="BG1002">
        <v>72285.921911700716</v>
      </c>
      <c r="BH1002">
        <v>15.590914689647855</v>
      </c>
      <c r="BI1002">
        <v>-2189.6944718377781</v>
      </c>
      <c r="BJ1002">
        <v>0.18994587770067461</v>
      </c>
    </row>
    <row r="1003" spans="3:62" x14ac:dyDescent="0.2">
      <c r="C1003" s="121">
        <v>70072.139681930217</v>
      </c>
      <c r="D1003">
        <v>16.544783994131219</v>
      </c>
      <c r="E1003" s="121">
        <v>71792.897823383813</v>
      </c>
      <c r="F1003" s="121">
        <v>16.419469750717745</v>
      </c>
      <c r="G1003" s="121">
        <v>-1720.7581414535962</v>
      </c>
      <c r="H1003" s="121">
        <v>0.12531424341347375</v>
      </c>
      <c r="N1003" s="121"/>
      <c r="O1003" s="121"/>
      <c r="P1003" s="121"/>
      <c r="R1003">
        <v>275.33291241913321</v>
      </c>
      <c r="S1003">
        <v>61.233497587775226</v>
      </c>
      <c r="T1003">
        <v>259.02465222628155</v>
      </c>
      <c r="U1003">
        <v>87.867223165116158</v>
      </c>
      <c r="X1003">
        <v>0.78693729371340981</v>
      </c>
      <c r="Y1003">
        <v>0.56415073834551122</v>
      </c>
      <c r="Z1003">
        <v>0.87198663616779004</v>
      </c>
      <c r="AA1003">
        <v>0.67189357176694042</v>
      </c>
      <c r="AB1003">
        <v>0.92686094495609417</v>
      </c>
      <c r="AC1003">
        <v>0.65916588449978675</v>
      </c>
      <c r="AD1003">
        <v>0.4764191328382355</v>
      </c>
      <c r="AE1003">
        <v>0.68247559450325501</v>
      </c>
      <c r="AH1003">
        <v>0.18551207412979442</v>
      </c>
      <c r="AI1003">
        <v>0.29706680402892749</v>
      </c>
      <c r="AJ1003">
        <v>0.3465710989621984</v>
      </c>
      <c r="AK1003">
        <v>0.14447765672269797</v>
      </c>
      <c r="AL1003">
        <v>0.16757848260403985</v>
      </c>
      <c r="AM1003">
        <v>8.1657443097677973E-3</v>
      </c>
      <c r="AN1003">
        <v>0.12205867283812644</v>
      </c>
      <c r="AO1003">
        <v>5.5543888556472298E-2</v>
      </c>
      <c r="AR1003">
        <v>7.0542126823746644E-4</v>
      </c>
      <c r="AS1003">
        <v>4.9754626716308481E-3</v>
      </c>
      <c r="AT1003">
        <v>5.1150455870955236E-3</v>
      </c>
      <c r="AU1003">
        <v>2.0217465547555102E-3</v>
      </c>
      <c r="AV1003">
        <v>1.9907596034405869E-3</v>
      </c>
      <c r="AW1003">
        <v>3.4675207685931353E-3</v>
      </c>
      <c r="AX1003">
        <v>3.7976194830955642E-4</v>
      </c>
      <c r="AY1003">
        <v>4.3529398406483386E-4</v>
      </c>
      <c r="BB1003">
        <v>5.158679364312313E-2</v>
      </c>
      <c r="BC1003">
        <v>6.5348691270952886E-2</v>
      </c>
      <c r="BE1003">
        <v>70072.139681930217</v>
      </c>
      <c r="BF1003">
        <v>16.544783994131219</v>
      </c>
      <c r="BG1003">
        <v>71792.897823383813</v>
      </c>
      <c r="BH1003">
        <v>16.419469750717745</v>
      </c>
      <c r="BI1003">
        <v>-1720.7581414535962</v>
      </c>
      <c r="BJ1003">
        <v>0.12531424341347375</v>
      </c>
    </row>
    <row r="1004" spans="3:62" x14ac:dyDescent="0.2">
      <c r="C1004" s="121">
        <v>69105.773115269039</v>
      </c>
      <c r="D1004">
        <v>17.024504390126562</v>
      </c>
      <c r="E1004" s="121">
        <v>70797.737943740693</v>
      </c>
      <c r="F1004" s="121">
        <v>16.946863962902473</v>
      </c>
      <c r="G1004" s="121">
        <v>-1691.9648284716532</v>
      </c>
      <c r="H1004" s="121">
        <v>7.7640427224089592E-2</v>
      </c>
      <c r="N1004" s="121"/>
      <c r="O1004" s="121"/>
      <c r="P1004" s="121"/>
      <c r="R1004">
        <v>134.6928368061711</v>
      </c>
      <c r="S1004">
        <v>59.482263932159043</v>
      </c>
      <c r="T1004">
        <v>267.87079723879958</v>
      </c>
      <c r="U1004">
        <v>79.065778955643111</v>
      </c>
      <c r="X1004">
        <v>0.7984778554100902</v>
      </c>
      <c r="Y1004">
        <v>0.73591032404978662</v>
      </c>
      <c r="Z1004">
        <v>0.78999220614069343</v>
      </c>
      <c r="AA1004">
        <v>0.80850609874653623</v>
      </c>
      <c r="AB1004">
        <v>0.84445080355093183</v>
      </c>
      <c r="AC1004">
        <v>0.79231302089962263</v>
      </c>
      <c r="AD1004">
        <v>0.43650201466120359</v>
      </c>
      <c r="AE1004">
        <v>0.58826051774112298</v>
      </c>
      <c r="AH1004">
        <v>0.34581391113862225</v>
      </c>
      <c r="AI1004">
        <v>0.31107169175049554</v>
      </c>
      <c r="AJ1004">
        <v>0.14283586448597252</v>
      </c>
      <c r="AK1004">
        <v>2.7408833489569018E-2</v>
      </c>
      <c r="AL1004">
        <v>0.13697526702356999</v>
      </c>
      <c r="AM1004">
        <v>9.177340641016718E-2</v>
      </c>
      <c r="AN1004">
        <v>0.17176802702230487</v>
      </c>
      <c r="AO1004">
        <v>4.8221475995783747E-2</v>
      </c>
      <c r="AR1004">
        <v>9.1518365172083005E-4</v>
      </c>
      <c r="AS1004">
        <v>4.2519021083775839E-3</v>
      </c>
      <c r="AT1004">
        <v>5.0729284442119216E-3</v>
      </c>
      <c r="AU1004">
        <v>2.3683316005964627E-3</v>
      </c>
      <c r="AV1004">
        <v>1.8326738425755423E-3</v>
      </c>
      <c r="AW1004">
        <v>3.4618185218433517E-3</v>
      </c>
      <c r="AX1004">
        <v>3.2602618452852862E-4</v>
      </c>
      <c r="AY1004">
        <v>4.5704869208396115E-4</v>
      </c>
      <c r="BB1004">
        <v>5.0289419865848672E-2</v>
      </c>
      <c r="BC1004">
        <v>6.651385965479506E-2</v>
      </c>
      <c r="BE1004">
        <v>69105.773115269039</v>
      </c>
      <c r="BF1004">
        <v>17.024504390126562</v>
      </c>
      <c r="BG1004">
        <v>70797.737943740693</v>
      </c>
      <c r="BH1004">
        <v>16.946863962902473</v>
      </c>
      <c r="BI1004">
        <v>-1691.9648284716532</v>
      </c>
      <c r="BJ1004">
        <v>7.7640427224089592E-2</v>
      </c>
    </row>
    <row r="1005" spans="3:62" x14ac:dyDescent="0.2">
      <c r="C1005" s="121">
        <v>71895.529627693832</v>
      </c>
      <c r="D1005">
        <v>13.588817389320976</v>
      </c>
      <c r="E1005" s="121">
        <v>73783.855937873959</v>
      </c>
      <c r="F1005" s="121">
        <v>13.446333659553028</v>
      </c>
      <c r="G1005" s="121">
        <v>-1888.3263101801276</v>
      </c>
      <c r="H1005" s="121">
        <v>0.14248372976794776</v>
      </c>
      <c r="N1005" s="121"/>
      <c r="O1005" s="121"/>
      <c r="P1005" s="121"/>
      <c r="R1005">
        <v>317.15768447365213</v>
      </c>
      <c r="S1005">
        <v>63.995443076198555</v>
      </c>
      <c r="T1005">
        <v>269.94148335952917</v>
      </c>
      <c r="U1005">
        <v>80.444367140776464</v>
      </c>
      <c r="X1005">
        <v>0.8823155764997701</v>
      </c>
      <c r="Y1005">
        <v>0.94700732025366197</v>
      </c>
      <c r="Z1005">
        <v>0.76647599249802401</v>
      </c>
      <c r="AA1005">
        <v>0.92072950980260337</v>
      </c>
      <c r="AB1005">
        <v>0.86920237686757917</v>
      </c>
      <c r="AC1005">
        <v>0.69031365878206663</v>
      </c>
      <c r="AD1005">
        <v>0.50843520895496586</v>
      </c>
      <c r="AE1005">
        <v>0.8622986038048216</v>
      </c>
      <c r="AH1005">
        <v>0.27524531999952129</v>
      </c>
      <c r="AI1005">
        <v>7.5007574215745554E-2</v>
      </c>
      <c r="AJ1005">
        <v>0.14428474480752607</v>
      </c>
      <c r="AK1005">
        <v>0.10775686434058374</v>
      </c>
      <c r="AL1005">
        <v>7.6257503922331216E-2</v>
      </c>
      <c r="AM1005">
        <v>7.9006792638198098E-2</v>
      </c>
      <c r="AN1005">
        <v>0.14115020673577461</v>
      </c>
      <c r="AO1005">
        <v>2.9440680971540845E-2</v>
      </c>
      <c r="AR1005">
        <v>7.8211157148754343E-4</v>
      </c>
      <c r="AS1005">
        <v>4.8935069145006338E-3</v>
      </c>
      <c r="AT1005">
        <v>5.5401170970866831E-3</v>
      </c>
      <c r="AU1005">
        <v>2.054586802525793E-3</v>
      </c>
      <c r="AV1005">
        <v>2.0004865210307976E-3</v>
      </c>
      <c r="AW1005">
        <v>3.4866875180509238E-3</v>
      </c>
      <c r="AX1005">
        <v>3.6169035665314898E-4</v>
      </c>
      <c r="AY1005">
        <v>3.6859882186698569E-4</v>
      </c>
      <c r="BB1005">
        <v>5.2942500269372528E-2</v>
      </c>
      <c r="BC1005">
        <v>7.8609893880676407E-2</v>
      </c>
      <c r="BE1005">
        <v>71895.529627693832</v>
      </c>
      <c r="BF1005">
        <v>13.588817389320976</v>
      </c>
      <c r="BG1005">
        <v>73783.855937873959</v>
      </c>
      <c r="BH1005">
        <v>13.446333659553028</v>
      </c>
      <c r="BI1005">
        <v>-1888.3263101801276</v>
      </c>
      <c r="BJ1005">
        <v>0.14248372976794776</v>
      </c>
    </row>
    <row r="1006" spans="3:62" x14ac:dyDescent="0.2">
      <c r="C1006" s="121">
        <v>74939.730863845733</v>
      </c>
      <c r="D1006">
        <v>15.983240611357219</v>
      </c>
      <c r="E1006" s="121">
        <v>76097.661858518259</v>
      </c>
      <c r="F1006" s="121">
        <v>15.845384545228875</v>
      </c>
      <c r="G1006" s="121">
        <v>-1157.9309946725261</v>
      </c>
      <c r="H1006" s="121">
        <v>0.13785606612834478</v>
      </c>
      <c r="N1006" s="121"/>
      <c r="O1006" s="121"/>
      <c r="P1006" s="121"/>
      <c r="R1006">
        <v>320.8592323584752</v>
      </c>
      <c r="S1006">
        <v>56.447088932236454</v>
      </c>
      <c r="T1006">
        <v>214.04249327976518</v>
      </c>
      <c r="U1006">
        <v>83.007590996944018</v>
      </c>
      <c r="X1006">
        <v>0.88840232896320748</v>
      </c>
      <c r="Y1006">
        <v>0.68765761966336614</v>
      </c>
      <c r="Z1006">
        <v>0.82347181796837154</v>
      </c>
      <c r="AA1006">
        <v>0.77700600113541463</v>
      </c>
      <c r="AB1006">
        <v>0.82584227464555449</v>
      </c>
      <c r="AC1006">
        <v>0.7188729602165369</v>
      </c>
      <c r="AD1006">
        <v>0.65360548218091152</v>
      </c>
      <c r="AE1006">
        <v>0.57618926910687607</v>
      </c>
      <c r="AH1006">
        <v>6.3749770044761678E-2</v>
      </c>
      <c r="AI1006">
        <v>1.6693814527955153E-2</v>
      </c>
      <c r="AJ1006">
        <v>6.0545069608148872E-2</v>
      </c>
      <c r="AK1006">
        <v>0.37547190850960643</v>
      </c>
      <c r="AL1006">
        <v>0.12590668970555263</v>
      </c>
      <c r="AM1006">
        <v>0.1112526073555471</v>
      </c>
      <c r="AN1006">
        <v>7.3078311606773028E-2</v>
      </c>
      <c r="AO1006">
        <v>9.3691022109925859E-2</v>
      </c>
      <c r="AR1006">
        <v>9.9011114731673011E-4</v>
      </c>
      <c r="AS1006">
        <v>4.6322678552381813E-3</v>
      </c>
      <c r="AT1006">
        <v>5.0515772567958361E-3</v>
      </c>
      <c r="AU1006">
        <v>2.1478113792353648E-3</v>
      </c>
      <c r="AV1006">
        <v>1.8974803500149376E-3</v>
      </c>
      <c r="AW1006">
        <v>3.1944640657091076E-3</v>
      </c>
      <c r="AX1006">
        <v>4.4470059843404464E-4</v>
      </c>
      <c r="AY1006">
        <v>4.6012619341440075E-4</v>
      </c>
      <c r="BB1006">
        <v>5.1115580934613436E-2</v>
      </c>
      <c r="BC1006">
        <v>4.806434562887163E-2</v>
      </c>
      <c r="BE1006">
        <v>74939.730863845733</v>
      </c>
      <c r="BF1006">
        <v>15.983240611357219</v>
      </c>
      <c r="BG1006">
        <v>76097.661858518259</v>
      </c>
      <c r="BH1006">
        <v>15.845384545228875</v>
      </c>
      <c r="BI1006">
        <v>-1157.9309946725261</v>
      </c>
      <c r="BJ1006">
        <v>0.13785606612834478</v>
      </c>
    </row>
    <row r="1007" spans="3:62" x14ac:dyDescent="0.2">
      <c r="C1007" s="121">
        <v>78849.079392208267</v>
      </c>
      <c r="D1007">
        <v>15.675281547762825</v>
      </c>
      <c r="E1007" s="121">
        <v>80970.18157870516</v>
      </c>
      <c r="F1007" s="121">
        <v>15.505250895562849</v>
      </c>
      <c r="G1007" s="121">
        <v>-2121.1021864968934</v>
      </c>
      <c r="H1007" s="121">
        <v>0.17003065219997637</v>
      </c>
      <c r="N1007" s="121"/>
      <c r="O1007" s="121"/>
      <c r="P1007" s="121"/>
      <c r="R1007">
        <v>373.72738294915365</v>
      </c>
      <c r="S1007">
        <v>55.409468653122957</v>
      </c>
      <c r="T1007">
        <v>251.10057302516466</v>
      </c>
      <c r="U1007">
        <v>80.79252688884722</v>
      </c>
      <c r="X1007">
        <v>0.90695738992056174</v>
      </c>
      <c r="Y1007">
        <v>0.4939929525881705</v>
      </c>
      <c r="Z1007">
        <v>0.79868682246990441</v>
      </c>
      <c r="AA1007">
        <v>0.70040495685751436</v>
      </c>
      <c r="AB1007">
        <v>0.65283160856518019</v>
      </c>
      <c r="AC1007">
        <v>0.82099544955040704</v>
      </c>
      <c r="AD1007">
        <v>0.90037341799363746</v>
      </c>
      <c r="AE1007">
        <v>0.61524000376006793</v>
      </c>
      <c r="AH1007">
        <v>0.16795164020263209</v>
      </c>
      <c r="AI1007">
        <v>0.34649802362309468</v>
      </c>
      <c r="AJ1007">
        <v>3.0649185998394723E-2</v>
      </c>
      <c r="AK1007">
        <v>2.9330034213733924E-2</v>
      </c>
      <c r="AL1007">
        <v>9.3636778635538986E-2</v>
      </c>
      <c r="AM1007">
        <v>2.9192680035813545E-2</v>
      </c>
      <c r="AN1007">
        <v>0.2484553982743587</v>
      </c>
      <c r="AO1007">
        <v>0.19023094802031326</v>
      </c>
      <c r="AR1007">
        <v>8.8009586700569305E-4</v>
      </c>
      <c r="AS1007">
        <v>4.5697875486127026E-3</v>
      </c>
      <c r="AT1007">
        <v>4.9776538846607599E-3</v>
      </c>
      <c r="AU1007">
        <v>2.2381067603350902E-3</v>
      </c>
      <c r="AV1007">
        <v>2.0091731918318034E-3</v>
      </c>
      <c r="AW1007">
        <v>3.4118172395661839E-3</v>
      </c>
      <c r="AX1007">
        <v>3.4661395571509155E-4</v>
      </c>
      <c r="AY1007">
        <v>5.5961981710228592E-4</v>
      </c>
      <c r="BB1007">
        <v>5.249120069490576E-2</v>
      </c>
      <c r="BC1007">
        <v>6.5658874804552458E-2</v>
      </c>
      <c r="BE1007">
        <v>78849.079392208267</v>
      </c>
      <c r="BF1007">
        <v>15.675281547762825</v>
      </c>
      <c r="BG1007">
        <v>80970.18157870516</v>
      </c>
      <c r="BH1007">
        <v>15.505250895562849</v>
      </c>
      <c r="BI1007">
        <v>-2121.1021864968934</v>
      </c>
      <c r="BJ1007">
        <v>0.17003065219997637</v>
      </c>
    </row>
    <row r="1008" spans="3:62" x14ac:dyDescent="0.2">
      <c r="C1008" s="121">
        <v>67623.229819583081</v>
      </c>
      <c r="D1008">
        <v>14.069304502244098</v>
      </c>
      <c r="E1008" s="121">
        <v>68935.652374606012</v>
      </c>
      <c r="F1008" s="121">
        <v>13.919047844339941</v>
      </c>
      <c r="G1008" s="121">
        <v>-1312.4225550229312</v>
      </c>
      <c r="H1008" s="121">
        <v>0.15025665790415665</v>
      </c>
      <c r="N1008" s="121"/>
      <c r="O1008" s="121"/>
      <c r="P1008" s="121"/>
      <c r="R1008">
        <v>295.46277113253404</v>
      </c>
      <c r="S1008">
        <v>60.744900522211942</v>
      </c>
      <c r="T1008">
        <v>262.07616080104879</v>
      </c>
      <c r="U1008">
        <v>79.842506610213462</v>
      </c>
      <c r="X1008">
        <v>0.94090468412105399</v>
      </c>
      <c r="Y1008">
        <v>0.79632668977651599</v>
      </c>
      <c r="Z1008">
        <v>0.7096249149180005</v>
      </c>
      <c r="AA1008">
        <v>0.95903651840980553</v>
      </c>
      <c r="AB1008">
        <v>0.77295599216725253</v>
      </c>
      <c r="AC1008">
        <v>0.7471734650398949</v>
      </c>
      <c r="AD1008">
        <v>0.76478069257320236</v>
      </c>
      <c r="AE1008">
        <v>0.85283493203759064</v>
      </c>
      <c r="AH1008">
        <v>0.20088146000678675</v>
      </c>
      <c r="AI1008">
        <v>7.1763698337545145E-2</v>
      </c>
      <c r="AJ1008">
        <v>0.16003401243877358</v>
      </c>
      <c r="AK1008">
        <v>0.3641230581890067</v>
      </c>
      <c r="AL1008">
        <v>6.3468701915802006E-2</v>
      </c>
      <c r="AM1008">
        <v>3.2309881628566739E-2</v>
      </c>
      <c r="AN1008">
        <v>6.5189531567672931E-2</v>
      </c>
      <c r="AO1008">
        <v>0.11454029164149016</v>
      </c>
      <c r="AR1008">
        <v>9.5118428802665189E-4</v>
      </c>
      <c r="AS1008">
        <v>4.4031448465928543E-3</v>
      </c>
      <c r="AT1008">
        <v>5.0428754631576256E-3</v>
      </c>
      <c r="AU1008">
        <v>2.0446244503798949E-3</v>
      </c>
      <c r="AV1008">
        <v>1.8017597597003597E-3</v>
      </c>
      <c r="AW1008">
        <v>3.4681139740205813E-3</v>
      </c>
      <c r="AX1008">
        <v>3.6644162178866061E-4</v>
      </c>
      <c r="AY1008">
        <v>3.6988434224944494E-4</v>
      </c>
      <c r="BB1008">
        <v>4.1160065147929935E-2</v>
      </c>
      <c r="BC1008">
        <v>6.6318363836823768E-2</v>
      </c>
      <c r="BE1008">
        <v>67623.229819583081</v>
      </c>
      <c r="BF1008">
        <v>14.069304502244098</v>
      </c>
      <c r="BG1008">
        <v>68935.652374606012</v>
      </c>
      <c r="BH1008">
        <v>13.919047844339941</v>
      </c>
      <c r="BI1008">
        <v>-1312.4225550229312</v>
      </c>
      <c r="BJ1008">
        <v>0.15025665790415665</v>
      </c>
    </row>
    <row r="1009" spans="3:62" x14ac:dyDescent="0.2">
      <c r="C1009" s="121">
        <v>67937.573355920555</v>
      </c>
      <c r="D1009">
        <v>17.289327530470192</v>
      </c>
      <c r="E1009" s="121">
        <v>70283.002013138248</v>
      </c>
      <c r="F1009" s="121">
        <v>17.125105860629311</v>
      </c>
      <c r="G1009" s="121">
        <v>-2345.4286572176934</v>
      </c>
      <c r="H1009" s="121">
        <v>0.16422166984088093</v>
      </c>
      <c r="N1009" s="121"/>
      <c r="O1009" s="121"/>
      <c r="P1009" s="121"/>
      <c r="R1009">
        <v>245.04086806002178</v>
      </c>
      <c r="S1009">
        <v>59.672842008554881</v>
      </c>
      <c r="T1009">
        <v>221.41549529773312</v>
      </c>
      <c r="U1009">
        <v>82.353445453264655</v>
      </c>
      <c r="X1009">
        <v>0.66763630416711794</v>
      </c>
      <c r="Y1009">
        <v>0.87987358022429873</v>
      </c>
      <c r="Z1009">
        <v>0.63050206870780778</v>
      </c>
      <c r="AA1009">
        <v>0.86240640300428351</v>
      </c>
      <c r="AB1009">
        <v>0.71183269854358955</v>
      </c>
      <c r="AC1009">
        <v>0.75340616595177157</v>
      </c>
      <c r="AD1009">
        <v>0.80547150005041357</v>
      </c>
      <c r="AE1009">
        <v>0.67177801293656636</v>
      </c>
      <c r="AH1009">
        <v>4.3922573342026094E-2</v>
      </c>
      <c r="AI1009">
        <v>8.405041214771769E-2</v>
      </c>
      <c r="AJ1009">
        <v>3.9999552008490369E-2</v>
      </c>
      <c r="AK1009">
        <v>1.9415664523953602E-2</v>
      </c>
      <c r="AL1009">
        <v>0.21472839810916444</v>
      </c>
      <c r="AM1009">
        <v>0.19608062322580089</v>
      </c>
      <c r="AN1009">
        <v>5.1770033661046488E-2</v>
      </c>
      <c r="AO1009">
        <v>0.13378962147378015</v>
      </c>
      <c r="AR1009">
        <v>7.4692058790554693E-4</v>
      </c>
      <c r="AS1009">
        <v>4.3234583529434649E-3</v>
      </c>
      <c r="AT1009">
        <v>4.9291842914422632E-3</v>
      </c>
      <c r="AU1009">
        <v>1.9031240282073154E-3</v>
      </c>
      <c r="AV1009">
        <v>1.6983674604978359E-3</v>
      </c>
      <c r="AW1009">
        <v>3.1222858818042969E-3</v>
      </c>
      <c r="AX1009">
        <v>3.4440029288899742E-4</v>
      </c>
      <c r="AY1009">
        <v>5.1245270242317176E-4</v>
      </c>
      <c r="BB1009">
        <v>5.5479486321904581E-2</v>
      </c>
      <c r="BC1009">
        <v>7.6518819429440499E-2</v>
      </c>
      <c r="BE1009">
        <v>67937.573355920555</v>
      </c>
      <c r="BF1009">
        <v>17.289327530470192</v>
      </c>
      <c r="BG1009">
        <v>70283.002013138248</v>
      </c>
      <c r="BH1009">
        <v>17.125105860629311</v>
      </c>
      <c r="BI1009">
        <v>-2345.4286572176934</v>
      </c>
      <c r="BJ1009">
        <v>0.16422166984088093</v>
      </c>
    </row>
    <row r="1010" spans="3:62" x14ac:dyDescent="0.2">
      <c r="C1010" s="121">
        <v>73620.222824238721</v>
      </c>
      <c r="D1010">
        <v>15.630757672551036</v>
      </c>
      <c r="E1010" s="121">
        <v>76008.889041768402</v>
      </c>
      <c r="F1010" s="121">
        <v>15.457891704424762</v>
      </c>
      <c r="G1010" s="121">
        <v>-2388.6662175296806</v>
      </c>
      <c r="H1010" s="121">
        <v>0.17286596812627408</v>
      </c>
      <c r="N1010" s="121"/>
      <c r="O1010" s="121"/>
      <c r="P1010" s="121"/>
      <c r="R1010">
        <v>346.51956689678792</v>
      </c>
      <c r="S1010">
        <v>61.369302327335753</v>
      </c>
      <c r="T1010">
        <v>202.56800992355582</v>
      </c>
      <c r="U1010">
        <v>104.29836321578136</v>
      </c>
      <c r="X1010">
        <v>0.68368286153057523</v>
      </c>
      <c r="Y1010">
        <v>0.87233888764119238</v>
      </c>
      <c r="Z1010">
        <v>0.57750587832780165</v>
      </c>
      <c r="AA1010">
        <v>0.72852029841486921</v>
      </c>
      <c r="AB1010">
        <v>0.69796760492082432</v>
      </c>
      <c r="AC1010">
        <v>0.8682639074568782</v>
      </c>
      <c r="AD1010">
        <v>0.4724321876448202</v>
      </c>
      <c r="AE1010">
        <v>0.87673673445637745</v>
      </c>
      <c r="AH1010">
        <v>5.0923698167380405E-2</v>
      </c>
      <c r="AI1010">
        <v>5.9134828956210805E-2</v>
      </c>
      <c r="AJ1010">
        <v>0.15240619210712858</v>
      </c>
      <c r="AK1010">
        <v>0.23138794457069123</v>
      </c>
      <c r="AL1010">
        <v>0.15577852046641483</v>
      </c>
      <c r="AM1010">
        <v>7.4623464311857068E-2</v>
      </c>
      <c r="AN1010">
        <v>3.3575874559076846E-2</v>
      </c>
      <c r="AO1010">
        <v>4.5775789184479665E-2</v>
      </c>
      <c r="AR1010">
        <v>7.5441181189083697E-4</v>
      </c>
      <c r="AS1010">
        <v>4.4453380981358832E-3</v>
      </c>
      <c r="AT1010">
        <v>4.7584124273368994E-3</v>
      </c>
      <c r="AU1010">
        <v>1.9930061382164282E-3</v>
      </c>
      <c r="AV1010">
        <v>2.0775083881892087E-3</v>
      </c>
      <c r="AW1010">
        <v>2.9803150208155397E-3</v>
      </c>
      <c r="AX1010">
        <v>4.1272895675814603E-4</v>
      </c>
      <c r="AY1010">
        <v>4.3787981203192793E-4</v>
      </c>
      <c r="BB1010">
        <v>5.4696637827250871E-2</v>
      </c>
      <c r="BC1010">
        <v>2.599648064660344E-2</v>
      </c>
      <c r="BE1010">
        <v>73620.222824238721</v>
      </c>
      <c r="BF1010">
        <v>15.630757672551036</v>
      </c>
      <c r="BG1010">
        <v>76008.889041768402</v>
      </c>
      <c r="BH1010">
        <v>15.457891704424762</v>
      </c>
      <c r="BI1010">
        <v>-2388.6662175296806</v>
      </c>
      <c r="BJ1010">
        <v>0.17286596812627408</v>
      </c>
    </row>
    <row r="1011" spans="3:62" x14ac:dyDescent="0.2">
      <c r="C1011" s="121">
        <v>71762.865636698203</v>
      </c>
      <c r="D1011">
        <v>14.471796489960518</v>
      </c>
      <c r="E1011" s="121">
        <v>73133.049110612352</v>
      </c>
      <c r="F1011" s="121">
        <v>14.360743698410941</v>
      </c>
      <c r="G1011" s="121">
        <v>-1370.1834739141486</v>
      </c>
      <c r="H1011" s="121">
        <v>0.11105279154957692</v>
      </c>
      <c r="N1011" s="121"/>
      <c r="O1011" s="121"/>
      <c r="P1011" s="121"/>
      <c r="R1011">
        <v>190.97555414622428</v>
      </c>
      <c r="S1011">
        <v>60.971606714522906</v>
      </c>
      <c r="T1011">
        <v>240.6515657297474</v>
      </c>
      <c r="U1011">
        <v>92.243399618108711</v>
      </c>
      <c r="X1011">
        <v>0.74765127981680102</v>
      </c>
      <c r="Y1011">
        <v>0.8785178318524568</v>
      </c>
      <c r="Z1011">
        <v>0.83656598892255651</v>
      </c>
      <c r="AA1011">
        <v>0.386763278099093</v>
      </c>
      <c r="AB1011">
        <v>0.86837879193466228</v>
      </c>
      <c r="AC1011">
        <v>0.84569330033845314</v>
      </c>
      <c r="AD1011">
        <v>0.78094212272303098</v>
      </c>
      <c r="AE1011">
        <v>0.56200882478999925</v>
      </c>
      <c r="AH1011">
        <v>6.5554883991621127E-2</v>
      </c>
      <c r="AI1011">
        <v>0.1718347299237224</v>
      </c>
      <c r="AJ1011">
        <v>5.8608508808732473E-2</v>
      </c>
      <c r="AK1011">
        <v>0.2789660327720398</v>
      </c>
      <c r="AL1011">
        <v>9.1553653771579757E-2</v>
      </c>
      <c r="AM1011">
        <v>0.34758124705890969</v>
      </c>
      <c r="AN1011">
        <v>0.10721915384173841</v>
      </c>
      <c r="AO1011">
        <v>0.14516674538190832</v>
      </c>
      <c r="AR1011">
        <v>7.0822111274254694E-4</v>
      </c>
      <c r="AS1011">
        <v>4.3166945606623259E-3</v>
      </c>
      <c r="AT1011">
        <v>4.9728874102965559E-3</v>
      </c>
      <c r="AU1011">
        <v>2.2060597698840834E-3</v>
      </c>
      <c r="AV1011">
        <v>2.0411301465584897E-3</v>
      </c>
      <c r="AW1011">
        <v>3.4027781896644356E-3</v>
      </c>
      <c r="AX1011">
        <v>5.2169165597548695E-4</v>
      </c>
      <c r="AY1011">
        <v>4.7172954883845097E-4</v>
      </c>
      <c r="BB1011">
        <v>5.9844232577528245E-2</v>
      </c>
      <c r="BC1011">
        <v>4.6298159581515265E-2</v>
      </c>
      <c r="BE1011">
        <v>71762.865636698203</v>
      </c>
      <c r="BF1011">
        <v>14.471796489960518</v>
      </c>
      <c r="BG1011">
        <v>73133.049110612352</v>
      </c>
      <c r="BH1011">
        <v>14.360743698410941</v>
      </c>
      <c r="BI1011">
        <v>-1370.1834739141486</v>
      </c>
      <c r="BJ1011">
        <v>0.11105279154957692</v>
      </c>
    </row>
    <row r="1012" spans="3:62" x14ac:dyDescent="0.2">
      <c r="C1012" s="121">
        <v>70015.76158619397</v>
      </c>
      <c r="D1012">
        <v>17.452740571487528</v>
      </c>
      <c r="E1012" s="121">
        <v>71565.761472417813</v>
      </c>
      <c r="F1012" s="121">
        <v>17.345730093903576</v>
      </c>
      <c r="G1012" s="121">
        <v>-1549.9998862238426</v>
      </c>
      <c r="H1012" s="121">
        <v>0.10701047758395177</v>
      </c>
      <c r="N1012" s="121"/>
      <c r="O1012" s="121"/>
      <c r="P1012" s="121"/>
      <c r="R1012">
        <v>64.131095773180562</v>
      </c>
      <c r="S1012">
        <v>53.748950476699527</v>
      </c>
      <c r="T1012">
        <v>206.81780053082599</v>
      </c>
      <c r="U1012">
        <v>105.06514355059045</v>
      </c>
      <c r="X1012">
        <v>0.89231448021083104</v>
      </c>
      <c r="Y1012">
        <v>0.81941255643512245</v>
      </c>
      <c r="Z1012">
        <v>0.91357141682416387</v>
      </c>
      <c r="AA1012">
        <v>0.97199723916293435</v>
      </c>
      <c r="AB1012">
        <v>0.56211590140541423</v>
      </c>
      <c r="AC1012">
        <v>0.83445545056757564</v>
      </c>
      <c r="AD1012">
        <v>0.72716390653288931</v>
      </c>
      <c r="AE1012">
        <v>0.81025642373769591</v>
      </c>
      <c r="AH1012">
        <v>0.1260905879049864</v>
      </c>
      <c r="AI1012">
        <v>4.6585487486027866E-2</v>
      </c>
      <c r="AJ1012">
        <v>0.15359231306869825</v>
      </c>
      <c r="AK1012">
        <v>1.9805011626199853E-2</v>
      </c>
      <c r="AL1012">
        <v>3.3182453077828633E-2</v>
      </c>
      <c r="AM1012">
        <v>7.255457411338706E-2</v>
      </c>
      <c r="AN1012">
        <v>0.10999623435395278</v>
      </c>
      <c r="AO1012">
        <v>5.523230197013318E-2</v>
      </c>
      <c r="AR1012">
        <v>8.6597049709710261E-4</v>
      </c>
      <c r="AS1012">
        <v>4.4616745325602464E-3</v>
      </c>
      <c r="AT1012">
        <v>5.0015626063686369E-3</v>
      </c>
      <c r="AU1012">
        <v>2.139370701922827E-3</v>
      </c>
      <c r="AV1012">
        <v>2.2543473881654341E-3</v>
      </c>
      <c r="AW1012">
        <v>3.3890433150965105E-3</v>
      </c>
      <c r="AX1012">
        <v>3.110347063353888E-4</v>
      </c>
      <c r="AY1012">
        <v>3.7726510680958326E-4</v>
      </c>
      <c r="BB1012">
        <v>5.2218464696862421E-2</v>
      </c>
      <c r="BC1012">
        <v>3.5828725330553451E-2</v>
      </c>
      <c r="BE1012">
        <v>70015.76158619397</v>
      </c>
      <c r="BF1012">
        <v>17.452740571487528</v>
      </c>
      <c r="BG1012">
        <v>71565.761472417813</v>
      </c>
      <c r="BH1012">
        <v>17.345730093903576</v>
      </c>
      <c r="BI1012">
        <v>-1549.9998862238426</v>
      </c>
      <c r="BJ1012">
        <v>0.10701047758395177</v>
      </c>
    </row>
    <row r="1013" spans="3:62" x14ac:dyDescent="0.2">
      <c r="C1013" s="121">
        <v>61189.143294182511</v>
      </c>
      <c r="D1013">
        <v>17.407768234905372</v>
      </c>
      <c r="E1013" s="121">
        <v>62506.954520120169</v>
      </c>
      <c r="F1013" s="121">
        <v>17.286089534203519</v>
      </c>
      <c r="G1013" s="121">
        <v>-1317.8112259376576</v>
      </c>
      <c r="H1013" s="121">
        <v>0.12167870070185316</v>
      </c>
      <c r="N1013" s="121"/>
      <c r="O1013" s="121"/>
      <c r="P1013" s="121"/>
      <c r="R1013">
        <v>260.56942708154304</v>
      </c>
      <c r="S1013">
        <v>63.574633745205489</v>
      </c>
      <c r="T1013">
        <v>258.36355752599462</v>
      </c>
      <c r="U1013">
        <v>88.38787675083519</v>
      </c>
      <c r="X1013">
        <v>0.79145779668212612</v>
      </c>
      <c r="Y1013">
        <v>0.79747347906452215</v>
      </c>
      <c r="Z1013">
        <v>0.60839078322373641</v>
      </c>
      <c r="AA1013">
        <v>0.82088720127345383</v>
      </c>
      <c r="AB1013">
        <v>0.86784260464321406</v>
      </c>
      <c r="AC1013">
        <v>0.57074347500455747</v>
      </c>
      <c r="AD1013">
        <v>0.74941857932460687</v>
      </c>
      <c r="AE1013">
        <v>0.87516875426616958</v>
      </c>
      <c r="AH1013">
        <v>1.4510130066005544E-3</v>
      </c>
      <c r="AI1013">
        <v>0.19201499072879569</v>
      </c>
      <c r="AJ1013">
        <v>0.48214767607389142</v>
      </c>
      <c r="AK1013">
        <v>5.8083450504828327E-2</v>
      </c>
      <c r="AL1013">
        <v>7.7921459110055658E-2</v>
      </c>
      <c r="AM1013">
        <v>0.46280934637138915</v>
      </c>
      <c r="AN1013">
        <v>1.8103274960184157E-2</v>
      </c>
      <c r="AO1013">
        <v>0.12606817942447412</v>
      </c>
      <c r="AR1013">
        <v>8.4127101617152223E-4</v>
      </c>
      <c r="AS1013">
        <v>4.6139991117351009E-3</v>
      </c>
      <c r="AT1013">
        <v>4.7483844270146082E-3</v>
      </c>
      <c r="AU1013">
        <v>1.880099634971537E-3</v>
      </c>
      <c r="AV1013">
        <v>2.0131427373725197E-3</v>
      </c>
      <c r="AW1013">
        <v>3.4011744739490674E-3</v>
      </c>
      <c r="AX1013">
        <v>3.3155680776380034E-4</v>
      </c>
      <c r="AY1013">
        <v>4.5219567537768679E-4</v>
      </c>
      <c r="BB1013">
        <v>5.0545331574525787E-2</v>
      </c>
      <c r="BC1013">
        <v>2.3157665394169805E-2</v>
      </c>
      <c r="BE1013">
        <v>61189.143294182511</v>
      </c>
      <c r="BF1013">
        <v>17.407768234905372</v>
      </c>
      <c r="BG1013">
        <v>62506.954520120169</v>
      </c>
      <c r="BH1013">
        <v>17.286089534203519</v>
      </c>
      <c r="BI1013">
        <v>-1317.8112259376576</v>
      </c>
      <c r="BJ1013">
        <v>0.12167870070185316</v>
      </c>
    </row>
    <row r="1014" spans="3:62" x14ac:dyDescent="0.2">
      <c r="C1014" s="121">
        <v>70719.928971466885</v>
      </c>
      <c r="D1014">
        <v>17.235568776938074</v>
      </c>
      <c r="E1014" s="121">
        <v>71928.155676081995</v>
      </c>
      <c r="F1014" s="121">
        <v>17.139646408055441</v>
      </c>
      <c r="G1014" s="121">
        <v>-1208.2267046151101</v>
      </c>
      <c r="H1014" s="121">
        <v>9.5922368882632725E-2</v>
      </c>
      <c r="N1014" s="121"/>
      <c r="O1014" s="121"/>
      <c r="P1014" s="121"/>
      <c r="R1014">
        <v>188.95772930029011</v>
      </c>
      <c r="S1014">
        <v>68.812782144071065</v>
      </c>
      <c r="T1014">
        <v>273.20660459927376</v>
      </c>
      <c r="U1014">
        <v>86.130596038480135</v>
      </c>
      <c r="X1014">
        <v>0.79550294561417578</v>
      </c>
      <c r="Y1014">
        <v>0.8272071011627482</v>
      </c>
      <c r="Z1014">
        <v>0.53908152777212492</v>
      </c>
      <c r="AA1014">
        <v>0.90712875342221699</v>
      </c>
      <c r="AB1014">
        <v>0.83297449071253071</v>
      </c>
      <c r="AC1014">
        <v>0.76720708499525747</v>
      </c>
      <c r="AD1014">
        <v>0.85932931607062424</v>
      </c>
      <c r="AE1014">
        <v>0.68478482533124052</v>
      </c>
      <c r="AH1014">
        <v>0.1893703089736819</v>
      </c>
      <c r="AI1014">
        <v>0.15175150868239851</v>
      </c>
      <c r="AJ1014">
        <v>8.0225566344103272E-2</v>
      </c>
      <c r="AK1014">
        <v>0.11465118711667066</v>
      </c>
      <c r="AL1014">
        <v>0.1733860965657158</v>
      </c>
      <c r="AM1014">
        <v>0.13129225182832061</v>
      </c>
      <c r="AN1014">
        <v>0.10179999820003727</v>
      </c>
      <c r="AO1014">
        <v>0.17788515443348873</v>
      </c>
      <c r="AR1014">
        <v>9.1331599466892843E-4</v>
      </c>
      <c r="AS1014">
        <v>4.4804489696847714E-3</v>
      </c>
      <c r="AT1014">
        <v>4.8531092525162176E-3</v>
      </c>
      <c r="AU1014">
        <v>2.2399461689234235E-3</v>
      </c>
      <c r="AV1014">
        <v>2.0435052948796217E-3</v>
      </c>
      <c r="AW1014">
        <v>3.3833725803609407E-3</v>
      </c>
      <c r="AX1014">
        <v>4.4720986487234438E-4</v>
      </c>
      <c r="AY1014">
        <v>5.3677537765883798E-4</v>
      </c>
      <c r="BB1014">
        <v>5.1176163361736693E-2</v>
      </c>
      <c r="BC1014">
        <v>8.1271172210062415E-2</v>
      </c>
      <c r="BE1014">
        <v>70719.928971466885</v>
      </c>
      <c r="BF1014">
        <v>17.235568776938074</v>
      </c>
      <c r="BG1014">
        <v>71928.155676081995</v>
      </c>
      <c r="BH1014">
        <v>17.139646408055441</v>
      </c>
      <c r="BI1014">
        <v>-1208.2267046151101</v>
      </c>
      <c r="BJ1014">
        <v>9.5922368882632725E-2</v>
      </c>
    </row>
    <row r="1015" spans="3:62" x14ac:dyDescent="0.2">
      <c r="C1015" s="121">
        <v>68542.438798441144</v>
      </c>
      <c r="D1015">
        <v>16.505041629164367</v>
      </c>
      <c r="E1015" s="121">
        <v>70401.9132025984</v>
      </c>
      <c r="F1015" s="121">
        <v>16.348274331187785</v>
      </c>
      <c r="G1015" s="121">
        <v>-1859.4744041572558</v>
      </c>
      <c r="H1015" s="121">
        <v>0.1567672979765824</v>
      </c>
      <c r="N1015" s="121"/>
      <c r="O1015" s="121"/>
      <c r="P1015" s="121"/>
      <c r="R1015">
        <v>328.89272162637047</v>
      </c>
      <c r="S1015">
        <v>59.248747342253679</v>
      </c>
      <c r="T1015">
        <v>235.51491354230481</v>
      </c>
      <c r="U1015">
        <v>98.716745956721581</v>
      </c>
      <c r="X1015">
        <v>0.9500983992578601</v>
      </c>
      <c r="Y1015">
        <v>0.75760611440288128</v>
      </c>
      <c r="Z1015">
        <v>0.76154066622850103</v>
      </c>
      <c r="AA1015">
        <v>0.83173531161334524</v>
      </c>
      <c r="AB1015">
        <v>0.86453347443723705</v>
      </c>
      <c r="AC1015">
        <v>0.46662409743979488</v>
      </c>
      <c r="AD1015">
        <v>0.94142747273791993</v>
      </c>
      <c r="AE1015">
        <v>0.71905176964973938</v>
      </c>
      <c r="AH1015">
        <v>0.15303673247646743</v>
      </c>
      <c r="AI1015">
        <v>0.19484761878792534</v>
      </c>
      <c r="AJ1015">
        <v>1.2390838354876532E-2</v>
      </c>
      <c r="AK1015">
        <v>0.10193988853549607</v>
      </c>
      <c r="AL1015">
        <v>0.12836062154011252</v>
      </c>
      <c r="AM1015">
        <v>9.3537379753361183E-2</v>
      </c>
      <c r="AN1015">
        <v>0.20975933499816235</v>
      </c>
      <c r="AO1015">
        <v>0.16052874545569873</v>
      </c>
      <c r="AR1015">
        <v>8.1998575125948958E-4</v>
      </c>
      <c r="AS1015">
        <v>4.6986049287990328E-3</v>
      </c>
      <c r="AT1015">
        <v>4.8451163368526829E-3</v>
      </c>
      <c r="AU1015">
        <v>1.9927943601722371E-3</v>
      </c>
      <c r="AV1015">
        <v>1.9595222160386631E-3</v>
      </c>
      <c r="AW1015">
        <v>3.5127102219950634E-3</v>
      </c>
      <c r="AX1015">
        <v>3.8841459343132162E-4</v>
      </c>
      <c r="AY1015">
        <v>5.0235400485743043E-4</v>
      </c>
      <c r="BB1015">
        <v>6.2601905606246566E-2</v>
      </c>
      <c r="BC1015">
        <v>2.799444733554975E-2</v>
      </c>
      <c r="BE1015">
        <v>68542.438798441144</v>
      </c>
      <c r="BF1015">
        <v>16.505041629164367</v>
      </c>
      <c r="BG1015">
        <v>70401.9132025984</v>
      </c>
      <c r="BH1015">
        <v>16.348274331187785</v>
      </c>
      <c r="BI1015">
        <v>-1859.4744041572558</v>
      </c>
      <c r="BJ1015">
        <v>0.1567672979765824</v>
      </c>
    </row>
    <row r="1016" spans="3:62" x14ac:dyDescent="0.2">
      <c r="C1016" s="121"/>
      <c r="E1016" s="121"/>
      <c r="F1016" s="121"/>
      <c r="G1016" s="121"/>
      <c r="H1016" s="121"/>
    </row>
    <row r="1017" spans="3:62" x14ac:dyDescent="0.2">
      <c r="C1017" s="121"/>
      <c r="E1017" s="121"/>
      <c r="F1017" s="121"/>
      <c r="G1017" s="121"/>
      <c r="H1017" s="121"/>
    </row>
    <row r="1018" spans="3:62" x14ac:dyDescent="0.2">
      <c r="C1018" s="123">
        <v>56438.78</v>
      </c>
      <c r="D1018">
        <v>11.668249714829788</v>
      </c>
      <c r="E1018" s="123">
        <v>57630.29</v>
      </c>
      <c r="F1018" s="123">
        <v>11.61</v>
      </c>
      <c r="G1018" s="123">
        <v>-3134.08</v>
      </c>
      <c r="H1018" s="123">
        <v>-0.01</v>
      </c>
      <c r="R1018">
        <v>-61.393029138310737</v>
      </c>
      <c r="S1018">
        <v>43.409322987508503</v>
      </c>
      <c r="T1018">
        <v>178.05043999136575</v>
      </c>
      <c r="U1018">
        <v>61.950513236368963</v>
      </c>
      <c r="V1018">
        <v>0</v>
      </c>
      <c r="W1018">
        <v>0</v>
      </c>
      <c r="X1018">
        <v>0.3407896514202296</v>
      </c>
      <c r="Y1018">
        <v>0.25295931726069087</v>
      </c>
      <c r="Z1018">
        <v>0.29384705548016132</v>
      </c>
      <c r="AA1018">
        <v>0.24207798905171457</v>
      </c>
      <c r="AB1018">
        <v>0.32709148445376046</v>
      </c>
      <c r="AC1018">
        <v>0.14887792550459095</v>
      </c>
      <c r="AD1018">
        <v>0.27136590563135177</v>
      </c>
      <c r="AE1018">
        <v>0.3247368365167872</v>
      </c>
      <c r="AF1018">
        <v>0</v>
      </c>
      <c r="AG1018">
        <v>0</v>
      </c>
      <c r="AH1018">
        <v>1.4510130066005544E-3</v>
      </c>
      <c r="AI1018">
        <v>1.0377688965087506E-3</v>
      </c>
      <c r="AJ1018">
        <v>1.0540351272612103E-3</v>
      </c>
      <c r="AK1018">
        <v>2.3589600554014822E-3</v>
      </c>
      <c r="AL1018">
        <v>5.2995439873482209E-3</v>
      </c>
      <c r="AM1018">
        <v>1.7872716432340008E-3</v>
      </c>
      <c r="AN1018">
        <v>1.3315906730497762E-3</v>
      </c>
      <c r="AO1018">
        <v>1.4979288005425584E-3</v>
      </c>
      <c r="AP1018">
        <v>0</v>
      </c>
      <c r="AQ1018">
        <v>0</v>
      </c>
      <c r="AR1018">
        <v>6.1738313047810076E-4</v>
      </c>
      <c r="AS1018">
        <v>3.8949002602369537E-3</v>
      </c>
      <c r="AT1018">
        <v>4.3175406526037114E-3</v>
      </c>
      <c r="AU1018">
        <v>1.6245899604081814E-3</v>
      </c>
      <c r="AV1018">
        <v>1.6268180255281522E-3</v>
      </c>
      <c r="AW1018">
        <v>2.8535413579212215E-3</v>
      </c>
      <c r="AX1018">
        <v>2.4388485426326149E-4</v>
      </c>
      <c r="AY1018">
        <v>2.803202228501888E-4</v>
      </c>
      <c r="AZ1018">
        <v>0</v>
      </c>
      <c r="BA1018">
        <v>0</v>
      </c>
      <c r="BB1018">
        <v>3.5120812554798438E-2</v>
      </c>
      <c r="BC1018">
        <v>3.5188209578960127E-3</v>
      </c>
      <c r="BD1018">
        <v>0</v>
      </c>
      <c r="BE1018" s="123">
        <v>56438.78</v>
      </c>
      <c r="BF1018">
        <v>11.668249714829788</v>
      </c>
      <c r="BG1018" s="123">
        <v>57630.29</v>
      </c>
      <c r="BH1018">
        <v>11.606475042277401</v>
      </c>
      <c r="BI1018" s="123">
        <v>-3134.08</v>
      </c>
      <c r="BJ1018">
        <v>-1.4558959349425749E-2</v>
      </c>
    </row>
    <row r="1019" spans="3:62" x14ac:dyDescent="0.2">
      <c r="C1019" s="121">
        <v>56733.079898989898</v>
      </c>
      <c r="D1019">
        <v>11.75365485997458</v>
      </c>
      <c r="E1019" s="121">
        <v>57932.203535353539</v>
      </c>
      <c r="F1019" s="121">
        <v>11.691613777942942</v>
      </c>
      <c r="G1019" s="121">
        <v>-3098.6156565656565</v>
      </c>
      <c r="H1019" s="121">
        <v>-1.1862165043515577E-2</v>
      </c>
      <c r="R1019">
        <v>-54.982615492217882</v>
      </c>
      <c r="S1019">
        <v>43.800271840408229</v>
      </c>
      <c r="T1019">
        <v>179.66767639781096</v>
      </c>
      <c r="U1019">
        <v>62.612029783941658</v>
      </c>
      <c r="V1019">
        <v>0</v>
      </c>
      <c r="W1019">
        <v>0</v>
      </c>
      <c r="X1019">
        <v>0.34730311009745912</v>
      </c>
      <c r="Y1019">
        <v>0.26040479177117909</v>
      </c>
      <c r="Z1019">
        <v>0.30088715303753932</v>
      </c>
      <c r="AA1019">
        <v>0.2495291462210017</v>
      </c>
      <c r="AB1019">
        <v>0.33376354058243718</v>
      </c>
      <c r="AC1019">
        <v>0.15735712414325551</v>
      </c>
      <c r="AD1019">
        <v>0.27858982937822535</v>
      </c>
      <c r="AE1019">
        <v>0.33144203245962384</v>
      </c>
      <c r="AF1019">
        <v>0</v>
      </c>
      <c r="AG1019">
        <v>0</v>
      </c>
      <c r="AH1019">
        <v>6.4259137354845796E-3</v>
      </c>
      <c r="AI1019">
        <v>6.5018048998458922E-3</v>
      </c>
      <c r="AJ1019">
        <v>5.9135668539948491E-3</v>
      </c>
      <c r="AK1019">
        <v>7.8021624892378669E-3</v>
      </c>
      <c r="AL1019">
        <v>1.0487520443823381E-2</v>
      </c>
      <c r="AM1019">
        <v>6.9891832457855598E-3</v>
      </c>
      <c r="AN1019">
        <v>5.5442691436197776E-3</v>
      </c>
      <c r="AO1019">
        <v>6.9597401076906462E-3</v>
      </c>
      <c r="AP1019">
        <v>0</v>
      </c>
      <c r="AQ1019">
        <v>0</v>
      </c>
      <c r="AR1019">
        <v>6.2420151726747723E-4</v>
      </c>
      <c r="AS1019">
        <v>3.9078327294656224E-3</v>
      </c>
      <c r="AT1019">
        <v>4.3305248021968815E-3</v>
      </c>
      <c r="AU1019">
        <v>1.6344657819950524E-3</v>
      </c>
      <c r="AV1019">
        <v>1.6352894783752908E-3</v>
      </c>
      <c r="AW1019">
        <v>2.8641096965553391E-3</v>
      </c>
      <c r="AX1019">
        <v>2.4836539971069576E-4</v>
      </c>
      <c r="AY1019">
        <v>2.845002474864695E-4</v>
      </c>
      <c r="AZ1019">
        <v>0</v>
      </c>
      <c r="BA1019">
        <v>0</v>
      </c>
      <c r="BB1019">
        <v>3.5491665291444208E-2</v>
      </c>
      <c r="BC1019">
        <v>5.1365908935023172E-3</v>
      </c>
      <c r="BD1019">
        <v>0</v>
      </c>
      <c r="BE1019">
        <v>56733.079898989898</v>
      </c>
      <c r="BF1019">
        <v>11.75365485997458</v>
      </c>
      <c r="BG1019">
        <v>57932.203535353539</v>
      </c>
      <c r="BH1019">
        <v>11.691613777942942</v>
      </c>
      <c r="BI1019">
        <v>-3098.6156565656565</v>
      </c>
      <c r="BJ1019">
        <v>-1.1862165043515577E-2</v>
      </c>
    </row>
    <row r="1020" spans="3:62" x14ac:dyDescent="0.2">
      <c r="C1020" s="121">
        <v>57027.379797979796</v>
      </c>
      <c r="D1020">
        <v>11.839060005119372</v>
      </c>
      <c r="E1020" s="121">
        <v>58234.117070707078</v>
      </c>
      <c r="F1020" s="121">
        <v>11.776752513608484</v>
      </c>
      <c r="G1020" s="121">
        <v>-3063.1513131313131</v>
      </c>
      <c r="H1020" s="121">
        <v>-9.1653707376054064E-3</v>
      </c>
      <c r="R1020">
        <v>-48.572201846125026</v>
      </c>
      <c r="S1020">
        <v>44.191220693307955</v>
      </c>
      <c r="T1020">
        <v>181.28491280425618</v>
      </c>
      <c r="U1020">
        <v>63.273546331514353</v>
      </c>
      <c r="V1020">
        <v>0</v>
      </c>
      <c r="W1020">
        <v>0</v>
      </c>
      <c r="X1020">
        <v>0.35381656877468864</v>
      </c>
      <c r="Y1020">
        <v>0.2678502662816673</v>
      </c>
      <c r="Z1020">
        <v>0.30792725059491732</v>
      </c>
      <c r="AA1020">
        <v>0.25698030339028882</v>
      </c>
      <c r="AB1020">
        <v>0.3404355967111139</v>
      </c>
      <c r="AC1020">
        <v>0.16583632278192006</v>
      </c>
      <c r="AD1020">
        <v>0.28581375312509893</v>
      </c>
      <c r="AE1020">
        <v>0.33814722840246048</v>
      </c>
      <c r="AF1020">
        <v>0</v>
      </c>
      <c r="AG1020">
        <v>0</v>
      </c>
      <c r="AH1020">
        <v>1.1400814464368605E-2</v>
      </c>
      <c r="AI1020">
        <v>1.1965840903183034E-2</v>
      </c>
      <c r="AJ1020">
        <v>1.0773098580728488E-2</v>
      </c>
      <c r="AK1020">
        <v>1.3245364923074252E-2</v>
      </c>
      <c r="AL1020">
        <v>1.5675496900298541E-2</v>
      </c>
      <c r="AM1020">
        <v>1.2191094848337119E-2</v>
      </c>
      <c r="AN1020">
        <v>9.7569476141897791E-3</v>
      </c>
      <c r="AO1020">
        <v>1.2421551414838734E-2</v>
      </c>
      <c r="AP1020">
        <v>0</v>
      </c>
      <c r="AQ1020">
        <v>0</v>
      </c>
      <c r="AR1020">
        <v>6.3101990405685371E-4</v>
      </c>
      <c r="AS1020">
        <v>3.9207651986942916E-3</v>
      </c>
      <c r="AT1020">
        <v>4.3435089517900516E-3</v>
      </c>
      <c r="AU1020">
        <v>1.6443416035819233E-3</v>
      </c>
      <c r="AV1020">
        <v>1.6437609312224294E-3</v>
      </c>
      <c r="AW1020">
        <v>2.8746780351894567E-3</v>
      </c>
      <c r="AX1020">
        <v>2.5284594515813001E-4</v>
      </c>
      <c r="AY1020">
        <v>2.886802721227502E-4</v>
      </c>
      <c r="AZ1020">
        <v>0</v>
      </c>
      <c r="BA1020">
        <v>0</v>
      </c>
      <c r="BB1020">
        <v>3.5862518028089978E-2</v>
      </c>
      <c r="BC1020">
        <v>6.7543608291086212E-3</v>
      </c>
      <c r="BD1020">
        <v>0</v>
      </c>
      <c r="BE1020">
        <v>57027.379797979796</v>
      </c>
      <c r="BF1020">
        <v>11.839060005119372</v>
      </c>
      <c r="BG1020">
        <v>58234.117070707078</v>
      </c>
      <c r="BH1020">
        <v>11.776752513608484</v>
      </c>
      <c r="BI1020">
        <v>-3063.1513131313131</v>
      </c>
      <c r="BJ1020">
        <v>-9.1653707376054064E-3</v>
      </c>
    </row>
    <row r="1021" spans="3:62" x14ac:dyDescent="0.2">
      <c r="C1021" s="121">
        <v>57321.679696969695</v>
      </c>
      <c r="D1021">
        <v>11.924465150264163</v>
      </c>
      <c r="E1021" s="121">
        <v>58536.030606060616</v>
      </c>
      <c r="F1021" s="121">
        <v>11.861891249274025</v>
      </c>
      <c r="G1021" s="121">
        <v>-3027.6869696969698</v>
      </c>
      <c r="H1021" s="121">
        <v>-6.4685764316952353E-3</v>
      </c>
      <c r="R1021">
        <v>-42.16178820003217</v>
      </c>
      <c r="S1021">
        <v>44.58216954620768</v>
      </c>
      <c r="T1021">
        <v>182.9021492107014</v>
      </c>
      <c r="U1021">
        <v>63.935062879087049</v>
      </c>
      <c r="V1021">
        <v>0</v>
      </c>
      <c r="W1021">
        <v>0</v>
      </c>
      <c r="X1021">
        <v>0.36033002745191817</v>
      </c>
      <c r="Y1021">
        <v>0.27529574079215552</v>
      </c>
      <c r="Z1021">
        <v>0.31496734815229532</v>
      </c>
      <c r="AA1021">
        <v>0.26443146055957595</v>
      </c>
      <c r="AB1021">
        <v>0.34710765283979061</v>
      </c>
      <c r="AC1021">
        <v>0.17431552142058462</v>
      </c>
      <c r="AD1021">
        <v>0.29303767687197252</v>
      </c>
      <c r="AE1021">
        <v>0.34485242434529711</v>
      </c>
      <c r="AF1021">
        <v>0</v>
      </c>
      <c r="AG1021">
        <v>0</v>
      </c>
      <c r="AH1021">
        <v>1.6375715193252628E-2</v>
      </c>
      <c r="AI1021">
        <v>1.7429876906520175E-2</v>
      </c>
      <c r="AJ1021">
        <v>1.5632630307462127E-2</v>
      </c>
      <c r="AK1021">
        <v>1.8688567356910636E-2</v>
      </c>
      <c r="AL1021">
        <v>2.0863473356773701E-2</v>
      </c>
      <c r="AM1021">
        <v>1.7393006450888676E-2</v>
      </c>
      <c r="AN1021">
        <v>1.3969626084759781E-2</v>
      </c>
      <c r="AO1021">
        <v>1.7883362721986821E-2</v>
      </c>
      <c r="AP1021">
        <v>0</v>
      </c>
      <c r="AQ1021">
        <v>0</v>
      </c>
      <c r="AR1021">
        <v>6.3783829084623018E-4</v>
      </c>
      <c r="AS1021">
        <v>3.9336976679229608E-3</v>
      </c>
      <c r="AT1021">
        <v>4.3564931013832216E-3</v>
      </c>
      <c r="AU1021">
        <v>1.6542174251687942E-3</v>
      </c>
      <c r="AV1021">
        <v>1.652232384069568E-3</v>
      </c>
      <c r="AW1021">
        <v>2.8852463738235743E-3</v>
      </c>
      <c r="AX1021">
        <v>2.5732649060556425E-4</v>
      </c>
      <c r="AY1021">
        <v>2.9286029675903091E-4</v>
      </c>
      <c r="AZ1021">
        <v>0</v>
      </c>
      <c r="BA1021">
        <v>0</v>
      </c>
      <c r="BB1021">
        <v>3.6233370764735748E-2</v>
      </c>
      <c r="BC1021">
        <v>8.3721307647149253E-3</v>
      </c>
      <c r="BD1021">
        <v>0</v>
      </c>
      <c r="BE1021">
        <v>57321.679696969695</v>
      </c>
      <c r="BF1021">
        <v>11.924465150264163</v>
      </c>
      <c r="BG1021">
        <v>58536.030606060616</v>
      </c>
      <c r="BH1021">
        <v>11.861891249274025</v>
      </c>
      <c r="BI1021">
        <v>-3027.6869696969698</v>
      </c>
      <c r="BJ1021">
        <v>-6.4685764316952353E-3</v>
      </c>
    </row>
    <row r="1022" spans="3:62" x14ac:dyDescent="0.2">
      <c r="C1022" s="121">
        <v>57615.979595959594</v>
      </c>
      <c r="D1022">
        <v>12.009870295408955</v>
      </c>
      <c r="E1022" s="121">
        <v>58837.944141414155</v>
      </c>
      <c r="F1022" s="121">
        <v>11.947029984939567</v>
      </c>
      <c r="G1022" s="121">
        <v>-2992.2226262626264</v>
      </c>
      <c r="H1022" s="121">
        <v>-3.7717821257850647E-3</v>
      </c>
      <c r="R1022">
        <v>-35.751374553939314</v>
      </c>
      <c r="S1022">
        <v>44.973118399107406</v>
      </c>
      <c r="T1022">
        <v>184.51938561714661</v>
      </c>
      <c r="U1022">
        <v>64.596579426659744</v>
      </c>
      <c r="V1022">
        <v>0</v>
      </c>
      <c r="W1022">
        <v>0</v>
      </c>
      <c r="X1022">
        <v>0.36684348612914769</v>
      </c>
      <c r="Y1022">
        <v>0.28274121530264373</v>
      </c>
      <c r="Z1022">
        <v>0.32200744570967332</v>
      </c>
      <c r="AA1022">
        <v>0.27188261772886307</v>
      </c>
      <c r="AB1022">
        <v>0.35377970896846733</v>
      </c>
      <c r="AC1022">
        <v>0.18279472005924918</v>
      </c>
      <c r="AD1022">
        <v>0.3002616006188461</v>
      </c>
      <c r="AE1022">
        <v>0.35155762028813375</v>
      </c>
      <c r="AF1022">
        <v>0</v>
      </c>
      <c r="AG1022">
        <v>0</v>
      </c>
      <c r="AH1022">
        <v>2.1350615922136655E-2</v>
      </c>
      <c r="AI1022">
        <v>2.2893912909857317E-2</v>
      </c>
      <c r="AJ1022">
        <v>2.0492162034195766E-2</v>
      </c>
      <c r="AK1022">
        <v>2.4131769790747021E-2</v>
      </c>
      <c r="AL1022">
        <v>2.6051449813248861E-2</v>
      </c>
      <c r="AM1022">
        <v>2.2594918053440237E-2</v>
      </c>
      <c r="AN1022">
        <v>1.8182304555329782E-2</v>
      </c>
      <c r="AO1022">
        <v>2.334517402913491E-2</v>
      </c>
      <c r="AP1022">
        <v>0</v>
      </c>
      <c r="AQ1022">
        <v>0</v>
      </c>
      <c r="AR1022">
        <v>6.4465667763560666E-4</v>
      </c>
      <c r="AS1022">
        <v>3.9466301371516299E-3</v>
      </c>
      <c r="AT1022">
        <v>4.3694772509763917E-3</v>
      </c>
      <c r="AU1022">
        <v>1.6640932467556651E-3</v>
      </c>
      <c r="AV1022">
        <v>1.6607038369167066E-3</v>
      </c>
      <c r="AW1022">
        <v>2.8958147124576918E-3</v>
      </c>
      <c r="AX1022">
        <v>2.618070360529985E-4</v>
      </c>
      <c r="AY1022">
        <v>2.9704032139531161E-4</v>
      </c>
      <c r="AZ1022">
        <v>0</v>
      </c>
      <c r="BA1022">
        <v>0</v>
      </c>
      <c r="BB1022">
        <v>3.6604223501381518E-2</v>
      </c>
      <c r="BC1022">
        <v>9.9899007003212293E-3</v>
      </c>
      <c r="BD1022">
        <v>0</v>
      </c>
      <c r="BE1022">
        <v>57615.979595959594</v>
      </c>
      <c r="BF1022">
        <v>12.009870295408955</v>
      </c>
      <c r="BG1022">
        <v>58837.944141414155</v>
      </c>
      <c r="BH1022">
        <v>11.947029984939567</v>
      </c>
      <c r="BI1022">
        <v>-2992.2226262626264</v>
      </c>
      <c r="BJ1022">
        <v>-3.7717821257850647E-3</v>
      </c>
    </row>
    <row r="1023" spans="3:62" x14ac:dyDescent="0.2">
      <c r="C1023" s="121">
        <v>57910.279494949493</v>
      </c>
      <c r="D1023">
        <v>12.095275440553747</v>
      </c>
      <c r="E1023" s="121">
        <v>59139.857676767693</v>
      </c>
      <c r="F1023" s="121">
        <v>12.032168720605108</v>
      </c>
      <c r="G1023" s="121">
        <v>-2956.758282828283</v>
      </c>
      <c r="H1023" s="121">
        <v>-1.074987819874894E-3</v>
      </c>
      <c r="R1023">
        <v>-29.340960907846458</v>
      </c>
      <c r="S1023">
        <v>45.364067252007132</v>
      </c>
      <c r="T1023">
        <v>186.13662202359183</v>
      </c>
      <c r="U1023">
        <v>65.258095974232432</v>
      </c>
      <c r="V1023">
        <v>0</v>
      </c>
      <c r="W1023">
        <v>0</v>
      </c>
      <c r="X1023">
        <v>0.37335694480637721</v>
      </c>
      <c r="Y1023">
        <v>0.29018668981313195</v>
      </c>
      <c r="Z1023">
        <v>0.32904754326705132</v>
      </c>
      <c r="AA1023">
        <v>0.2793337748981502</v>
      </c>
      <c r="AB1023">
        <v>0.36045176509714405</v>
      </c>
      <c r="AC1023">
        <v>0.19127391869791374</v>
      </c>
      <c r="AD1023">
        <v>0.30748552436571969</v>
      </c>
      <c r="AE1023">
        <v>0.35826281623097039</v>
      </c>
      <c r="AF1023">
        <v>0</v>
      </c>
      <c r="AG1023">
        <v>0</v>
      </c>
      <c r="AH1023">
        <v>2.6325516651020682E-2</v>
      </c>
      <c r="AI1023">
        <v>2.8357948913194458E-2</v>
      </c>
      <c r="AJ1023">
        <v>2.5351693760929404E-2</v>
      </c>
      <c r="AK1023">
        <v>2.9574972224583405E-2</v>
      </c>
      <c r="AL1023">
        <v>3.1239426269724022E-2</v>
      </c>
      <c r="AM1023">
        <v>2.7796829655991798E-2</v>
      </c>
      <c r="AN1023">
        <v>2.2394983025899783E-2</v>
      </c>
      <c r="AO1023">
        <v>2.8806985336282998E-2</v>
      </c>
      <c r="AP1023">
        <v>0</v>
      </c>
      <c r="AQ1023">
        <v>0</v>
      </c>
      <c r="AR1023">
        <v>6.5147506442498314E-4</v>
      </c>
      <c r="AS1023">
        <v>3.9595626063802991E-3</v>
      </c>
      <c r="AT1023">
        <v>4.3824614005695617E-3</v>
      </c>
      <c r="AU1023">
        <v>1.673969068342536E-3</v>
      </c>
      <c r="AV1023">
        <v>1.6691752897638453E-3</v>
      </c>
      <c r="AW1023">
        <v>2.9063830510918094E-3</v>
      </c>
      <c r="AX1023">
        <v>2.6628758150043275E-4</v>
      </c>
      <c r="AY1023">
        <v>3.0122034603159232E-4</v>
      </c>
      <c r="AZ1023">
        <v>0</v>
      </c>
      <c r="BA1023">
        <v>0</v>
      </c>
      <c r="BB1023">
        <v>3.6975076238027288E-2</v>
      </c>
      <c r="BC1023">
        <v>1.1607670635927533E-2</v>
      </c>
      <c r="BD1023">
        <v>0</v>
      </c>
      <c r="BE1023">
        <v>57910.279494949493</v>
      </c>
      <c r="BF1023">
        <v>12.095275440553747</v>
      </c>
      <c r="BG1023">
        <v>59139.857676767693</v>
      </c>
      <c r="BH1023">
        <v>12.032168720605108</v>
      </c>
      <c r="BI1023">
        <v>-2956.758282828283</v>
      </c>
      <c r="BJ1023">
        <v>-1.074987819874894E-3</v>
      </c>
    </row>
    <row r="1024" spans="3:62" x14ac:dyDescent="0.2">
      <c r="C1024" s="121">
        <v>58204.579393939392</v>
      </c>
      <c r="D1024">
        <v>12.180680585698539</v>
      </c>
      <c r="E1024" s="121">
        <v>59441.771212121232</v>
      </c>
      <c r="F1024" s="121">
        <v>12.11730745627065</v>
      </c>
      <c r="G1024" s="121">
        <v>-2921.2939393939396</v>
      </c>
      <c r="H1024" s="121">
        <v>1.6218064860352766E-3</v>
      </c>
      <c r="R1024">
        <v>-22.930547261753603</v>
      </c>
      <c r="S1024">
        <v>45.755016104906858</v>
      </c>
      <c r="T1024">
        <v>187.75385843003704</v>
      </c>
      <c r="U1024">
        <v>65.919612521805121</v>
      </c>
      <c r="V1024">
        <v>0</v>
      </c>
      <c r="W1024">
        <v>0</v>
      </c>
      <c r="X1024">
        <v>0.37987040348360673</v>
      </c>
      <c r="Y1024">
        <v>0.29763216432362016</v>
      </c>
      <c r="Z1024">
        <v>0.33608764082442932</v>
      </c>
      <c r="AA1024">
        <v>0.28678493206743733</v>
      </c>
      <c r="AB1024">
        <v>0.36712382122582077</v>
      </c>
      <c r="AC1024">
        <v>0.1997531173365783</v>
      </c>
      <c r="AD1024">
        <v>0.31470944811259327</v>
      </c>
      <c r="AE1024">
        <v>0.36496801217380703</v>
      </c>
      <c r="AF1024">
        <v>0</v>
      </c>
      <c r="AG1024">
        <v>0</v>
      </c>
      <c r="AH1024">
        <v>3.1300417379904709E-2</v>
      </c>
      <c r="AI1024">
        <v>3.38219849165316E-2</v>
      </c>
      <c r="AJ1024">
        <v>3.0211225487663043E-2</v>
      </c>
      <c r="AK1024">
        <v>3.501817465841979E-2</v>
      </c>
      <c r="AL1024">
        <v>3.6427402726199182E-2</v>
      </c>
      <c r="AM1024">
        <v>3.2998741258543358E-2</v>
      </c>
      <c r="AN1024">
        <v>2.6607661496469783E-2</v>
      </c>
      <c r="AO1024">
        <v>3.4268796643431083E-2</v>
      </c>
      <c r="AP1024">
        <v>0</v>
      </c>
      <c r="AQ1024">
        <v>0</v>
      </c>
      <c r="AR1024">
        <v>6.5829345121435961E-4</v>
      </c>
      <c r="AS1024">
        <v>3.9724950756089682E-3</v>
      </c>
      <c r="AT1024">
        <v>4.3954455501627318E-3</v>
      </c>
      <c r="AU1024">
        <v>1.683844889929407E-3</v>
      </c>
      <c r="AV1024">
        <v>1.6776467426109839E-3</v>
      </c>
      <c r="AW1024">
        <v>2.916951389725927E-3</v>
      </c>
      <c r="AX1024">
        <v>2.7076812694786699E-4</v>
      </c>
      <c r="AY1024">
        <v>3.0540037066787302E-4</v>
      </c>
      <c r="AZ1024">
        <v>0</v>
      </c>
      <c r="BA1024">
        <v>0</v>
      </c>
      <c r="BB1024">
        <v>3.7345928974673058E-2</v>
      </c>
      <c r="BC1024">
        <v>1.3225440571533837E-2</v>
      </c>
      <c r="BD1024">
        <v>0</v>
      </c>
      <c r="BE1024">
        <v>58204.579393939392</v>
      </c>
      <c r="BF1024">
        <v>12.180680585698539</v>
      </c>
      <c r="BG1024">
        <v>59441.771212121232</v>
      </c>
      <c r="BH1024">
        <v>12.11730745627065</v>
      </c>
      <c r="BI1024">
        <v>-2921.2939393939396</v>
      </c>
      <c r="BJ1024">
        <v>1.6218064860352766E-3</v>
      </c>
    </row>
    <row r="1025" spans="3:62" x14ac:dyDescent="0.2">
      <c r="C1025" s="121">
        <v>58498.87929292929</v>
      </c>
      <c r="D1025">
        <v>12.266085730843331</v>
      </c>
      <c r="E1025" s="121">
        <v>59743.68474747477</v>
      </c>
      <c r="F1025" s="121">
        <v>12.202446191936192</v>
      </c>
      <c r="G1025" s="121">
        <v>-2885.8295959595962</v>
      </c>
      <c r="H1025" s="121">
        <v>4.3186007919454473E-3</v>
      </c>
      <c r="R1025">
        <v>-16.520133615660747</v>
      </c>
      <c r="S1025">
        <v>46.145964957806584</v>
      </c>
      <c r="T1025">
        <v>189.37109483648226</v>
      </c>
      <c r="U1025">
        <v>66.581129069377809</v>
      </c>
      <c r="V1025">
        <v>0</v>
      </c>
      <c r="W1025">
        <v>0</v>
      </c>
      <c r="X1025">
        <v>0.38638386216083626</v>
      </c>
      <c r="Y1025">
        <v>0.30507763883410838</v>
      </c>
      <c r="Z1025">
        <v>0.34312773838180732</v>
      </c>
      <c r="AA1025">
        <v>0.29423608923672445</v>
      </c>
      <c r="AB1025">
        <v>0.37379587735449749</v>
      </c>
      <c r="AC1025">
        <v>0.20823231597524286</v>
      </c>
      <c r="AD1025">
        <v>0.32193337185946685</v>
      </c>
      <c r="AE1025">
        <v>0.37167320811664367</v>
      </c>
      <c r="AF1025">
        <v>0</v>
      </c>
      <c r="AG1025">
        <v>0</v>
      </c>
      <c r="AH1025">
        <v>3.6275318108788736E-2</v>
      </c>
      <c r="AI1025">
        <v>3.9286020919868742E-2</v>
      </c>
      <c r="AJ1025">
        <v>3.5070757214396682E-2</v>
      </c>
      <c r="AK1025">
        <v>4.0461377092256175E-2</v>
      </c>
      <c r="AL1025">
        <v>4.1615379182674342E-2</v>
      </c>
      <c r="AM1025">
        <v>3.8200652861094919E-2</v>
      </c>
      <c r="AN1025">
        <v>3.0820339967039784E-2</v>
      </c>
      <c r="AO1025">
        <v>3.9730607950579172E-2</v>
      </c>
      <c r="AP1025">
        <v>0</v>
      </c>
      <c r="AQ1025">
        <v>0</v>
      </c>
      <c r="AR1025">
        <v>6.6511183800373609E-4</v>
      </c>
      <c r="AS1025">
        <v>3.9854275448376374E-3</v>
      </c>
      <c r="AT1025">
        <v>4.4084296997559018E-3</v>
      </c>
      <c r="AU1025">
        <v>1.6937207115162779E-3</v>
      </c>
      <c r="AV1025">
        <v>1.6861181954581225E-3</v>
      </c>
      <c r="AW1025">
        <v>2.9275197283600445E-3</v>
      </c>
      <c r="AX1025">
        <v>2.7524867239530124E-4</v>
      </c>
      <c r="AY1025">
        <v>3.0958039530415372E-4</v>
      </c>
      <c r="AZ1025">
        <v>0</v>
      </c>
      <c r="BA1025">
        <v>0</v>
      </c>
      <c r="BB1025">
        <v>3.7716781711318828E-2</v>
      </c>
      <c r="BC1025">
        <v>1.4843210507140141E-2</v>
      </c>
      <c r="BD1025">
        <v>0</v>
      </c>
      <c r="BE1025">
        <v>58498.87929292929</v>
      </c>
      <c r="BF1025">
        <v>12.266085730843331</v>
      </c>
      <c r="BG1025">
        <v>59743.68474747477</v>
      </c>
      <c r="BH1025">
        <v>12.202446191936192</v>
      </c>
      <c r="BI1025">
        <v>-2885.8295959595962</v>
      </c>
      <c r="BJ1025">
        <v>4.3186007919454473E-3</v>
      </c>
    </row>
    <row r="1026" spans="3:62" x14ac:dyDescent="0.2">
      <c r="C1026" s="121">
        <v>58793.179191919189</v>
      </c>
      <c r="D1026">
        <v>12.351490875988123</v>
      </c>
      <c r="E1026" s="121">
        <v>60045.598282828309</v>
      </c>
      <c r="F1026" s="121">
        <v>12.287584927601733</v>
      </c>
      <c r="G1026" s="121">
        <v>-2850.3652525252528</v>
      </c>
      <c r="H1026" s="121">
        <v>7.0153950978556184E-3</v>
      </c>
      <c r="R1026">
        <v>-10.109719969567891</v>
      </c>
      <c r="S1026">
        <v>46.536913810706309</v>
      </c>
      <c r="T1026">
        <v>190.98833124292747</v>
      </c>
      <c r="U1026">
        <v>67.242645616950497</v>
      </c>
      <c r="V1026">
        <v>0</v>
      </c>
      <c r="W1026">
        <v>0</v>
      </c>
      <c r="X1026">
        <v>0.39289732083806578</v>
      </c>
      <c r="Y1026">
        <v>0.31252311334459659</v>
      </c>
      <c r="Z1026">
        <v>0.35016783593918532</v>
      </c>
      <c r="AA1026">
        <v>0.30168724640601158</v>
      </c>
      <c r="AB1026">
        <v>0.3804679334831742</v>
      </c>
      <c r="AC1026">
        <v>0.21671151461390742</v>
      </c>
      <c r="AD1026">
        <v>0.32915729560634044</v>
      </c>
      <c r="AE1026">
        <v>0.37837840405948031</v>
      </c>
      <c r="AF1026">
        <v>0</v>
      </c>
      <c r="AG1026">
        <v>0</v>
      </c>
      <c r="AH1026">
        <v>4.1250218837672763E-2</v>
      </c>
      <c r="AI1026">
        <v>4.4750056923205883E-2</v>
      </c>
      <c r="AJ1026">
        <v>3.9930288941130321E-2</v>
      </c>
      <c r="AK1026">
        <v>4.5904579526092559E-2</v>
      </c>
      <c r="AL1026">
        <v>4.6803355639149502E-2</v>
      </c>
      <c r="AM1026">
        <v>4.340256446364648E-2</v>
      </c>
      <c r="AN1026">
        <v>3.5033018437609788E-2</v>
      </c>
      <c r="AO1026">
        <v>4.5192419257727261E-2</v>
      </c>
      <c r="AP1026">
        <v>0</v>
      </c>
      <c r="AQ1026">
        <v>0</v>
      </c>
      <c r="AR1026">
        <v>6.7193022479311256E-4</v>
      </c>
      <c r="AS1026">
        <v>3.9983600140663066E-3</v>
      </c>
      <c r="AT1026">
        <v>4.4214138493490719E-3</v>
      </c>
      <c r="AU1026">
        <v>1.7035965331031488E-3</v>
      </c>
      <c r="AV1026">
        <v>1.6945896483052611E-3</v>
      </c>
      <c r="AW1026">
        <v>2.9380880669941621E-3</v>
      </c>
      <c r="AX1026">
        <v>2.7972921784273549E-4</v>
      </c>
      <c r="AY1026">
        <v>3.1376041994043443E-4</v>
      </c>
      <c r="AZ1026">
        <v>0</v>
      </c>
      <c r="BA1026">
        <v>0</v>
      </c>
      <c r="BB1026">
        <v>3.8087634447964598E-2</v>
      </c>
      <c r="BC1026">
        <v>1.6460980442746444E-2</v>
      </c>
      <c r="BD1026">
        <v>0</v>
      </c>
      <c r="BE1026">
        <v>58793.179191919189</v>
      </c>
      <c r="BF1026">
        <v>12.351490875988123</v>
      </c>
      <c r="BG1026">
        <v>60045.598282828309</v>
      </c>
      <c r="BH1026">
        <v>12.287584927601733</v>
      </c>
      <c r="BI1026">
        <v>-2850.3652525252528</v>
      </c>
      <c r="BJ1026">
        <v>7.0153950978556184E-3</v>
      </c>
    </row>
    <row r="1027" spans="3:62" x14ac:dyDescent="0.2">
      <c r="C1027" s="121">
        <v>59087.479090909088</v>
      </c>
      <c r="D1027">
        <v>12.436896021132915</v>
      </c>
      <c r="E1027" s="121">
        <v>60347.511818181847</v>
      </c>
      <c r="F1027" s="121">
        <v>12.372723663267275</v>
      </c>
      <c r="G1027" s="121">
        <v>-2814.9009090909094</v>
      </c>
      <c r="H1027" s="121">
        <v>9.7121894037657894E-3</v>
      </c>
      <c r="R1027">
        <v>-3.6993063234750343</v>
      </c>
      <c r="S1027">
        <v>46.927862663606035</v>
      </c>
      <c r="T1027">
        <v>192.60556764937269</v>
      </c>
      <c r="U1027">
        <v>67.904162164523186</v>
      </c>
      <c r="V1027">
        <v>0</v>
      </c>
      <c r="W1027">
        <v>0</v>
      </c>
      <c r="X1027">
        <v>0.3994107795152953</v>
      </c>
      <c r="Y1027">
        <v>0.31996858785508481</v>
      </c>
      <c r="Z1027">
        <v>0.35720793349656332</v>
      </c>
      <c r="AA1027">
        <v>0.3091384035752987</v>
      </c>
      <c r="AB1027">
        <v>0.38713998961185092</v>
      </c>
      <c r="AC1027">
        <v>0.22519071325257198</v>
      </c>
      <c r="AD1027">
        <v>0.33638121935321402</v>
      </c>
      <c r="AE1027">
        <v>0.38508360000231695</v>
      </c>
      <c r="AF1027">
        <v>0</v>
      </c>
      <c r="AG1027">
        <v>0</v>
      </c>
      <c r="AH1027">
        <v>4.622511956655679E-2</v>
      </c>
      <c r="AI1027">
        <v>5.0214092926543025E-2</v>
      </c>
      <c r="AJ1027">
        <v>4.478982066786396E-2</v>
      </c>
      <c r="AK1027">
        <v>5.1347781959928944E-2</v>
      </c>
      <c r="AL1027">
        <v>5.1991332095624662E-2</v>
      </c>
      <c r="AM1027">
        <v>4.8604476066198041E-2</v>
      </c>
      <c r="AN1027">
        <v>3.9245696908179792E-2</v>
      </c>
      <c r="AO1027">
        <v>5.0654230564875349E-2</v>
      </c>
      <c r="AP1027">
        <v>0</v>
      </c>
      <c r="AQ1027">
        <v>0</v>
      </c>
      <c r="AR1027">
        <v>6.7874861158248904E-4</v>
      </c>
      <c r="AS1027">
        <v>4.0112924832949757E-3</v>
      </c>
      <c r="AT1027">
        <v>4.4343979989422419E-3</v>
      </c>
      <c r="AU1027">
        <v>1.7134723546900197E-3</v>
      </c>
      <c r="AV1027">
        <v>1.7030611011523997E-3</v>
      </c>
      <c r="AW1027">
        <v>2.9486564056282797E-3</v>
      </c>
      <c r="AX1027">
        <v>2.8420976329016973E-4</v>
      </c>
      <c r="AY1027">
        <v>3.1794044457671513E-4</v>
      </c>
      <c r="AZ1027">
        <v>0</v>
      </c>
      <c r="BA1027">
        <v>0</v>
      </c>
      <c r="BB1027">
        <v>3.8458487184610368E-2</v>
      </c>
      <c r="BC1027">
        <v>1.807875037835275E-2</v>
      </c>
      <c r="BD1027">
        <v>0</v>
      </c>
      <c r="BE1027">
        <v>59087.479090909088</v>
      </c>
      <c r="BF1027">
        <v>12.436896021132915</v>
      </c>
      <c r="BG1027">
        <v>60347.511818181847</v>
      </c>
      <c r="BH1027">
        <v>12.372723663267275</v>
      </c>
      <c r="BI1027">
        <v>-2814.9009090909094</v>
      </c>
      <c r="BJ1027">
        <v>9.7121894037657894E-3</v>
      </c>
    </row>
    <row r="1028" spans="3:62" x14ac:dyDescent="0.2">
      <c r="C1028" s="121">
        <v>59381.778989898987</v>
      </c>
      <c r="D1028">
        <v>12.522301166277707</v>
      </c>
      <c r="E1028" s="121">
        <v>60649.425353535386</v>
      </c>
      <c r="F1028" s="121">
        <v>12.457862398932816</v>
      </c>
      <c r="G1028" s="121">
        <v>-2779.436565656566</v>
      </c>
      <c r="H1028" s="121">
        <v>1.2408983709675961E-2</v>
      </c>
      <c r="R1028">
        <v>2.7111073226178224</v>
      </c>
      <c r="S1028">
        <v>47.318811516505761</v>
      </c>
      <c r="T1028">
        <v>194.2228040558179</v>
      </c>
      <c r="U1028">
        <v>68.565678712095874</v>
      </c>
      <c r="V1028">
        <v>0</v>
      </c>
      <c r="W1028">
        <v>0</v>
      </c>
      <c r="X1028">
        <v>0.40592423819252482</v>
      </c>
      <c r="Y1028">
        <v>0.32741406236557302</v>
      </c>
      <c r="Z1028">
        <v>0.36424803105394132</v>
      </c>
      <c r="AA1028">
        <v>0.31658956074458583</v>
      </c>
      <c r="AB1028">
        <v>0.39381204574052764</v>
      </c>
      <c r="AC1028">
        <v>0.23366991189123654</v>
      </c>
      <c r="AD1028">
        <v>0.34360514310008761</v>
      </c>
      <c r="AE1028">
        <v>0.39178879594515359</v>
      </c>
      <c r="AF1028">
        <v>0</v>
      </c>
      <c r="AG1028">
        <v>0</v>
      </c>
      <c r="AH1028">
        <v>5.1200020295440817E-2</v>
      </c>
      <c r="AI1028">
        <v>5.5678128929880166E-2</v>
      </c>
      <c r="AJ1028">
        <v>4.9649352394597598E-2</v>
      </c>
      <c r="AK1028">
        <v>5.6790984393765329E-2</v>
      </c>
      <c r="AL1028">
        <v>5.7179308552099822E-2</v>
      </c>
      <c r="AM1028">
        <v>5.3806387668749601E-2</v>
      </c>
      <c r="AN1028">
        <v>4.3458375378749796E-2</v>
      </c>
      <c r="AO1028">
        <v>5.6116041872023438E-2</v>
      </c>
      <c r="AP1028">
        <v>0</v>
      </c>
      <c r="AQ1028">
        <v>0</v>
      </c>
      <c r="AR1028">
        <v>6.8556699837186551E-4</v>
      </c>
      <c r="AS1028">
        <v>4.0242249525236449E-3</v>
      </c>
      <c r="AT1028">
        <v>4.447382148535412E-3</v>
      </c>
      <c r="AU1028">
        <v>1.7233481762768906E-3</v>
      </c>
      <c r="AV1028">
        <v>1.7115325539995383E-3</v>
      </c>
      <c r="AW1028">
        <v>2.9592247442623973E-3</v>
      </c>
      <c r="AX1028">
        <v>2.8869030873760398E-4</v>
      </c>
      <c r="AY1028">
        <v>3.2212046921299584E-4</v>
      </c>
      <c r="AZ1028">
        <v>0</v>
      </c>
      <c r="BA1028">
        <v>0</v>
      </c>
      <c r="BB1028">
        <v>3.8829339921256138E-2</v>
      </c>
      <c r="BC1028">
        <v>1.9696520313959055E-2</v>
      </c>
      <c r="BD1028">
        <v>0</v>
      </c>
      <c r="BE1028">
        <v>59381.778989898987</v>
      </c>
      <c r="BF1028">
        <v>12.522301166277707</v>
      </c>
      <c r="BG1028">
        <v>60649.425353535386</v>
      </c>
      <c r="BH1028">
        <v>12.457862398932816</v>
      </c>
      <c r="BI1028">
        <v>-2779.436565656566</v>
      </c>
      <c r="BJ1028">
        <v>1.2408983709675961E-2</v>
      </c>
    </row>
    <row r="1029" spans="3:62" x14ac:dyDescent="0.2">
      <c r="C1029" s="121">
        <v>59676.078888888886</v>
      </c>
      <c r="D1029">
        <v>12.607706311422499</v>
      </c>
      <c r="E1029" s="121">
        <v>60951.338888888924</v>
      </c>
      <c r="F1029" s="121">
        <v>12.543001134598358</v>
      </c>
      <c r="G1029" s="121">
        <v>-2743.9722222222226</v>
      </c>
      <c r="H1029" s="121">
        <v>1.5105778015586132E-2</v>
      </c>
      <c r="R1029">
        <v>9.12152096871068</v>
      </c>
      <c r="S1029">
        <v>47.709760369405487</v>
      </c>
      <c r="T1029">
        <v>195.84004046226312</v>
      </c>
      <c r="U1029">
        <v>69.227195259668562</v>
      </c>
      <c r="V1029">
        <v>0</v>
      </c>
      <c r="W1029">
        <v>0</v>
      </c>
      <c r="X1029">
        <v>0.41243769686975434</v>
      </c>
      <c r="Y1029">
        <v>0.33485953687606124</v>
      </c>
      <c r="Z1029">
        <v>0.37128812861131932</v>
      </c>
      <c r="AA1029">
        <v>0.32404071791387296</v>
      </c>
      <c r="AB1029">
        <v>0.40048410186920436</v>
      </c>
      <c r="AC1029">
        <v>0.2421491105299011</v>
      </c>
      <c r="AD1029">
        <v>0.35082906684696119</v>
      </c>
      <c r="AE1029">
        <v>0.39849399188799023</v>
      </c>
      <c r="AF1029">
        <v>0</v>
      </c>
      <c r="AG1029">
        <v>0</v>
      </c>
      <c r="AH1029">
        <v>5.6174921024324843E-2</v>
      </c>
      <c r="AI1029">
        <v>6.1142164933217308E-2</v>
      </c>
      <c r="AJ1029">
        <v>5.4508884121331237E-2</v>
      </c>
      <c r="AK1029">
        <v>6.2234186827601713E-2</v>
      </c>
      <c r="AL1029">
        <v>6.2367285008574982E-2</v>
      </c>
      <c r="AM1029">
        <v>5.9008299271301162E-2</v>
      </c>
      <c r="AN1029">
        <v>4.76710538493198E-2</v>
      </c>
      <c r="AO1029">
        <v>6.1577853179171527E-2</v>
      </c>
      <c r="AP1029">
        <v>0</v>
      </c>
      <c r="AQ1029">
        <v>0</v>
      </c>
      <c r="AR1029">
        <v>6.9238538516124199E-4</v>
      </c>
      <c r="AS1029">
        <v>4.037157421752314E-3</v>
      </c>
      <c r="AT1029">
        <v>4.460366298128582E-3</v>
      </c>
      <c r="AU1029">
        <v>1.7332239978637616E-3</v>
      </c>
      <c r="AV1029">
        <v>1.7200040068466769E-3</v>
      </c>
      <c r="AW1029">
        <v>2.9697930828965148E-3</v>
      </c>
      <c r="AX1029">
        <v>2.9317085418503823E-4</v>
      </c>
      <c r="AY1029">
        <v>3.2630049384927654E-4</v>
      </c>
      <c r="AZ1029">
        <v>0</v>
      </c>
      <c r="BA1029">
        <v>0</v>
      </c>
      <c r="BB1029">
        <v>3.9200192657901908E-2</v>
      </c>
      <c r="BC1029">
        <v>2.1314290249565361E-2</v>
      </c>
      <c r="BD1029">
        <v>0</v>
      </c>
      <c r="BE1029">
        <v>59676.078888888886</v>
      </c>
      <c r="BF1029">
        <v>12.607706311422499</v>
      </c>
      <c r="BG1029">
        <v>60951.338888888924</v>
      </c>
      <c r="BH1029">
        <v>12.543001134598358</v>
      </c>
      <c r="BI1029">
        <v>-2743.9722222222226</v>
      </c>
      <c r="BJ1029">
        <v>1.5105778015586132E-2</v>
      </c>
    </row>
    <row r="1030" spans="3:62" x14ac:dyDescent="0.2">
      <c r="C1030" s="121">
        <v>59970.378787878784</v>
      </c>
      <c r="D1030">
        <v>12.693111456567291</v>
      </c>
      <c r="E1030" s="121">
        <v>61253.252424242462</v>
      </c>
      <c r="F1030" s="121">
        <v>12.628139870263899</v>
      </c>
      <c r="G1030" s="121">
        <v>-2708.5078787878792</v>
      </c>
      <c r="H1030" s="121">
        <v>1.7802572321496301E-2</v>
      </c>
      <c r="R1030">
        <v>15.531934614803536</v>
      </c>
      <c r="S1030">
        <v>48.100709222305213</v>
      </c>
      <c r="T1030">
        <v>197.45727686870833</v>
      </c>
      <c r="U1030">
        <v>69.888711807241251</v>
      </c>
      <c r="V1030">
        <v>0</v>
      </c>
      <c r="W1030">
        <v>0</v>
      </c>
      <c r="X1030">
        <v>0.41895115554698387</v>
      </c>
      <c r="Y1030">
        <v>0.34230501138654945</v>
      </c>
      <c r="Z1030">
        <v>0.37832822616869732</v>
      </c>
      <c r="AA1030">
        <v>0.33149187508316008</v>
      </c>
      <c r="AB1030">
        <v>0.40715615799788107</v>
      </c>
      <c r="AC1030">
        <v>0.25062830916856565</v>
      </c>
      <c r="AD1030">
        <v>0.35805299059383477</v>
      </c>
      <c r="AE1030">
        <v>0.40519918783082687</v>
      </c>
      <c r="AF1030">
        <v>0</v>
      </c>
      <c r="AG1030">
        <v>0</v>
      </c>
      <c r="AH1030">
        <v>6.114982175320887E-2</v>
      </c>
      <c r="AI1030">
        <v>6.6606200936554449E-2</v>
      </c>
      <c r="AJ1030">
        <v>5.9368415848064876E-2</v>
      </c>
      <c r="AK1030">
        <v>6.7677389261438098E-2</v>
      </c>
      <c r="AL1030">
        <v>6.7555261465050143E-2</v>
      </c>
      <c r="AM1030">
        <v>6.4210210873852716E-2</v>
      </c>
      <c r="AN1030">
        <v>5.1883732319889804E-2</v>
      </c>
      <c r="AO1030">
        <v>6.7039664486319608E-2</v>
      </c>
      <c r="AP1030">
        <v>0</v>
      </c>
      <c r="AQ1030">
        <v>0</v>
      </c>
      <c r="AR1030">
        <v>6.9920377195061847E-4</v>
      </c>
      <c r="AS1030">
        <v>4.0500898909809832E-3</v>
      </c>
      <c r="AT1030">
        <v>4.4733504477217521E-3</v>
      </c>
      <c r="AU1030">
        <v>1.7430998194506325E-3</v>
      </c>
      <c r="AV1030">
        <v>1.7284754596938155E-3</v>
      </c>
      <c r="AW1030">
        <v>2.9803614215306324E-3</v>
      </c>
      <c r="AX1030">
        <v>2.9765139963247247E-4</v>
      </c>
      <c r="AY1030">
        <v>3.3048051848555724E-4</v>
      </c>
      <c r="AZ1030">
        <v>0</v>
      </c>
      <c r="BA1030">
        <v>0</v>
      </c>
      <c r="BB1030">
        <v>3.9571045394547678E-2</v>
      </c>
      <c r="BC1030">
        <v>2.2932060185171667E-2</v>
      </c>
      <c r="BD1030">
        <v>0</v>
      </c>
      <c r="BE1030">
        <v>59970.378787878784</v>
      </c>
      <c r="BF1030">
        <v>12.693111456567291</v>
      </c>
      <c r="BG1030">
        <v>61253.252424242462</v>
      </c>
      <c r="BH1030">
        <v>12.628139870263899</v>
      </c>
      <c r="BI1030">
        <v>-2708.5078787878792</v>
      </c>
      <c r="BJ1030">
        <v>1.7802572321496301E-2</v>
      </c>
    </row>
    <row r="1031" spans="3:62" x14ac:dyDescent="0.2">
      <c r="C1031" s="121">
        <v>60264.678686868683</v>
      </c>
      <c r="D1031">
        <v>12.778516601712083</v>
      </c>
      <c r="E1031" s="121">
        <v>61555.165959596001</v>
      </c>
      <c r="F1031" s="121">
        <v>12.713278605929441</v>
      </c>
      <c r="G1031" s="121">
        <v>-2673.0435353535358</v>
      </c>
      <c r="H1031" s="121">
        <v>2.0499366627406472E-2</v>
      </c>
      <c r="R1031">
        <v>21.942348260896392</v>
      </c>
      <c r="S1031">
        <v>48.491658075204938</v>
      </c>
      <c r="T1031">
        <v>199.07451327515355</v>
      </c>
      <c r="U1031">
        <v>70.550228354813939</v>
      </c>
      <c r="V1031">
        <v>0</v>
      </c>
      <c r="W1031">
        <v>0</v>
      </c>
      <c r="X1031">
        <v>0.42546461422421339</v>
      </c>
      <c r="Y1031">
        <v>0.34975048589703767</v>
      </c>
      <c r="Z1031">
        <v>0.38536832372607532</v>
      </c>
      <c r="AA1031">
        <v>0.33894303225244721</v>
      </c>
      <c r="AB1031">
        <v>0.41382821412655779</v>
      </c>
      <c r="AC1031">
        <v>0.25910750780723019</v>
      </c>
      <c r="AD1031">
        <v>0.36527691434070836</v>
      </c>
      <c r="AE1031">
        <v>0.41190438377366351</v>
      </c>
      <c r="AF1031">
        <v>0</v>
      </c>
      <c r="AG1031">
        <v>0</v>
      </c>
      <c r="AH1031">
        <v>6.612472248209289E-2</v>
      </c>
      <c r="AI1031">
        <v>7.2070236939891591E-2</v>
      </c>
      <c r="AJ1031">
        <v>6.4227947574798522E-2</v>
      </c>
      <c r="AK1031">
        <v>7.3120591695274489E-2</v>
      </c>
      <c r="AL1031">
        <v>7.2743237921525303E-2</v>
      </c>
      <c r="AM1031">
        <v>6.941212247640427E-2</v>
      </c>
      <c r="AN1031">
        <v>5.6096410790459808E-2</v>
      </c>
      <c r="AO1031">
        <v>7.250147579346769E-2</v>
      </c>
      <c r="AP1031">
        <v>0</v>
      </c>
      <c r="AQ1031">
        <v>0</v>
      </c>
      <c r="AR1031">
        <v>7.0602215873999494E-4</v>
      </c>
      <c r="AS1031">
        <v>4.0630223602096524E-3</v>
      </c>
      <c r="AT1031">
        <v>4.4863345973149222E-3</v>
      </c>
      <c r="AU1031">
        <v>1.7529756410375034E-3</v>
      </c>
      <c r="AV1031">
        <v>1.7369469125409541E-3</v>
      </c>
      <c r="AW1031">
        <v>2.99092976016475E-3</v>
      </c>
      <c r="AX1031">
        <v>3.0213194507990672E-4</v>
      </c>
      <c r="AY1031">
        <v>3.3466054312183795E-4</v>
      </c>
      <c r="AZ1031">
        <v>0</v>
      </c>
      <c r="BA1031">
        <v>0</v>
      </c>
      <c r="BB1031">
        <v>3.9941898131193448E-2</v>
      </c>
      <c r="BC1031">
        <v>2.4549830120777973E-2</v>
      </c>
      <c r="BD1031">
        <v>0</v>
      </c>
      <c r="BE1031">
        <v>60264.678686868683</v>
      </c>
      <c r="BF1031">
        <v>12.778516601712083</v>
      </c>
      <c r="BG1031">
        <v>61555.165959596001</v>
      </c>
      <c r="BH1031">
        <v>12.713278605929441</v>
      </c>
      <c r="BI1031">
        <v>-2673.0435353535358</v>
      </c>
      <c r="BJ1031">
        <v>2.0499366627406472E-2</v>
      </c>
    </row>
    <row r="1032" spans="3:62" x14ac:dyDescent="0.2">
      <c r="C1032" s="121">
        <v>60558.978585858582</v>
      </c>
      <c r="D1032">
        <v>12.863921746856875</v>
      </c>
      <c r="E1032" s="121">
        <v>61857.079494949539</v>
      </c>
      <c r="F1032" s="121">
        <v>12.798417341594982</v>
      </c>
      <c r="G1032" s="121">
        <v>-2637.5791919191925</v>
      </c>
      <c r="H1032" s="121">
        <v>2.3196160933316643E-2</v>
      </c>
      <c r="R1032">
        <v>28.352761906989247</v>
      </c>
      <c r="S1032">
        <v>48.882606928104664</v>
      </c>
      <c r="T1032">
        <v>200.69174968159876</v>
      </c>
      <c r="U1032">
        <v>71.211744902386627</v>
      </c>
      <c r="V1032">
        <v>0</v>
      </c>
      <c r="W1032">
        <v>0</v>
      </c>
      <c r="X1032">
        <v>0.43197807290144291</v>
      </c>
      <c r="Y1032">
        <v>0.35719596040752588</v>
      </c>
      <c r="Z1032">
        <v>0.39240842128345332</v>
      </c>
      <c r="AA1032">
        <v>0.34639418942173433</v>
      </c>
      <c r="AB1032">
        <v>0.42050027025523451</v>
      </c>
      <c r="AC1032">
        <v>0.26758670644589472</v>
      </c>
      <c r="AD1032">
        <v>0.37250083808758194</v>
      </c>
      <c r="AE1032">
        <v>0.41860957971650015</v>
      </c>
      <c r="AF1032">
        <v>0</v>
      </c>
      <c r="AG1032">
        <v>0</v>
      </c>
      <c r="AH1032">
        <v>7.1099623210976917E-2</v>
      </c>
      <c r="AI1032">
        <v>7.7534272943228733E-2</v>
      </c>
      <c r="AJ1032">
        <v>6.9087479301532168E-2</v>
      </c>
      <c r="AK1032">
        <v>7.8563794129110881E-2</v>
      </c>
      <c r="AL1032">
        <v>7.7931214378000463E-2</v>
      </c>
      <c r="AM1032">
        <v>7.4614034078955824E-2</v>
      </c>
      <c r="AN1032">
        <v>6.0309089261029812E-2</v>
      </c>
      <c r="AO1032">
        <v>7.7963287100615772E-2</v>
      </c>
      <c r="AP1032">
        <v>0</v>
      </c>
      <c r="AQ1032">
        <v>0</v>
      </c>
      <c r="AR1032">
        <v>7.1284054552937142E-4</v>
      </c>
      <c r="AS1032">
        <v>4.0759548294383215E-3</v>
      </c>
      <c r="AT1032">
        <v>4.4993187469080922E-3</v>
      </c>
      <c r="AU1032">
        <v>1.7628514626243743E-3</v>
      </c>
      <c r="AV1032">
        <v>1.7454183653880927E-3</v>
      </c>
      <c r="AW1032">
        <v>3.0014980987988675E-3</v>
      </c>
      <c r="AX1032">
        <v>3.0661249052734097E-4</v>
      </c>
      <c r="AY1032">
        <v>3.3884056775811865E-4</v>
      </c>
      <c r="AZ1032">
        <v>0</v>
      </c>
      <c r="BA1032">
        <v>0</v>
      </c>
      <c r="BB1032">
        <v>4.0312750867839219E-2</v>
      </c>
      <c r="BC1032">
        <v>2.6167600056384278E-2</v>
      </c>
      <c r="BD1032">
        <v>0</v>
      </c>
      <c r="BE1032">
        <v>60558.978585858582</v>
      </c>
      <c r="BF1032">
        <v>12.863921746856875</v>
      </c>
      <c r="BG1032">
        <v>61857.079494949539</v>
      </c>
      <c r="BH1032">
        <v>12.798417341594982</v>
      </c>
      <c r="BI1032">
        <v>-2637.5791919191925</v>
      </c>
      <c r="BJ1032">
        <v>2.3196160933316643E-2</v>
      </c>
    </row>
    <row r="1033" spans="3:62" x14ac:dyDescent="0.2">
      <c r="C1033" s="121">
        <v>60853.278484848481</v>
      </c>
      <c r="D1033">
        <v>12.949326892001666</v>
      </c>
      <c r="E1033" s="121">
        <v>62158.993030303078</v>
      </c>
      <c r="F1033" s="121">
        <v>12.883556077260524</v>
      </c>
      <c r="G1033" s="121">
        <v>-2602.1148484848491</v>
      </c>
      <c r="H1033" s="121">
        <v>2.5892955239226814E-2</v>
      </c>
      <c r="R1033">
        <v>34.763175553082107</v>
      </c>
      <c r="S1033">
        <v>49.27355578100439</v>
      </c>
      <c r="T1033">
        <v>202.30898608804398</v>
      </c>
      <c r="U1033">
        <v>71.873261449959315</v>
      </c>
      <c r="V1033">
        <v>0</v>
      </c>
      <c r="W1033">
        <v>0</v>
      </c>
      <c r="X1033">
        <v>0.43849153157867243</v>
      </c>
      <c r="Y1033">
        <v>0.3646414349180141</v>
      </c>
      <c r="Z1033">
        <v>0.39944851884083132</v>
      </c>
      <c r="AA1033">
        <v>0.35384534659102146</v>
      </c>
      <c r="AB1033">
        <v>0.42717232638391123</v>
      </c>
      <c r="AC1033">
        <v>0.27606590508455925</v>
      </c>
      <c r="AD1033">
        <v>0.37972476183445553</v>
      </c>
      <c r="AE1033">
        <v>0.42531477565933679</v>
      </c>
      <c r="AF1033">
        <v>0</v>
      </c>
      <c r="AG1033">
        <v>0</v>
      </c>
      <c r="AH1033">
        <v>7.6074523939860944E-2</v>
      </c>
      <c r="AI1033">
        <v>8.2998308946565874E-2</v>
      </c>
      <c r="AJ1033">
        <v>7.3947011028265813E-2</v>
      </c>
      <c r="AK1033">
        <v>8.4006996562947273E-2</v>
      </c>
      <c r="AL1033">
        <v>8.3119190834475623E-2</v>
      </c>
      <c r="AM1033">
        <v>7.9815945681507378E-2</v>
      </c>
      <c r="AN1033">
        <v>6.4521767731599816E-2</v>
      </c>
      <c r="AO1033">
        <v>8.3425098407763854E-2</v>
      </c>
      <c r="AP1033">
        <v>0</v>
      </c>
      <c r="AQ1033">
        <v>0</v>
      </c>
      <c r="AR1033">
        <v>7.1965893231874789E-4</v>
      </c>
      <c r="AS1033">
        <v>4.0888872986669907E-3</v>
      </c>
      <c r="AT1033">
        <v>4.5123028965012623E-3</v>
      </c>
      <c r="AU1033">
        <v>1.7727272842112452E-3</v>
      </c>
      <c r="AV1033">
        <v>1.7538898182352313E-3</v>
      </c>
      <c r="AW1033">
        <v>3.0120664374329851E-3</v>
      </c>
      <c r="AX1033">
        <v>3.1109303597477521E-4</v>
      </c>
      <c r="AY1033">
        <v>3.4302059239439936E-4</v>
      </c>
      <c r="AZ1033">
        <v>0</v>
      </c>
      <c r="BA1033">
        <v>0</v>
      </c>
      <c r="BB1033">
        <v>4.0683603604484989E-2</v>
      </c>
      <c r="BC1033">
        <v>2.7785369991990584E-2</v>
      </c>
      <c r="BD1033">
        <v>0</v>
      </c>
      <c r="BE1033">
        <v>60853.278484848481</v>
      </c>
      <c r="BF1033">
        <v>12.949326892001666</v>
      </c>
      <c r="BG1033">
        <v>62158.993030303078</v>
      </c>
      <c r="BH1033">
        <v>12.883556077260524</v>
      </c>
      <c r="BI1033">
        <v>-2602.1148484848491</v>
      </c>
      <c r="BJ1033">
        <v>2.5892955239226814E-2</v>
      </c>
    </row>
    <row r="1034" spans="3:62" x14ac:dyDescent="0.2">
      <c r="C1034" s="121">
        <v>61147.57838383838</v>
      </c>
      <c r="D1034">
        <v>13.034732037146458</v>
      </c>
      <c r="E1034" s="121">
        <v>62460.906565656616</v>
      </c>
      <c r="F1034" s="121">
        <v>12.968694812926065</v>
      </c>
      <c r="G1034" s="121">
        <v>-2566.6505050505057</v>
      </c>
      <c r="H1034" s="121">
        <v>2.8589749545136985E-2</v>
      </c>
      <c r="R1034">
        <v>41.173589199174963</v>
      </c>
      <c r="S1034">
        <v>49.664504633904116</v>
      </c>
      <c r="T1034">
        <v>203.9262224944892</v>
      </c>
      <c r="U1034">
        <v>72.534777997532004</v>
      </c>
      <c r="V1034">
        <v>0</v>
      </c>
      <c r="W1034">
        <v>0</v>
      </c>
      <c r="X1034">
        <v>0.44500499025590196</v>
      </c>
      <c r="Y1034">
        <v>0.37208690942850231</v>
      </c>
      <c r="Z1034">
        <v>0.40648861639820932</v>
      </c>
      <c r="AA1034">
        <v>0.36129650376030858</v>
      </c>
      <c r="AB1034">
        <v>0.43384438251258794</v>
      </c>
      <c r="AC1034">
        <v>0.28454510372322378</v>
      </c>
      <c r="AD1034">
        <v>0.38694868558132911</v>
      </c>
      <c r="AE1034">
        <v>0.43201997160217342</v>
      </c>
      <c r="AF1034">
        <v>0</v>
      </c>
      <c r="AG1034">
        <v>0</v>
      </c>
      <c r="AH1034">
        <v>8.1049424668744971E-2</v>
      </c>
      <c r="AI1034">
        <v>8.8462344949903016E-2</v>
      </c>
      <c r="AJ1034">
        <v>7.8806542754999459E-2</v>
      </c>
      <c r="AK1034">
        <v>8.9450198996783664E-2</v>
      </c>
      <c r="AL1034">
        <v>8.8307167290950783E-2</v>
      </c>
      <c r="AM1034">
        <v>8.5017857284058931E-2</v>
      </c>
      <c r="AN1034">
        <v>6.8734446202169813E-2</v>
      </c>
      <c r="AO1034">
        <v>8.8886909714911935E-2</v>
      </c>
      <c r="AP1034">
        <v>0</v>
      </c>
      <c r="AQ1034">
        <v>0</v>
      </c>
      <c r="AR1034">
        <v>7.2647731910812437E-4</v>
      </c>
      <c r="AS1034">
        <v>4.1018197678956599E-3</v>
      </c>
      <c r="AT1034">
        <v>4.5252870460944323E-3</v>
      </c>
      <c r="AU1034">
        <v>1.7826031057981162E-3</v>
      </c>
      <c r="AV1034">
        <v>1.7623612710823699E-3</v>
      </c>
      <c r="AW1034">
        <v>3.0226347760671027E-3</v>
      </c>
      <c r="AX1034">
        <v>3.1557358142220946E-4</v>
      </c>
      <c r="AY1034">
        <v>3.4720061703068006E-4</v>
      </c>
      <c r="AZ1034">
        <v>0</v>
      </c>
      <c r="BA1034">
        <v>0</v>
      </c>
      <c r="BB1034">
        <v>4.1054456341130759E-2</v>
      </c>
      <c r="BC1034">
        <v>2.940313992759689E-2</v>
      </c>
      <c r="BD1034">
        <v>0</v>
      </c>
      <c r="BE1034">
        <v>61147.57838383838</v>
      </c>
      <c r="BF1034">
        <v>13.034732037146458</v>
      </c>
      <c r="BG1034">
        <v>62460.906565656616</v>
      </c>
      <c r="BH1034">
        <v>12.968694812926065</v>
      </c>
      <c r="BI1034">
        <v>-2566.6505050505057</v>
      </c>
      <c r="BJ1034">
        <v>2.8589749545136985E-2</v>
      </c>
    </row>
    <row r="1035" spans="3:62" x14ac:dyDescent="0.2">
      <c r="C1035" s="121">
        <v>61441.878282828278</v>
      </c>
      <c r="D1035">
        <v>13.12013718229125</v>
      </c>
      <c r="E1035" s="121">
        <v>62762.820101010155</v>
      </c>
      <c r="F1035" s="121">
        <v>13.053833548591607</v>
      </c>
      <c r="G1035" s="121">
        <v>-2531.1861616161623</v>
      </c>
      <c r="H1035" s="121">
        <v>3.1286543851047156E-2</v>
      </c>
      <c r="R1035">
        <v>47.584002845267818</v>
      </c>
      <c r="S1035">
        <v>50.055453486803842</v>
      </c>
      <c r="T1035">
        <v>205.54345890093441</v>
      </c>
      <c r="U1035">
        <v>73.196294545104692</v>
      </c>
      <c r="V1035">
        <v>0</v>
      </c>
      <c r="W1035">
        <v>0</v>
      </c>
      <c r="X1035">
        <v>0.45151844893313148</v>
      </c>
      <c r="Y1035">
        <v>0.37953238393899053</v>
      </c>
      <c r="Z1035">
        <v>0.41352871395558732</v>
      </c>
      <c r="AA1035">
        <v>0.36874766092959571</v>
      </c>
      <c r="AB1035">
        <v>0.44051643864126466</v>
      </c>
      <c r="AC1035">
        <v>0.29302430236188831</v>
      </c>
      <c r="AD1035">
        <v>0.39417260932820269</v>
      </c>
      <c r="AE1035">
        <v>0.43872516754501006</v>
      </c>
      <c r="AF1035">
        <v>0</v>
      </c>
      <c r="AG1035">
        <v>0</v>
      </c>
      <c r="AH1035">
        <v>8.6024325397628998E-2</v>
      </c>
      <c r="AI1035">
        <v>9.3926380953240157E-2</v>
      </c>
      <c r="AJ1035">
        <v>8.3666074481733105E-2</v>
      </c>
      <c r="AK1035">
        <v>9.4893401430620056E-2</v>
      </c>
      <c r="AL1035">
        <v>9.3495143747425943E-2</v>
      </c>
      <c r="AM1035">
        <v>9.0219768886610485E-2</v>
      </c>
      <c r="AN1035">
        <v>7.294712467273981E-2</v>
      </c>
      <c r="AO1035">
        <v>9.4348721022060017E-2</v>
      </c>
      <c r="AP1035">
        <v>0</v>
      </c>
      <c r="AQ1035">
        <v>0</v>
      </c>
      <c r="AR1035">
        <v>7.3329570589750084E-4</v>
      </c>
      <c r="AS1035">
        <v>4.114752237124329E-3</v>
      </c>
      <c r="AT1035">
        <v>4.5382711956876024E-3</v>
      </c>
      <c r="AU1035">
        <v>1.7924789273849871E-3</v>
      </c>
      <c r="AV1035">
        <v>1.7708327239295085E-3</v>
      </c>
      <c r="AW1035">
        <v>3.0332031147012203E-3</v>
      </c>
      <c r="AX1035">
        <v>3.2005412686964371E-4</v>
      </c>
      <c r="AY1035">
        <v>3.5138064166696076E-4</v>
      </c>
      <c r="AZ1035">
        <v>0</v>
      </c>
      <c r="BA1035">
        <v>0</v>
      </c>
      <c r="BB1035">
        <v>4.1425309077776529E-2</v>
      </c>
      <c r="BC1035">
        <v>3.1020909863203196E-2</v>
      </c>
      <c r="BD1035">
        <v>0</v>
      </c>
      <c r="BE1035">
        <v>61441.878282828278</v>
      </c>
      <c r="BF1035">
        <v>13.12013718229125</v>
      </c>
      <c r="BG1035">
        <v>62762.820101010155</v>
      </c>
      <c r="BH1035">
        <v>13.053833548591607</v>
      </c>
      <c r="BI1035">
        <v>-2531.1861616161623</v>
      </c>
      <c r="BJ1035">
        <v>3.1286543851047156E-2</v>
      </c>
    </row>
    <row r="1036" spans="3:62" x14ac:dyDescent="0.2">
      <c r="C1036" s="121">
        <v>61736.178181818177</v>
      </c>
      <c r="D1036">
        <v>13.205542327436042</v>
      </c>
      <c r="E1036" s="121">
        <v>63064.733636363693</v>
      </c>
      <c r="F1036" s="121">
        <v>13.138972284257148</v>
      </c>
      <c r="G1036" s="121">
        <v>-2495.7218181818189</v>
      </c>
      <c r="H1036" s="121">
        <v>3.3983338156957324E-2</v>
      </c>
      <c r="R1036">
        <v>53.994416491360674</v>
      </c>
      <c r="S1036">
        <v>50.446402339703567</v>
      </c>
      <c r="T1036">
        <v>207.16069530737963</v>
      </c>
      <c r="U1036">
        <v>73.85781109267738</v>
      </c>
      <c r="V1036">
        <v>0</v>
      </c>
      <c r="W1036">
        <v>0</v>
      </c>
      <c r="X1036">
        <v>0.458031907610361</v>
      </c>
      <c r="Y1036">
        <v>0.38697785844947874</v>
      </c>
      <c r="Z1036">
        <v>0.42056881151296532</v>
      </c>
      <c r="AA1036">
        <v>0.37619881809888284</v>
      </c>
      <c r="AB1036">
        <v>0.44718849476994138</v>
      </c>
      <c r="AC1036">
        <v>0.30150350100055284</v>
      </c>
      <c r="AD1036">
        <v>0.40139653307507628</v>
      </c>
      <c r="AE1036">
        <v>0.4454303634878467</v>
      </c>
      <c r="AF1036">
        <v>0</v>
      </c>
      <c r="AG1036">
        <v>0</v>
      </c>
      <c r="AH1036">
        <v>9.0999226126513025E-2</v>
      </c>
      <c r="AI1036">
        <v>9.9390416956577299E-2</v>
      </c>
      <c r="AJ1036">
        <v>8.8525606208466751E-2</v>
      </c>
      <c r="AK1036">
        <v>0.10033660386445645</v>
      </c>
      <c r="AL1036">
        <v>9.8683120203901104E-2</v>
      </c>
      <c r="AM1036">
        <v>9.5421680489162039E-2</v>
      </c>
      <c r="AN1036">
        <v>7.7159803143309807E-2</v>
      </c>
      <c r="AO1036">
        <v>9.9810532329208099E-2</v>
      </c>
      <c r="AP1036">
        <v>0</v>
      </c>
      <c r="AQ1036">
        <v>0</v>
      </c>
      <c r="AR1036">
        <v>7.4011409268687732E-4</v>
      </c>
      <c r="AS1036">
        <v>4.1276847063529982E-3</v>
      </c>
      <c r="AT1036">
        <v>4.5512553452807724E-3</v>
      </c>
      <c r="AU1036">
        <v>1.802354748971858E-3</v>
      </c>
      <c r="AV1036">
        <v>1.7793041767766471E-3</v>
      </c>
      <c r="AW1036">
        <v>3.0437714533353378E-3</v>
      </c>
      <c r="AX1036">
        <v>3.2453467231707795E-4</v>
      </c>
      <c r="AY1036">
        <v>3.5556066630324147E-4</v>
      </c>
      <c r="AZ1036">
        <v>0</v>
      </c>
      <c r="BA1036">
        <v>0</v>
      </c>
      <c r="BB1036">
        <v>4.1796161814422299E-2</v>
      </c>
      <c r="BC1036">
        <v>3.2638679798809501E-2</v>
      </c>
      <c r="BD1036">
        <v>0</v>
      </c>
      <c r="BE1036">
        <v>61736.178181818177</v>
      </c>
      <c r="BF1036">
        <v>13.205542327436042</v>
      </c>
      <c r="BG1036">
        <v>63064.733636363693</v>
      </c>
      <c r="BH1036">
        <v>13.138972284257148</v>
      </c>
      <c r="BI1036">
        <v>-2495.7218181818189</v>
      </c>
      <c r="BJ1036">
        <v>3.3983338156957324E-2</v>
      </c>
    </row>
    <row r="1037" spans="3:62" x14ac:dyDescent="0.2">
      <c r="C1037" s="121">
        <v>62030.478080808076</v>
      </c>
      <c r="D1037">
        <v>13.290947472580834</v>
      </c>
      <c r="E1037" s="121">
        <v>63366.647171717232</v>
      </c>
      <c r="F1037" s="121">
        <v>13.22411101992269</v>
      </c>
      <c r="G1037" s="121">
        <v>-2460.2574747474755</v>
      </c>
      <c r="H1037" s="121">
        <v>3.6680132462867492E-2</v>
      </c>
      <c r="R1037">
        <v>60.40483013745353</v>
      </c>
      <c r="S1037">
        <v>50.837351192603293</v>
      </c>
      <c r="T1037">
        <v>208.77793171382484</v>
      </c>
      <c r="U1037">
        <v>74.519327640250069</v>
      </c>
      <c r="V1037">
        <v>0</v>
      </c>
      <c r="W1037">
        <v>0</v>
      </c>
      <c r="X1037">
        <v>0.46454536628759052</v>
      </c>
      <c r="Y1037">
        <v>0.39442333295996695</v>
      </c>
      <c r="Z1037">
        <v>0.42760890907034332</v>
      </c>
      <c r="AA1037">
        <v>0.38364997526816996</v>
      </c>
      <c r="AB1037">
        <v>0.4538605508986181</v>
      </c>
      <c r="AC1037">
        <v>0.30998269963921737</v>
      </c>
      <c r="AD1037">
        <v>0.40862045682194986</v>
      </c>
      <c r="AE1037">
        <v>0.45213555943068334</v>
      </c>
      <c r="AF1037">
        <v>0</v>
      </c>
      <c r="AG1037">
        <v>0</v>
      </c>
      <c r="AH1037">
        <v>9.5974126855397052E-2</v>
      </c>
      <c r="AI1037">
        <v>0.10485445295991444</v>
      </c>
      <c r="AJ1037">
        <v>9.3385137935200396E-2</v>
      </c>
      <c r="AK1037">
        <v>0.10577980629829284</v>
      </c>
      <c r="AL1037">
        <v>0.10387109666037626</v>
      </c>
      <c r="AM1037">
        <v>0.10062359209171359</v>
      </c>
      <c r="AN1037">
        <v>8.1372481613879805E-2</v>
      </c>
      <c r="AO1037">
        <v>0.10527234363635618</v>
      </c>
      <c r="AP1037">
        <v>0</v>
      </c>
      <c r="AQ1037">
        <v>0</v>
      </c>
      <c r="AR1037">
        <v>7.469324794762538E-4</v>
      </c>
      <c r="AS1037">
        <v>4.1406171755816673E-3</v>
      </c>
      <c r="AT1037">
        <v>4.5642394948739425E-3</v>
      </c>
      <c r="AU1037">
        <v>1.8122305705587289E-3</v>
      </c>
      <c r="AV1037">
        <v>1.7877756296237857E-3</v>
      </c>
      <c r="AW1037">
        <v>3.0543397919694554E-3</v>
      </c>
      <c r="AX1037">
        <v>3.290152177645122E-4</v>
      </c>
      <c r="AY1037">
        <v>3.5974069093952217E-4</v>
      </c>
      <c r="AZ1037">
        <v>0</v>
      </c>
      <c r="BA1037">
        <v>0</v>
      </c>
      <c r="BB1037">
        <v>4.2167014551068069E-2</v>
      </c>
      <c r="BC1037">
        <v>3.4256449734415807E-2</v>
      </c>
      <c r="BD1037">
        <v>0</v>
      </c>
      <c r="BE1037">
        <v>62030.478080808076</v>
      </c>
      <c r="BF1037">
        <v>13.290947472580834</v>
      </c>
      <c r="BG1037">
        <v>63366.647171717232</v>
      </c>
      <c r="BH1037">
        <v>13.22411101992269</v>
      </c>
      <c r="BI1037">
        <v>-2460.2574747474755</v>
      </c>
      <c r="BJ1037">
        <v>3.6680132462867492E-2</v>
      </c>
    </row>
    <row r="1038" spans="3:62" x14ac:dyDescent="0.2">
      <c r="C1038" s="121">
        <v>62324.777979797975</v>
      </c>
      <c r="D1038">
        <v>13.376352617725626</v>
      </c>
      <c r="E1038" s="121">
        <v>63668.56070707077</v>
      </c>
      <c r="F1038" s="121">
        <v>13.309249755588231</v>
      </c>
      <c r="G1038" s="121">
        <v>-2424.7931313131321</v>
      </c>
      <c r="H1038" s="121">
        <v>3.9376926768777659E-2</v>
      </c>
      <c r="R1038">
        <v>66.815243783546393</v>
      </c>
      <c r="S1038">
        <v>51.228300045503019</v>
      </c>
      <c r="T1038">
        <v>210.39516812027006</v>
      </c>
      <c r="U1038">
        <v>75.180844187822757</v>
      </c>
      <c r="V1038">
        <v>0</v>
      </c>
      <c r="W1038">
        <v>0</v>
      </c>
      <c r="X1038">
        <v>0.47105882496482004</v>
      </c>
      <c r="Y1038">
        <v>0.40186880747045517</v>
      </c>
      <c r="Z1038">
        <v>0.43464900662772132</v>
      </c>
      <c r="AA1038">
        <v>0.39110113243745709</v>
      </c>
      <c r="AB1038">
        <v>0.46053260702729482</v>
      </c>
      <c r="AC1038">
        <v>0.31846189827788191</v>
      </c>
      <c r="AD1038">
        <v>0.41584438056882345</v>
      </c>
      <c r="AE1038">
        <v>0.45884075537351998</v>
      </c>
      <c r="AF1038">
        <v>0</v>
      </c>
      <c r="AG1038">
        <v>0</v>
      </c>
      <c r="AH1038">
        <v>0.10094902758428108</v>
      </c>
      <c r="AI1038">
        <v>0.11031848896325158</v>
      </c>
      <c r="AJ1038">
        <v>9.8244669661934042E-2</v>
      </c>
      <c r="AK1038">
        <v>0.11122300873212923</v>
      </c>
      <c r="AL1038">
        <v>0.10905907311685142</v>
      </c>
      <c r="AM1038">
        <v>0.10582550369426515</v>
      </c>
      <c r="AN1038">
        <v>8.5585160084449802E-2</v>
      </c>
      <c r="AO1038">
        <v>0.11073415494350426</v>
      </c>
      <c r="AP1038">
        <v>0</v>
      </c>
      <c r="AQ1038">
        <v>0</v>
      </c>
      <c r="AR1038">
        <v>7.5375086626563027E-4</v>
      </c>
      <c r="AS1038">
        <v>4.1535496448103365E-3</v>
      </c>
      <c r="AT1038">
        <v>4.5772236444671125E-3</v>
      </c>
      <c r="AU1038">
        <v>1.8221063921455998E-3</v>
      </c>
      <c r="AV1038">
        <v>1.7962470824709244E-3</v>
      </c>
      <c r="AW1038">
        <v>3.064908130603573E-3</v>
      </c>
      <c r="AX1038">
        <v>3.3349576321194645E-4</v>
      </c>
      <c r="AY1038">
        <v>3.6392071557580288E-4</v>
      </c>
      <c r="AZ1038">
        <v>0</v>
      </c>
      <c r="BA1038">
        <v>0</v>
      </c>
      <c r="BB1038">
        <v>4.2537867287713839E-2</v>
      </c>
      <c r="BC1038">
        <v>3.5874219670022113E-2</v>
      </c>
      <c r="BD1038">
        <v>0</v>
      </c>
      <c r="BE1038">
        <v>62324.777979797975</v>
      </c>
      <c r="BF1038">
        <v>13.376352617725626</v>
      </c>
      <c r="BG1038">
        <v>63668.56070707077</v>
      </c>
      <c r="BH1038">
        <v>13.309249755588231</v>
      </c>
      <c r="BI1038">
        <v>-2424.7931313131321</v>
      </c>
      <c r="BJ1038">
        <v>3.9376926768777659E-2</v>
      </c>
    </row>
    <row r="1039" spans="3:62" x14ac:dyDescent="0.2">
      <c r="C1039" s="121">
        <v>62619.077878787873</v>
      </c>
      <c r="D1039">
        <v>13.461757762870418</v>
      </c>
      <c r="E1039" s="121">
        <v>63970.474242424309</v>
      </c>
      <c r="F1039" s="121">
        <v>13.394388491253773</v>
      </c>
      <c r="G1039" s="121">
        <v>-2389.3287878787887</v>
      </c>
      <c r="H1039" s="121">
        <v>4.2073721074687827E-2</v>
      </c>
      <c r="R1039">
        <v>73.225657429639256</v>
      </c>
      <c r="S1039">
        <v>51.619248898402745</v>
      </c>
      <c r="T1039">
        <v>212.01240452671527</v>
      </c>
      <c r="U1039">
        <v>75.842360735395445</v>
      </c>
      <c r="V1039">
        <v>0</v>
      </c>
      <c r="W1039">
        <v>0</v>
      </c>
      <c r="X1039">
        <v>0.47757228364204957</v>
      </c>
      <c r="Y1039">
        <v>0.40931428198094338</v>
      </c>
      <c r="Z1039">
        <v>0.44168910418509932</v>
      </c>
      <c r="AA1039">
        <v>0.39855228960674421</v>
      </c>
      <c r="AB1039">
        <v>0.46720466315597153</v>
      </c>
      <c r="AC1039">
        <v>0.32694109691654644</v>
      </c>
      <c r="AD1039">
        <v>0.42306830431569703</v>
      </c>
      <c r="AE1039">
        <v>0.46554595131635662</v>
      </c>
      <c r="AF1039">
        <v>0</v>
      </c>
      <c r="AG1039">
        <v>0</v>
      </c>
      <c r="AH1039">
        <v>0.10592392831316511</v>
      </c>
      <c r="AI1039">
        <v>0.11578252496658872</v>
      </c>
      <c r="AJ1039">
        <v>0.10310420138866769</v>
      </c>
      <c r="AK1039">
        <v>0.11666621116596562</v>
      </c>
      <c r="AL1039">
        <v>0.11424704957332658</v>
      </c>
      <c r="AM1039">
        <v>0.1110274152968167</v>
      </c>
      <c r="AN1039">
        <v>8.9797838555019799E-2</v>
      </c>
      <c r="AO1039">
        <v>0.11619596625065234</v>
      </c>
      <c r="AP1039">
        <v>0</v>
      </c>
      <c r="AQ1039">
        <v>0</v>
      </c>
      <c r="AR1039">
        <v>7.6056925305500675E-4</v>
      </c>
      <c r="AS1039">
        <v>4.1664821140390057E-3</v>
      </c>
      <c r="AT1039">
        <v>4.5902077940602826E-3</v>
      </c>
      <c r="AU1039">
        <v>1.8319822137324708E-3</v>
      </c>
      <c r="AV1039">
        <v>1.804718535318063E-3</v>
      </c>
      <c r="AW1039">
        <v>3.0754764692376905E-3</v>
      </c>
      <c r="AX1039">
        <v>3.3797630865938069E-4</v>
      </c>
      <c r="AY1039">
        <v>3.6810074021208358E-4</v>
      </c>
      <c r="AZ1039">
        <v>0</v>
      </c>
      <c r="BA1039">
        <v>0</v>
      </c>
      <c r="BB1039">
        <v>4.2908720024359609E-2</v>
      </c>
      <c r="BC1039">
        <v>3.7491989605628419E-2</v>
      </c>
      <c r="BD1039">
        <v>0</v>
      </c>
      <c r="BE1039">
        <v>62619.077878787873</v>
      </c>
      <c r="BF1039">
        <v>13.461757762870418</v>
      </c>
      <c r="BG1039">
        <v>63970.474242424309</v>
      </c>
      <c r="BH1039">
        <v>13.394388491253773</v>
      </c>
      <c r="BI1039">
        <v>-2389.3287878787887</v>
      </c>
      <c r="BJ1039">
        <v>4.2073721074687827E-2</v>
      </c>
    </row>
    <row r="1040" spans="3:62" x14ac:dyDescent="0.2">
      <c r="C1040" s="121">
        <v>62913.377777777772</v>
      </c>
      <c r="D1040">
        <v>13.54716290801521</v>
      </c>
      <c r="E1040" s="121">
        <v>64272.387777777847</v>
      </c>
      <c r="F1040" s="121">
        <v>13.479527226919314</v>
      </c>
      <c r="G1040" s="121">
        <v>-2353.8644444444453</v>
      </c>
      <c r="H1040" s="121">
        <v>4.4770515380597994E-2</v>
      </c>
      <c r="R1040">
        <v>79.636071075732119</v>
      </c>
      <c r="S1040">
        <v>52.010197751302471</v>
      </c>
      <c r="T1040">
        <v>213.62964093316049</v>
      </c>
      <c r="U1040">
        <v>76.503877282968133</v>
      </c>
      <c r="V1040">
        <v>0</v>
      </c>
      <c r="W1040">
        <v>0</v>
      </c>
      <c r="X1040">
        <v>0.48408574231927909</v>
      </c>
      <c r="Y1040">
        <v>0.4167597564914316</v>
      </c>
      <c r="Z1040">
        <v>0.44872920174247732</v>
      </c>
      <c r="AA1040">
        <v>0.40600344677603134</v>
      </c>
      <c r="AB1040">
        <v>0.47387671928464825</v>
      </c>
      <c r="AC1040">
        <v>0.33542029555521097</v>
      </c>
      <c r="AD1040">
        <v>0.43029222806257061</v>
      </c>
      <c r="AE1040">
        <v>0.47225114725919326</v>
      </c>
      <c r="AF1040">
        <v>0</v>
      </c>
      <c r="AG1040">
        <v>0</v>
      </c>
      <c r="AH1040">
        <v>0.11089882904204913</v>
      </c>
      <c r="AI1040">
        <v>0.12124656096992587</v>
      </c>
      <c r="AJ1040">
        <v>0.10796373311540133</v>
      </c>
      <c r="AK1040">
        <v>0.12210941359980201</v>
      </c>
      <c r="AL1040">
        <v>0.11943502602980174</v>
      </c>
      <c r="AM1040">
        <v>0.11622932689936825</v>
      </c>
      <c r="AN1040">
        <v>9.4010517025589796E-2</v>
      </c>
      <c r="AO1040">
        <v>0.12165777755780043</v>
      </c>
      <c r="AP1040">
        <v>0</v>
      </c>
      <c r="AQ1040">
        <v>0</v>
      </c>
      <c r="AR1040">
        <v>7.6738763984438322E-4</v>
      </c>
      <c r="AS1040">
        <v>4.1794145832676748E-3</v>
      </c>
      <c r="AT1040">
        <v>4.6031919436534527E-3</v>
      </c>
      <c r="AU1040">
        <v>1.8418580353193417E-3</v>
      </c>
      <c r="AV1040">
        <v>1.8131899881652016E-3</v>
      </c>
      <c r="AW1040">
        <v>3.0860448078718081E-3</v>
      </c>
      <c r="AX1040">
        <v>3.4245685410681494E-4</v>
      </c>
      <c r="AY1040">
        <v>3.7228076484836428E-4</v>
      </c>
      <c r="AZ1040">
        <v>0</v>
      </c>
      <c r="BA1040">
        <v>0</v>
      </c>
      <c r="BB1040">
        <v>4.3279572761005379E-2</v>
      </c>
      <c r="BC1040">
        <v>3.9109759541234725E-2</v>
      </c>
      <c r="BD1040">
        <v>0</v>
      </c>
      <c r="BE1040">
        <v>62913.377777777772</v>
      </c>
      <c r="BF1040">
        <v>13.54716290801521</v>
      </c>
      <c r="BG1040">
        <v>64272.387777777847</v>
      </c>
      <c r="BH1040">
        <v>13.479527226919314</v>
      </c>
      <c r="BI1040">
        <v>-2353.8644444444453</v>
      </c>
      <c r="BJ1040">
        <v>4.4770515380597994E-2</v>
      </c>
    </row>
    <row r="1041" spans="3:62" x14ac:dyDescent="0.2">
      <c r="C1041" s="121">
        <v>63207.677676767671</v>
      </c>
      <c r="D1041">
        <v>13.632568053160002</v>
      </c>
      <c r="E1041" s="121">
        <v>64574.301313131386</v>
      </c>
      <c r="F1041" s="121">
        <v>13.564665962584856</v>
      </c>
      <c r="G1041" s="121">
        <v>-2318.4001010101019</v>
      </c>
      <c r="H1041" s="121">
        <v>4.7467309686508162E-2</v>
      </c>
      <c r="R1041">
        <v>86.046484721824982</v>
      </c>
      <c r="S1041">
        <v>52.401146604202196</v>
      </c>
      <c r="T1041">
        <v>215.2468773396057</v>
      </c>
      <c r="U1041">
        <v>77.165393830540822</v>
      </c>
      <c r="V1041">
        <v>0</v>
      </c>
      <c r="W1041">
        <v>0</v>
      </c>
      <c r="X1041">
        <v>0.49059920099650861</v>
      </c>
      <c r="Y1041">
        <v>0.42420523100191981</v>
      </c>
      <c r="Z1041">
        <v>0.45576929929985532</v>
      </c>
      <c r="AA1041">
        <v>0.41345460394531847</v>
      </c>
      <c r="AB1041">
        <v>0.48054877541332497</v>
      </c>
      <c r="AC1041">
        <v>0.3438994941938755</v>
      </c>
      <c r="AD1041">
        <v>0.4375161518094442</v>
      </c>
      <c r="AE1041">
        <v>0.4789563432020299</v>
      </c>
      <c r="AF1041">
        <v>0</v>
      </c>
      <c r="AG1041">
        <v>0</v>
      </c>
      <c r="AH1041">
        <v>0.11587372977093316</v>
      </c>
      <c r="AI1041">
        <v>0.12671059697326301</v>
      </c>
      <c r="AJ1041">
        <v>0.11282326484213498</v>
      </c>
      <c r="AK1041">
        <v>0.12755261603363841</v>
      </c>
      <c r="AL1041">
        <v>0.1246230024862769</v>
      </c>
      <c r="AM1041">
        <v>0.12143123850191981</v>
      </c>
      <c r="AN1041">
        <v>9.8223195496159793E-2</v>
      </c>
      <c r="AO1041">
        <v>0.12711958886494851</v>
      </c>
      <c r="AP1041">
        <v>0</v>
      </c>
      <c r="AQ1041">
        <v>0</v>
      </c>
      <c r="AR1041">
        <v>7.742060266337597E-4</v>
      </c>
      <c r="AS1041">
        <v>4.192347052496344E-3</v>
      </c>
      <c r="AT1041">
        <v>4.6161760932466227E-3</v>
      </c>
      <c r="AU1041">
        <v>1.8517338569062126E-3</v>
      </c>
      <c r="AV1041">
        <v>1.8216614410123402E-3</v>
      </c>
      <c r="AW1041">
        <v>3.0966131465059257E-3</v>
      </c>
      <c r="AX1041">
        <v>3.4693739955424919E-4</v>
      </c>
      <c r="AY1041">
        <v>3.7646078948464499E-4</v>
      </c>
      <c r="AZ1041">
        <v>0</v>
      </c>
      <c r="BA1041">
        <v>0</v>
      </c>
      <c r="BB1041">
        <v>4.3650425497651149E-2</v>
      </c>
      <c r="BC1041">
        <v>4.072752947684103E-2</v>
      </c>
      <c r="BD1041">
        <v>0</v>
      </c>
      <c r="BE1041">
        <v>63207.677676767671</v>
      </c>
      <c r="BF1041">
        <v>13.632568053160002</v>
      </c>
      <c r="BG1041">
        <v>64574.301313131386</v>
      </c>
      <c r="BH1041">
        <v>13.564665962584856</v>
      </c>
      <c r="BI1041">
        <v>-2318.4001010101019</v>
      </c>
      <c r="BJ1041">
        <v>4.7467309686508162E-2</v>
      </c>
    </row>
    <row r="1042" spans="3:62" x14ac:dyDescent="0.2">
      <c r="C1042" s="121">
        <v>63501.97757575757</v>
      </c>
      <c r="D1042">
        <v>13.717973198304794</v>
      </c>
      <c r="E1042" s="121">
        <v>64876.214848484924</v>
      </c>
      <c r="F1042" s="121">
        <v>13.649804698250398</v>
      </c>
      <c r="G1042" s="121">
        <v>-2282.9357575757585</v>
      </c>
      <c r="H1042" s="121">
        <v>5.016410399241833E-2</v>
      </c>
      <c r="R1042">
        <v>92.456898367917844</v>
      </c>
      <c r="S1042">
        <v>52.792095457101922</v>
      </c>
      <c r="T1042">
        <v>216.86411374605092</v>
      </c>
      <c r="U1042">
        <v>77.82691037811351</v>
      </c>
      <c r="V1042">
        <v>0</v>
      </c>
      <c r="W1042">
        <v>0</v>
      </c>
      <c r="X1042">
        <v>0.49711265967373813</v>
      </c>
      <c r="Y1042">
        <v>0.43165070551240803</v>
      </c>
      <c r="Z1042">
        <v>0.46280939685723332</v>
      </c>
      <c r="AA1042">
        <v>0.42090576111460559</v>
      </c>
      <c r="AB1042">
        <v>0.48722083154200169</v>
      </c>
      <c r="AC1042">
        <v>0.35237869283254003</v>
      </c>
      <c r="AD1042">
        <v>0.44474007555631778</v>
      </c>
      <c r="AE1042">
        <v>0.48566153914486654</v>
      </c>
      <c r="AF1042">
        <v>0</v>
      </c>
      <c r="AG1042">
        <v>0</v>
      </c>
      <c r="AH1042">
        <v>0.12084863049981719</v>
      </c>
      <c r="AI1042">
        <v>0.13217463297660015</v>
      </c>
      <c r="AJ1042">
        <v>0.11768279656886863</v>
      </c>
      <c r="AK1042">
        <v>0.1329958184674748</v>
      </c>
      <c r="AL1042">
        <v>0.12981097894275206</v>
      </c>
      <c r="AM1042">
        <v>0.12663315010447138</v>
      </c>
      <c r="AN1042">
        <v>0.10243587396672979</v>
      </c>
      <c r="AO1042">
        <v>0.1325814001720966</v>
      </c>
      <c r="AP1042">
        <v>0</v>
      </c>
      <c r="AQ1042">
        <v>0</v>
      </c>
      <c r="AR1042">
        <v>7.8102441342313617E-4</v>
      </c>
      <c r="AS1042">
        <v>4.2052795217250132E-3</v>
      </c>
      <c r="AT1042">
        <v>4.6291602428397928E-3</v>
      </c>
      <c r="AU1042">
        <v>1.8616096784930835E-3</v>
      </c>
      <c r="AV1042">
        <v>1.8301328938594788E-3</v>
      </c>
      <c r="AW1042">
        <v>3.1071814851400432E-3</v>
      </c>
      <c r="AX1042">
        <v>3.5141794500168343E-4</v>
      </c>
      <c r="AY1042">
        <v>3.8064081412092569E-4</v>
      </c>
      <c r="AZ1042">
        <v>0</v>
      </c>
      <c r="BA1042">
        <v>0</v>
      </c>
      <c r="BB1042">
        <v>4.4021278234296919E-2</v>
      </c>
      <c r="BC1042">
        <v>4.2345299412447336E-2</v>
      </c>
      <c r="BD1042">
        <v>0</v>
      </c>
      <c r="BE1042">
        <v>63501.97757575757</v>
      </c>
      <c r="BF1042">
        <v>13.717973198304794</v>
      </c>
      <c r="BG1042">
        <v>64876.214848484924</v>
      </c>
      <c r="BH1042">
        <v>13.649804698250398</v>
      </c>
      <c r="BI1042">
        <v>-2282.9357575757585</v>
      </c>
      <c r="BJ1042">
        <v>5.016410399241833E-2</v>
      </c>
    </row>
    <row r="1043" spans="3:62" x14ac:dyDescent="0.2">
      <c r="C1043" s="121">
        <v>63796.277474747469</v>
      </c>
      <c r="D1043">
        <v>13.803378343449586</v>
      </c>
      <c r="E1043" s="121">
        <v>65178.128383838462</v>
      </c>
      <c r="F1043" s="121">
        <v>13.734943433915939</v>
      </c>
      <c r="G1043" s="121">
        <v>-2247.4714141414152</v>
      </c>
      <c r="H1043" s="121">
        <v>5.2860898298328497E-2</v>
      </c>
      <c r="R1043">
        <v>98.867312014010707</v>
      </c>
      <c r="S1043">
        <v>53.183044310001648</v>
      </c>
      <c r="T1043">
        <v>218.48135015249613</v>
      </c>
      <c r="U1043">
        <v>78.488426925686198</v>
      </c>
      <c r="V1043">
        <v>0</v>
      </c>
      <c r="W1043">
        <v>0</v>
      </c>
      <c r="X1043">
        <v>0.5036261183509676</v>
      </c>
      <c r="Y1043">
        <v>0.43909618002289624</v>
      </c>
      <c r="Z1043">
        <v>0.46984949441461132</v>
      </c>
      <c r="AA1043">
        <v>0.42835691828389272</v>
      </c>
      <c r="AB1043">
        <v>0.4938928876706784</v>
      </c>
      <c r="AC1043">
        <v>0.36085789147120456</v>
      </c>
      <c r="AD1043">
        <v>0.45196399930319137</v>
      </c>
      <c r="AE1043">
        <v>0.49236673508770318</v>
      </c>
      <c r="AF1043">
        <v>0</v>
      </c>
      <c r="AG1043">
        <v>0</v>
      </c>
      <c r="AH1043">
        <v>0.12582353122870121</v>
      </c>
      <c r="AI1043">
        <v>0.13763866897993729</v>
      </c>
      <c r="AJ1043">
        <v>0.12254232829560227</v>
      </c>
      <c r="AK1043">
        <v>0.13843902090131119</v>
      </c>
      <c r="AL1043">
        <v>0.13499895539922724</v>
      </c>
      <c r="AM1043">
        <v>0.13183506170702294</v>
      </c>
      <c r="AN1043">
        <v>0.10664855243729979</v>
      </c>
      <c r="AO1043">
        <v>0.1380432114792447</v>
      </c>
      <c r="AP1043">
        <v>0</v>
      </c>
      <c r="AQ1043">
        <v>0</v>
      </c>
      <c r="AR1043">
        <v>7.8784280021251265E-4</v>
      </c>
      <c r="AS1043">
        <v>4.2182119909536823E-3</v>
      </c>
      <c r="AT1043">
        <v>4.6421443924329628E-3</v>
      </c>
      <c r="AU1043">
        <v>1.8714855000799544E-3</v>
      </c>
      <c r="AV1043">
        <v>1.8386043467066174E-3</v>
      </c>
      <c r="AW1043">
        <v>3.1177498237741608E-3</v>
      </c>
      <c r="AX1043">
        <v>3.5589849044911768E-4</v>
      </c>
      <c r="AY1043">
        <v>3.8482083875720639E-4</v>
      </c>
      <c r="AZ1043">
        <v>0</v>
      </c>
      <c r="BA1043">
        <v>0</v>
      </c>
      <c r="BB1043">
        <v>4.4392130970942689E-2</v>
      </c>
      <c r="BC1043">
        <v>4.3963069348053642E-2</v>
      </c>
      <c r="BD1043">
        <v>0</v>
      </c>
      <c r="BE1043">
        <v>63796.277474747469</v>
      </c>
      <c r="BF1043">
        <v>13.803378343449586</v>
      </c>
      <c r="BG1043">
        <v>65178.128383838462</v>
      </c>
      <c r="BH1043">
        <v>13.734943433915939</v>
      </c>
      <c r="BI1043">
        <v>-2247.4714141414152</v>
      </c>
      <c r="BJ1043">
        <v>5.2860898298328497E-2</v>
      </c>
    </row>
    <row r="1044" spans="3:62" x14ac:dyDescent="0.2">
      <c r="C1044" s="121">
        <v>64090.577373737367</v>
      </c>
      <c r="D1044">
        <v>13.888783488594378</v>
      </c>
      <c r="E1044" s="121">
        <v>65480.041919192001</v>
      </c>
      <c r="F1044" s="121">
        <v>13.820082169581481</v>
      </c>
      <c r="G1044" s="121">
        <v>-2212.0070707070718</v>
      </c>
      <c r="H1044" s="121">
        <v>5.5557692604238665E-2</v>
      </c>
      <c r="R1044">
        <v>105.27772566010357</v>
      </c>
      <c r="S1044">
        <v>53.573993162901374</v>
      </c>
      <c r="T1044">
        <v>220.09858655894135</v>
      </c>
      <c r="U1044">
        <v>79.149943473258887</v>
      </c>
      <c r="V1044">
        <v>0</v>
      </c>
      <c r="W1044">
        <v>0</v>
      </c>
      <c r="X1044">
        <v>0.51013957702819712</v>
      </c>
      <c r="Y1044">
        <v>0.44654165453338446</v>
      </c>
      <c r="Z1044">
        <v>0.47688959197198932</v>
      </c>
      <c r="AA1044">
        <v>0.43580807545317984</v>
      </c>
      <c r="AB1044">
        <v>0.50056494379935512</v>
      </c>
      <c r="AC1044">
        <v>0.36933709010986909</v>
      </c>
      <c r="AD1044">
        <v>0.45918792305006495</v>
      </c>
      <c r="AE1044">
        <v>0.49907193103053982</v>
      </c>
      <c r="AF1044">
        <v>0</v>
      </c>
      <c r="AG1044">
        <v>0</v>
      </c>
      <c r="AH1044">
        <v>0.13079843195758523</v>
      </c>
      <c r="AI1044">
        <v>0.14310270498327443</v>
      </c>
      <c r="AJ1044">
        <v>0.12740186002233592</v>
      </c>
      <c r="AK1044">
        <v>0.14388222333514758</v>
      </c>
      <c r="AL1044">
        <v>0.14018693185570241</v>
      </c>
      <c r="AM1044">
        <v>0.13703697330957451</v>
      </c>
      <c r="AN1044">
        <v>0.11086123090786978</v>
      </c>
      <c r="AO1044">
        <v>0.14350502278639279</v>
      </c>
      <c r="AP1044">
        <v>0</v>
      </c>
      <c r="AQ1044">
        <v>0</v>
      </c>
      <c r="AR1044">
        <v>7.9466118700188913E-4</v>
      </c>
      <c r="AS1044">
        <v>4.2311444601823515E-3</v>
      </c>
      <c r="AT1044">
        <v>4.6551285420261329E-3</v>
      </c>
      <c r="AU1044">
        <v>1.8813613216668254E-3</v>
      </c>
      <c r="AV1044">
        <v>1.847075799553756E-3</v>
      </c>
      <c r="AW1044">
        <v>3.1283181624082784E-3</v>
      </c>
      <c r="AX1044">
        <v>3.6037903589655193E-4</v>
      </c>
      <c r="AY1044">
        <v>3.890008633934871E-4</v>
      </c>
      <c r="AZ1044">
        <v>0</v>
      </c>
      <c r="BA1044">
        <v>0</v>
      </c>
      <c r="BB1044">
        <v>4.4762983707588459E-2</v>
      </c>
      <c r="BC1044">
        <v>4.5580839283659948E-2</v>
      </c>
      <c r="BD1044">
        <v>0</v>
      </c>
      <c r="BE1044">
        <v>64090.577373737367</v>
      </c>
      <c r="BF1044">
        <v>13.888783488594378</v>
      </c>
      <c r="BG1044">
        <v>65480.041919192001</v>
      </c>
      <c r="BH1044">
        <v>13.820082169581481</v>
      </c>
      <c r="BI1044">
        <v>-2212.0070707070718</v>
      </c>
      <c r="BJ1044">
        <v>5.5557692604238665E-2</v>
      </c>
    </row>
    <row r="1045" spans="3:62" x14ac:dyDescent="0.2">
      <c r="C1045" s="121">
        <v>64384.877272727266</v>
      </c>
      <c r="D1045">
        <v>13.974188633739169</v>
      </c>
      <c r="E1045" s="121">
        <v>65781.955454545532</v>
      </c>
      <c r="F1045" s="121">
        <v>13.905220905247022</v>
      </c>
      <c r="G1045" s="121">
        <v>-2176.5427272727284</v>
      </c>
      <c r="H1045" s="121">
        <v>5.8254486910148832E-2</v>
      </c>
      <c r="R1045">
        <v>111.68813930619643</v>
      </c>
      <c r="S1045">
        <v>53.9649420158011</v>
      </c>
      <c r="T1045">
        <v>221.71582296538656</v>
      </c>
      <c r="U1045">
        <v>79.811460020831575</v>
      </c>
      <c r="V1045">
        <v>0</v>
      </c>
      <c r="W1045">
        <v>0</v>
      </c>
      <c r="X1045">
        <v>0.51665303570542664</v>
      </c>
      <c r="Y1045">
        <v>0.45398712904387267</v>
      </c>
      <c r="Z1045">
        <v>0.48392968952936732</v>
      </c>
      <c r="AA1045">
        <v>0.44325923262246697</v>
      </c>
      <c r="AB1045">
        <v>0.50723699992803184</v>
      </c>
      <c r="AC1045">
        <v>0.37781628874853362</v>
      </c>
      <c r="AD1045">
        <v>0.46641184679693853</v>
      </c>
      <c r="AE1045">
        <v>0.5057771269733764</v>
      </c>
      <c r="AF1045">
        <v>0</v>
      </c>
      <c r="AG1045">
        <v>0</v>
      </c>
      <c r="AH1045">
        <v>0.13577333268646924</v>
      </c>
      <c r="AI1045">
        <v>0.14856674098661157</v>
      </c>
      <c r="AJ1045">
        <v>0.13226139174906956</v>
      </c>
      <c r="AK1045">
        <v>0.14932542576898397</v>
      </c>
      <c r="AL1045">
        <v>0.14537490831217759</v>
      </c>
      <c r="AM1045">
        <v>0.14223888491212608</v>
      </c>
      <c r="AN1045">
        <v>0.11507390937843978</v>
      </c>
      <c r="AO1045">
        <v>0.14896683409354089</v>
      </c>
      <c r="AP1045">
        <v>0</v>
      </c>
      <c r="AQ1045">
        <v>0</v>
      </c>
      <c r="AR1045">
        <v>8.014795737912656E-4</v>
      </c>
      <c r="AS1045">
        <v>4.2440769294110206E-3</v>
      </c>
      <c r="AT1045">
        <v>4.6681126916193029E-3</v>
      </c>
      <c r="AU1045">
        <v>1.8912371432536963E-3</v>
      </c>
      <c r="AV1045">
        <v>1.8555472524008946E-3</v>
      </c>
      <c r="AW1045">
        <v>3.138886501042396E-3</v>
      </c>
      <c r="AX1045">
        <v>3.6485958134398617E-4</v>
      </c>
      <c r="AY1045">
        <v>3.931808880297678E-4</v>
      </c>
      <c r="AZ1045">
        <v>0</v>
      </c>
      <c r="BA1045">
        <v>0</v>
      </c>
      <c r="BB1045">
        <v>4.5133836444234229E-2</v>
      </c>
      <c r="BC1045">
        <v>4.7198609219266253E-2</v>
      </c>
      <c r="BD1045">
        <v>0</v>
      </c>
      <c r="BE1045">
        <v>64384.877272727266</v>
      </c>
      <c r="BF1045">
        <v>13.974188633739169</v>
      </c>
      <c r="BG1045">
        <v>65781.955454545532</v>
      </c>
      <c r="BH1045">
        <v>13.905220905247022</v>
      </c>
      <c r="BI1045">
        <v>-2176.5427272727284</v>
      </c>
      <c r="BJ1045">
        <v>5.8254486910148832E-2</v>
      </c>
    </row>
    <row r="1046" spans="3:62" x14ac:dyDescent="0.2">
      <c r="C1046" s="121">
        <v>64679.177171717165</v>
      </c>
      <c r="D1046">
        <v>14.059593778883961</v>
      </c>
      <c r="E1046" s="121">
        <v>66083.868989899071</v>
      </c>
      <c r="F1046" s="121">
        <v>13.990359640912564</v>
      </c>
      <c r="G1046" s="121">
        <v>-2141.078383838385</v>
      </c>
      <c r="H1046" s="121">
        <v>6.0951281216059E-2</v>
      </c>
      <c r="R1046">
        <v>118.0985529522893</v>
      </c>
      <c r="S1046">
        <v>54.355890868700826</v>
      </c>
      <c r="T1046">
        <v>223.33305937183178</v>
      </c>
      <c r="U1046">
        <v>80.472976568404263</v>
      </c>
      <c r="V1046">
        <v>0</v>
      </c>
      <c r="W1046">
        <v>0</v>
      </c>
      <c r="X1046">
        <v>0.52316649438265617</v>
      </c>
      <c r="Y1046">
        <v>0.46143260355436089</v>
      </c>
      <c r="Z1046">
        <v>0.49096978708674532</v>
      </c>
      <c r="AA1046">
        <v>0.4507103897917541</v>
      </c>
      <c r="AB1046">
        <v>0.51390905605670856</v>
      </c>
      <c r="AC1046">
        <v>0.38629548738719816</v>
      </c>
      <c r="AD1046">
        <v>0.47363577054381212</v>
      </c>
      <c r="AE1046">
        <v>0.51248232291621298</v>
      </c>
      <c r="AF1046">
        <v>0</v>
      </c>
      <c r="AG1046">
        <v>0</v>
      </c>
      <c r="AH1046">
        <v>0.14074823341535325</v>
      </c>
      <c r="AI1046">
        <v>0.15403077698994871</v>
      </c>
      <c r="AJ1046">
        <v>0.13712092347580321</v>
      </c>
      <c r="AK1046">
        <v>0.15476862820282036</v>
      </c>
      <c r="AL1046">
        <v>0.15056288476865276</v>
      </c>
      <c r="AM1046">
        <v>0.14744079651467765</v>
      </c>
      <c r="AN1046">
        <v>0.11928658784900978</v>
      </c>
      <c r="AO1046">
        <v>0.15442864540068899</v>
      </c>
      <c r="AP1046">
        <v>0</v>
      </c>
      <c r="AQ1046">
        <v>0</v>
      </c>
      <c r="AR1046">
        <v>8.0829796058064208E-4</v>
      </c>
      <c r="AS1046">
        <v>4.2570093986396898E-3</v>
      </c>
      <c r="AT1046">
        <v>4.681096841212473E-3</v>
      </c>
      <c r="AU1046">
        <v>1.9011129648405672E-3</v>
      </c>
      <c r="AV1046">
        <v>1.8640187052480332E-3</v>
      </c>
      <c r="AW1046">
        <v>3.1494548396765135E-3</v>
      </c>
      <c r="AX1046">
        <v>3.6934012679142042E-4</v>
      </c>
      <c r="AY1046">
        <v>3.9736091266604851E-4</v>
      </c>
      <c r="AZ1046">
        <v>0</v>
      </c>
      <c r="BA1046">
        <v>0</v>
      </c>
      <c r="BB1046">
        <v>4.5504689180879999E-2</v>
      </c>
      <c r="BC1046">
        <v>4.8816379154872559E-2</v>
      </c>
      <c r="BD1046">
        <v>0</v>
      </c>
      <c r="BE1046">
        <v>64679.177171717165</v>
      </c>
      <c r="BF1046">
        <v>14.059593778883961</v>
      </c>
      <c r="BG1046">
        <v>66083.868989899071</v>
      </c>
      <c r="BH1046">
        <v>13.990359640912564</v>
      </c>
      <c r="BI1046">
        <v>-2141.078383838385</v>
      </c>
      <c r="BJ1046">
        <v>6.0951281216059E-2</v>
      </c>
    </row>
    <row r="1047" spans="3:62" x14ac:dyDescent="0.2">
      <c r="C1047" s="121">
        <v>64973.477070707064</v>
      </c>
      <c r="D1047">
        <v>14.144998924028753</v>
      </c>
      <c r="E1047" s="121">
        <v>66385.782525252609</v>
      </c>
      <c r="F1047" s="121">
        <v>14.075498376578105</v>
      </c>
      <c r="G1047" s="121">
        <v>-2105.6140404040416</v>
      </c>
      <c r="H1047" s="121">
        <v>6.3648075521969175E-2</v>
      </c>
      <c r="R1047">
        <v>124.50896659838216</v>
      </c>
      <c r="S1047">
        <v>54.746839721600551</v>
      </c>
      <c r="T1047">
        <v>224.950295778277</v>
      </c>
      <c r="U1047">
        <v>81.134493115976952</v>
      </c>
      <c r="V1047">
        <v>0</v>
      </c>
      <c r="W1047">
        <v>0</v>
      </c>
      <c r="X1047">
        <v>0.52967995305988569</v>
      </c>
      <c r="Y1047">
        <v>0.4688780780648491</v>
      </c>
      <c r="Z1047">
        <v>0.49800988464412332</v>
      </c>
      <c r="AA1047">
        <v>0.45816154696104122</v>
      </c>
      <c r="AB1047">
        <v>0.52058111218538528</v>
      </c>
      <c r="AC1047">
        <v>0.39477468602586269</v>
      </c>
      <c r="AD1047">
        <v>0.4808596942906857</v>
      </c>
      <c r="AE1047">
        <v>0.51918751885904957</v>
      </c>
      <c r="AF1047">
        <v>0</v>
      </c>
      <c r="AG1047">
        <v>0</v>
      </c>
      <c r="AH1047">
        <v>0.14572313414423727</v>
      </c>
      <c r="AI1047">
        <v>0.15949481299328586</v>
      </c>
      <c r="AJ1047">
        <v>0.14198045520253685</v>
      </c>
      <c r="AK1047">
        <v>0.16021183063665675</v>
      </c>
      <c r="AL1047">
        <v>0.15575086122512793</v>
      </c>
      <c r="AM1047">
        <v>0.15264270811722921</v>
      </c>
      <c r="AN1047">
        <v>0.12349926631957978</v>
      </c>
      <c r="AO1047">
        <v>0.15989045670783708</v>
      </c>
      <c r="AP1047">
        <v>0</v>
      </c>
      <c r="AQ1047">
        <v>0</v>
      </c>
      <c r="AR1047">
        <v>8.1511634737001855E-4</v>
      </c>
      <c r="AS1047">
        <v>4.269941867868359E-3</v>
      </c>
      <c r="AT1047">
        <v>4.694080990805643E-3</v>
      </c>
      <c r="AU1047">
        <v>1.9109887864274381E-3</v>
      </c>
      <c r="AV1047">
        <v>1.8724901580951718E-3</v>
      </c>
      <c r="AW1047">
        <v>3.1600231783106311E-3</v>
      </c>
      <c r="AX1047">
        <v>3.7382067223885467E-4</v>
      </c>
      <c r="AY1047">
        <v>4.0154093730232921E-4</v>
      </c>
      <c r="AZ1047">
        <v>0</v>
      </c>
      <c r="BA1047">
        <v>0</v>
      </c>
      <c r="BB1047">
        <v>4.5875541917525769E-2</v>
      </c>
      <c r="BC1047">
        <v>5.0434149090478865E-2</v>
      </c>
      <c r="BD1047">
        <v>0</v>
      </c>
      <c r="BE1047">
        <v>64973.477070707064</v>
      </c>
      <c r="BF1047">
        <v>14.144998924028753</v>
      </c>
      <c r="BG1047">
        <v>66385.782525252609</v>
      </c>
      <c r="BH1047">
        <v>14.075498376578105</v>
      </c>
      <c r="BI1047">
        <v>-2105.6140404040416</v>
      </c>
      <c r="BJ1047">
        <v>6.3648075521969175E-2</v>
      </c>
    </row>
    <row r="1048" spans="3:62" x14ac:dyDescent="0.2">
      <c r="C1048" s="121">
        <v>65267.776969696963</v>
      </c>
      <c r="D1048">
        <v>14.230404069173545</v>
      </c>
      <c r="E1048" s="121">
        <v>66687.696060606148</v>
      </c>
      <c r="F1048" s="121">
        <v>14.160637112243647</v>
      </c>
      <c r="G1048" s="121">
        <v>-2070.1496969696982</v>
      </c>
      <c r="H1048" s="121">
        <v>6.6344869827879349E-2</v>
      </c>
      <c r="R1048">
        <v>130.91938024447501</v>
      </c>
      <c r="S1048">
        <v>55.137788574500277</v>
      </c>
      <c r="T1048">
        <v>226.56753218472221</v>
      </c>
      <c r="U1048">
        <v>81.79600966354964</v>
      </c>
      <c r="V1048">
        <v>0</v>
      </c>
      <c r="W1048">
        <v>0</v>
      </c>
      <c r="X1048">
        <v>0.53619341173711521</v>
      </c>
      <c r="Y1048">
        <v>0.47632355257533732</v>
      </c>
      <c r="Z1048">
        <v>0.50504998220150132</v>
      </c>
      <c r="AA1048">
        <v>0.46561270413032835</v>
      </c>
      <c r="AB1048">
        <v>0.52725316831406199</v>
      </c>
      <c r="AC1048">
        <v>0.40325388466452722</v>
      </c>
      <c r="AD1048">
        <v>0.48808361803755929</v>
      </c>
      <c r="AE1048">
        <v>0.52589271480188615</v>
      </c>
      <c r="AF1048">
        <v>0</v>
      </c>
      <c r="AG1048">
        <v>0</v>
      </c>
      <c r="AH1048">
        <v>0.15069803487312128</v>
      </c>
      <c r="AI1048">
        <v>0.164958848996623</v>
      </c>
      <c r="AJ1048">
        <v>0.1468399869292705</v>
      </c>
      <c r="AK1048">
        <v>0.16565503307049315</v>
      </c>
      <c r="AL1048">
        <v>0.16093883768160311</v>
      </c>
      <c r="AM1048">
        <v>0.15784461971978078</v>
      </c>
      <c r="AN1048">
        <v>0.12771194479014977</v>
      </c>
      <c r="AO1048">
        <v>0.16535226801498518</v>
      </c>
      <c r="AP1048">
        <v>0</v>
      </c>
      <c r="AQ1048">
        <v>0</v>
      </c>
      <c r="AR1048">
        <v>8.2193473415939503E-4</v>
      </c>
      <c r="AS1048">
        <v>4.2828743370970281E-3</v>
      </c>
      <c r="AT1048">
        <v>4.7070651403988131E-3</v>
      </c>
      <c r="AU1048">
        <v>1.920864608014309E-3</v>
      </c>
      <c r="AV1048">
        <v>1.8809616109423104E-3</v>
      </c>
      <c r="AW1048">
        <v>3.1705915169447487E-3</v>
      </c>
      <c r="AX1048">
        <v>3.7830121768628891E-4</v>
      </c>
      <c r="AY1048">
        <v>4.0572096193860991E-4</v>
      </c>
      <c r="AZ1048">
        <v>0</v>
      </c>
      <c r="BA1048">
        <v>0</v>
      </c>
      <c r="BB1048">
        <v>4.624639465417154E-2</v>
      </c>
      <c r="BC1048">
        <v>5.2051919026085171E-2</v>
      </c>
      <c r="BD1048">
        <v>0</v>
      </c>
      <c r="BE1048">
        <v>65267.776969696963</v>
      </c>
      <c r="BF1048">
        <v>14.230404069173545</v>
      </c>
      <c r="BG1048">
        <v>66687.696060606148</v>
      </c>
      <c r="BH1048">
        <v>14.160637112243647</v>
      </c>
      <c r="BI1048">
        <v>-2070.1496969696982</v>
      </c>
      <c r="BJ1048">
        <v>6.6344869827879349E-2</v>
      </c>
    </row>
    <row r="1049" spans="3:62" x14ac:dyDescent="0.2">
      <c r="C1049" s="121">
        <v>65562.076868686869</v>
      </c>
      <c r="D1049">
        <v>14.315809214318337</v>
      </c>
      <c r="E1049" s="121">
        <v>66989.609595959686</v>
      </c>
      <c r="F1049" s="121">
        <v>14.245775847909188</v>
      </c>
      <c r="G1049" s="121">
        <v>-2034.6853535353548</v>
      </c>
      <c r="H1049" s="121">
        <v>6.9041664133789524E-2</v>
      </c>
      <c r="R1049">
        <v>137.32979389056786</v>
      </c>
      <c r="S1049">
        <v>55.528737427400003</v>
      </c>
      <c r="T1049">
        <v>228.18476859116743</v>
      </c>
      <c r="U1049">
        <v>82.457526211122328</v>
      </c>
      <c r="V1049">
        <v>0</v>
      </c>
      <c r="W1049">
        <v>0</v>
      </c>
      <c r="X1049">
        <v>0.54270687041434473</v>
      </c>
      <c r="Y1049">
        <v>0.48376902708582553</v>
      </c>
      <c r="Z1049">
        <v>0.51209007975887932</v>
      </c>
      <c r="AA1049">
        <v>0.47306386129961547</v>
      </c>
      <c r="AB1049">
        <v>0.53392522444273871</v>
      </c>
      <c r="AC1049">
        <v>0.41173308330319175</v>
      </c>
      <c r="AD1049">
        <v>0.49530754178443287</v>
      </c>
      <c r="AE1049">
        <v>0.53259791074472274</v>
      </c>
      <c r="AF1049">
        <v>0</v>
      </c>
      <c r="AG1049">
        <v>0</v>
      </c>
      <c r="AH1049">
        <v>0.15567293560200529</v>
      </c>
      <c r="AI1049">
        <v>0.17042288499996014</v>
      </c>
      <c r="AJ1049">
        <v>0.15169951865600415</v>
      </c>
      <c r="AK1049">
        <v>0.17109823550432954</v>
      </c>
      <c r="AL1049">
        <v>0.16612681413807828</v>
      </c>
      <c r="AM1049">
        <v>0.16304653132233235</v>
      </c>
      <c r="AN1049">
        <v>0.13192462326071977</v>
      </c>
      <c r="AO1049">
        <v>0.17081407932213327</v>
      </c>
      <c r="AP1049">
        <v>0</v>
      </c>
      <c r="AQ1049">
        <v>0</v>
      </c>
      <c r="AR1049">
        <v>8.287531209487715E-4</v>
      </c>
      <c r="AS1049">
        <v>4.2958068063256973E-3</v>
      </c>
      <c r="AT1049">
        <v>4.7200492899919832E-3</v>
      </c>
      <c r="AU1049">
        <v>1.93074042960118E-3</v>
      </c>
      <c r="AV1049">
        <v>1.889433063789449E-3</v>
      </c>
      <c r="AW1049">
        <v>3.1811598555788662E-3</v>
      </c>
      <c r="AX1049">
        <v>3.8278176313372316E-4</v>
      </c>
      <c r="AY1049">
        <v>4.0990098657489062E-4</v>
      </c>
      <c r="AZ1049">
        <v>0</v>
      </c>
      <c r="BA1049">
        <v>0</v>
      </c>
      <c r="BB1049">
        <v>4.661724739081731E-2</v>
      </c>
      <c r="BC1049">
        <v>5.3669688961691477E-2</v>
      </c>
      <c r="BD1049">
        <v>0</v>
      </c>
      <c r="BE1049">
        <v>65562.076868686869</v>
      </c>
      <c r="BF1049">
        <v>14.315809214318337</v>
      </c>
      <c r="BG1049">
        <v>66989.609595959686</v>
      </c>
      <c r="BH1049">
        <v>14.245775847909188</v>
      </c>
      <c r="BI1049">
        <v>-2034.6853535353548</v>
      </c>
      <c r="BJ1049">
        <v>6.9041664133789524E-2</v>
      </c>
    </row>
    <row r="1050" spans="3:62" x14ac:dyDescent="0.2">
      <c r="C1050" s="121">
        <v>65856.376767676775</v>
      </c>
      <c r="D1050">
        <v>14.401214359463129</v>
      </c>
      <c r="E1050" s="121">
        <v>67291.523131313224</v>
      </c>
      <c r="F1050" s="121">
        <v>14.33091458357473</v>
      </c>
      <c r="G1050" s="121">
        <v>-1999.2210101010114</v>
      </c>
      <c r="H1050" s="121">
        <v>7.1738458439699698E-2</v>
      </c>
      <c r="R1050">
        <v>143.74020753666071</v>
      </c>
      <c r="S1050">
        <v>55.919686280299729</v>
      </c>
      <c r="T1050">
        <v>229.80200499761264</v>
      </c>
      <c r="U1050">
        <v>83.119042758695016</v>
      </c>
      <c r="V1050">
        <v>0</v>
      </c>
      <c r="W1050">
        <v>0</v>
      </c>
      <c r="X1050">
        <v>0.54922032909157426</v>
      </c>
      <c r="Y1050">
        <v>0.49121450159631375</v>
      </c>
      <c r="Z1050">
        <v>0.51913017731625732</v>
      </c>
      <c r="AA1050">
        <v>0.4805150184689026</v>
      </c>
      <c r="AB1050">
        <v>0.54059728057141543</v>
      </c>
      <c r="AC1050">
        <v>0.42021228194185628</v>
      </c>
      <c r="AD1050">
        <v>0.50253146553130645</v>
      </c>
      <c r="AE1050">
        <v>0.53930310668755932</v>
      </c>
      <c r="AF1050">
        <v>0</v>
      </c>
      <c r="AG1050">
        <v>0</v>
      </c>
      <c r="AH1050">
        <v>0.1606478363308893</v>
      </c>
      <c r="AI1050">
        <v>0.17588692100329728</v>
      </c>
      <c r="AJ1050">
        <v>0.15655905038273779</v>
      </c>
      <c r="AK1050">
        <v>0.17654143793816593</v>
      </c>
      <c r="AL1050">
        <v>0.17131479059455346</v>
      </c>
      <c r="AM1050">
        <v>0.16824844292488392</v>
      </c>
      <c r="AN1050">
        <v>0.13613730173128977</v>
      </c>
      <c r="AO1050">
        <v>0.17627589062928137</v>
      </c>
      <c r="AP1050">
        <v>0</v>
      </c>
      <c r="AQ1050">
        <v>0</v>
      </c>
      <c r="AR1050">
        <v>8.3557150773814798E-4</v>
      </c>
      <c r="AS1050">
        <v>4.3087392755543664E-3</v>
      </c>
      <c r="AT1050">
        <v>4.7330334395851532E-3</v>
      </c>
      <c r="AU1050">
        <v>1.9406162511880509E-3</v>
      </c>
      <c r="AV1050">
        <v>1.8979045166365876E-3</v>
      </c>
      <c r="AW1050">
        <v>3.1917281942129838E-3</v>
      </c>
      <c r="AX1050">
        <v>3.8726230858115741E-4</v>
      </c>
      <c r="AY1050">
        <v>4.1408101121117132E-4</v>
      </c>
      <c r="AZ1050">
        <v>0</v>
      </c>
      <c r="BA1050">
        <v>0</v>
      </c>
      <c r="BB1050">
        <v>4.698810012746308E-2</v>
      </c>
      <c r="BC1050">
        <v>5.5287458897297782E-2</v>
      </c>
      <c r="BD1050">
        <v>0</v>
      </c>
      <c r="BE1050">
        <v>65856.376767676775</v>
      </c>
      <c r="BF1050">
        <v>14.401214359463129</v>
      </c>
      <c r="BG1050">
        <v>67291.523131313224</v>
      </c>
      <c r="BH1050">
        <v>14.33091458357473</v>
      </c>
      <c r="BI1050">
        <v>-1999.2210101010114</v>
      </c>
      <c r="BJ1050">
        <v>7.1738458439699698E-2</v>
      </c>
    </row>
    <row r="1051" spans="3:62" x14ac:dyDescent="0.2">
      <c r="C1051" s="121">
        <v>66150.676666666681</v>
      </c>
      <c r="D1051">
        <v>14.486619504607921</v>
      </c>
      <c r="E1051" s="121">
        <v>67593.436666666763</v>
      </c>
      <c r="F1051" s="121">
        <v>14.416053319240271</v>
      </c>
      <c r="G1051" s="121">
        <v>-1963.756666666668</v>
      </c>
      <c r="H1051" s="121">
        <v>7.4435252745609873E-2</v>
      </c>
      <c r="R1051">
        <v>150.15062118275355</v>
      </c>
      <c r="S1051">
        <v>56.310635133199455</v>
      </c>
      <c r="T1051">
        <v>231.41924140405786</v>
      </c>
      <c r="U1051">
        <v>83.780559306267705</v>
      </c>
      <c r="V1051">
        <v>0</v>
      </c>
      <c r="W1051">
        <v>0</v>
      </c>
      <c r="X1051">
        <v>0.55573378776880378</v>
      </c>
      <c r="Y1051">
        <v>0.49865997610680196</v>
      </c>
      <c r="Z1051">
        <v>0.52617027487363532</v>
      </c>
      <c r="AA1051">
        <v>0.48796617563818973</v>
      </c>
      <c r="AB1051">
        <v>0.54726933670009215</v>
      </c>
      <c r="AC1051">
        <v>0.42869148058052081</v>
      </c>
      <c r="AD1051">
        <v>0.50975538927817998</v>
      </c>
      <c r="AE1051">
        <v>0.5460083026303959</v>
      </c>
      <c r="AF1051">
        <v>0</v>
      </c>
      <c r="AG1051">
        <v>0</v>
      </c>
      <c r="AH1051">
        <v>0.16562273705977332</v>
      </c>
      <c r="AI1051">
        <v>0.18135095700663442</v>
      </c>
      <c r="AJ1051">
        <v>0.16141858210947144</v>
      </c>
      <c r="AK1051">
        <v>0.18198464037200232</v>
      </c>
      <c r="AL1051">
        <v>0.17650276705102863</v>
      </c>
      <c r="AM1051">
        <v>0.17345035452743549</v>
      </c>
      <c r="AN1051">
        <v>0.14034998020185976</v>
      </c>
      <c r="AO1051">
        <v>0.18173770193642946</v>
      </c>
      <c r="AP1051">
        <v>0</v>
      </c>
      <c r="AQ1051">
        <v>0</v>
      </c>
      <c r="AR1051">
        <v>8.4238989452752446E-4</v>
      </c>
      <c r="AS1051">
        <v>4.3216717447830356E-3</v>
      </c>
      <c r="AT1051">
        <v>4.7460175891783233E-3</v>
      </c>
      <c r="AU1051">
        <v>1.9504920727749218E-3</v>
      </c>
      <c r="AV1051">
        <v>1.9063759694837262E-3</v>
      </c>
      <c r="AW1051">
        <v>3.2022965328471014E-3</v>
      </c>
      <c r="AX1051">
        <v>3.9174285402859165E-4</v>
      </c>
      <c r="AY1051">
        <v>4.1826103584745203E-4</v>
      </c>
      <c r="AZ1051">
        <v>0</v>
      </c>
      <c r="BA1051">
        <v>0</v>
      </c>
      <c r="BB1051">
        <v>4.735895286410885E-2</v>
      </c>
      <c r="BC1051">
        <v>5.6905228832904088E-2</v>
      </c>
      <c r="BD1051">
        <v>0</v>
      </c>
      <c r="BE1051">
        <v>66150.676666666681</v>
      </c>
      <c r="BF1051">
        <v>14.486619504607921</v>
      </c>
      <c r="BG1051">
        <v>67593.436666666763</v>
      </c>
      <c r="BH1051">
        <v>14.416053319240271</v>
      </c>
      <c r="BI1051">
        <v>-1963.756666666668</v>
      </c>
      <c r="BJ1051">
        <v>7.4435252745609873E-2</v>
      </c>
    </row>
    <row r="1052" spans="3:62" x14ac:dyDescent="0.2">
      <c r="C1052" s="121">
        <v>66444.976565656587</v>
      </c>
      <c r="D1052">
        <v>14.572024649752713</v>
      </c>
      <c r="E1052" s="121">
        <v>67895.350202020301</v>
      </c>
      <c r="F1052" s="121">
        <v>14.501192054905813</v>
      </c>
      <c r="G1052" s="121">
        <v>-1928.2923232323246</v>
      </c>
      <c r="H1052" s="121">
        <v>7.7132047051520047E-2</v>
      </c>
      <c r="R1052">
        <v>156.5610348288464</v>
      </c>
      <c r="S1052">
        <v>56.70158398609918</v>
      </c>
      <c r="T1052">
        <v>233.03647781050307</v>
      </c>
      <c r="U1052">
        <v>84.442075853840393</v>
      </c>
      <c r="V1052">
        <v>0</v>
      </c>
      <c r="W1052">
        <v>0</v>
      </c>
      <c r="X1052">
        <v>0.5622472464460333</v>
      </c>
      <c r="Y1052">
        <v>0.50610545061729018</v>
      </c>
      <c r="Z1052">
        <v>0.53321037243101332</v>
      </c>
      <c r="AA1052">
        <v>0.49541733280747685</v>
      </c>
      <c r="AB1052">
        <v>0.55394139282876886</v>
      </c>
      <c r="AC1052">
        <v>0.43717067921918534</v>
      </c>
      <c r="AD1052">
        <v>0.51697931302505351</v>
      </c>
      <c r="AE1052">
        <v>0.55271349857323249</v>
      </c>
      <c r="AF1052">
        <v>0</v>
      </c>
      <c r="AG1052">
        <v>0</v>
      </c>
      <c r="AH1052">
        <v>0.17059763778865733</v>
      </c>
      <c r="AI1052">
        <v>0.18681499300997156</v>
      </c>
      <c r="AJ1052">
        <v>0.16627811383620508</v>
      </c>
      <c r="AK1052">
        <v>0.18742784280583871</v>
      </c>
      <c r="AL1052">
        <v>0.1816907435075038</v>
      </c>
      <c r="AM1052">
        <v>0.17865226612998705</v>
      </c>
      <c r="AN1052">
        <v>0.14456265867242976</v>
      </c>
      <c r="AO1052">
        <v>0.18719951324357756</v>
      </c>
      <c r="AP1052">
        <v>0</v>
      </c>
      <c r="AQ1052">
        <v>0</v>
      </c>
      <c r="AR1052">
        <v>8.4920828131690093E-4</v>
      </c>
      <c r="AS1052">
        <v>4.3346042140117048E-3</v>
      </c>
      <c r="AT1052">
        <v>4.7590017387714933E-3</v>
      </c>
      <c r="AU1052">
        <v>1.9603678943617927E-3</v>
      </c>
      <c r="AV1052">
        <v>1.9148474223308648E-3</v>
      </c>
      <c r="AW1052">
        <v>3.212864871481219E-3</v>
      </c>
      <c r="AX1052">
        <v>3.962233994760259E-4</v>
      </c>
      <c r="AY1052">
        <v>4.2244106048373273E-4</v>
      </c>
      <c r="AZ1052">
        <v>0</v>
      </c>
      <c r="BA1052">
        <v>0</v>
      </c>
      <c r="BB1052">
        <v>4.772980560075462E-2</v>
      </c>
      <c r="BC1052">
        <v>5.8522998768510394E-2</v>
      </c>
      <c r="BD1052">
        <v>0</v>
      </c>
      <c r="BE1052">
        <v>66444.976565656587</v>
      </c>
      <c r="BF1052">
        <v>14.572024649752713</v>
      </c>
      <c r="BG1052">
        <v>67895.350202020301</v>
      </c>
      <c r="BH1052">
        <v>14.501192054905813</v>
      </c>
      <c r="BI1052">
        <v>-1928.2923232323246</v>
      </c>
      <c r="BJ1052">
        <v>7.7132047051520047E-2</v>
      </c>
    </row>
    <row r="1053" spans="3:62" x14ac:dyDescent="0.2">
      <c r="C1053" s="121">
        <v>66739.276464646493</v>
      </c>
      <c r="D1053">
        <v>14.657429794897505</v>
      </c>
      <c r="E1053" s="121">
        <v>68197.26373737384</v>
      </c>
      <c r="F1053" s="121">
        <v>14.586330790571354</v>
      </c>
      <c r="G1053" s="121">
        <v>-1892.8279797979812</v>
      </c>
      <c r="H1053" s="121">
        <v>7.9828841357430222E-2</v>
      </c>
      <c r="R1053">
        <v>162.97144847493925</v>
      </c>
      <c r="S1053">
        <v>57.092532838998906</v>
      </c>
      <c r="T1053">
        <v>234.65371421694829</v>
      </c>
      <c r="U1053">
        <v>85.103592401413081</v>
      </c>
      <c r="V1053">
        <v>0</v>
      </c>
      <c r="W1053">
        <v>0</v>
      </c>
      <c r="X1053">
        <v>0.56876070512326282</v>
      </c>
      <c r="Y1053">
        <v>0.51355092512777833</v>
      </c>
      <c r="Z1053">
        <v>0.54025046998839132</v>
      </c>
      <c r="AA1053">
        <v>0.50286848997676392</v>
      </c>
      <c r="AB1053">
        <v>0.56061344895744558</v>
      </c>
      <c r="AC1053">
        <v>0.44564987785784987</v>
      </c>
      <c r="AD1053">
        <v>0.52420323677192704</v>
      </c>
      <c r="AE1053">
        <v>0.55941869451606907</v>
      </c>
      <c r="AF1053">
        <v>0</v>
      </c>
      <c r="AG1053">
        <v>0</v>
      </c>
      <c r="AH1053">
        <v>0.17557253851754134</v>
      </c>
      <c r="AI1053">
        <v>0.19227902901330871</v>
      </c>
      <c r="AJ1053">
        <v>0.17113764556293873</v>
      </c>
      <c r="AK1053">
        <v>0.1928710452396751</v>
      </c>
      <c r="AL1053">
        <v>0.18687871996397898</v>
      </c>
      <c r="AM1053">
        <v>0.18385417773253862</v>
      </c>
      <c r="AN1053">
        <v>0.14877533714299976</v>
      </c>
      <c r="AO1053">
        <v>0.19266132455072565</v>
      </c>
      <c r="AP1053">
        <v>0</v>
      </c>
      <c r="AQ1053">
        <v>0</v>
      </c>
      <c r="AR1053">
        <v>8.5602666810627741E-4</v>
      </c>
      <c r="AS1053">
        <v>4.3475366832403739E-3</v>
      </c>
      <c r="AT1053">
        <v>4.7719858883646634E-3</v>
      </c>
      <c r="AU1053">
        <v>1.9702437159486636E-3</v>
      </c>
      <c r="AV1053">
        <v>1.9233188751780035E-3</v>
      </c>
      <c r="AW1053">
        <v>3.2234332101153365E-3</v>
      </c>
      <c r="AX1053">
        <v>4.0070394492346014E-4</v>
      </c>
      <c r="AY1053">
        <v>4.2662108512001343E-4</v>
      </c>
      <c r="AZ1053">
        <v>0</v>
      </c>
      <c r="BA1053">
        <v>0</v>
      </c>
      <c r="BB1053">
        <v>4.810065833740039E-2</v>
      </c>
      <c r="BC1053">
        <v>6.01407687041167E-2</v>
      </c>
      <c r="BD1053">
        <v>0</v>
      </c>
      <c r="BE1053">
        <v>66739.276464646493</v>
      </c>
      <c r="BF1053">
        <v>14.657429794897505</v>
      </c>
      <c r="BG1053">
        <v>68197.26373737384</v>
      </c>
      <c r="BH1053">
        <v>14.586330790571354</v>
      </c>
      <c r="BI1053">
        <v>-1892.8279797979812</v>
      </c>
      <c r="BJ1053">
        <v>7.9828841357430222E-2</v>
      </c>
    </row>
    <row r="1054" spans="3:62" x14ac:dyDescent="0.2">
      <c r="C1054" s="121">
        <v>67033.576363636399</v>
      </c>
      <c r="D1054">
        <v>14.742834940042297</v>
      </c>
      <c r="E1054" s="121">
        <v>68499.177272727378</v>
      </c>
      <c r="F1054" s="121">
        <v>14.671469526236896</v>
      </c>
      <c r="G1054" s="121">
        <v>-1857.3636363636379</v>
      </c>
      <c r="H1054" s="121">
        <v>8.2525635663340396E-2</v>
      </c>
      <c r="R1054">
        <v>169.3818621210321</v>
      </c>
      <c r="S1054">
        <v>57.483481691898632</v>
      </c>
      <c r="T1054">
        <v>236.2709506233935</v>
      </c>
      <c r="U1054">
        <v>85.76510894898577</v>
      </c>
      <c r="V1054">
        <v>0</v>
      </c>
      <c r="W1054">
        <v>0</v>
      </c>
      <c r="X1054">
        <v>0.57527416380049234</v>
      </c>
      <c r="Y1054">
        <v>0.52099639963826649</v>
      </c>
      <c r="Z1054">
        <v>0.54729056754576932</v>
      </c>
      <c r="AA1054">
        <v>0.51031964714605105</v>
      </c>
      <c r="AB1054">
        <v>0.5672855050861223</v>
      </c>
      <c r="AC1054">
        <v>0.45412907649651441</v>
      </c>
      <c r="AD1054">
        <v>0.53142716051880057</v>
      </c>
      <c r="AE1054">
        <v>0.56612389045890565</v>
      </c>
      <c r="AF1054">
        <v>0</v>
      </c>
      <c r="AG1054">
        <v>0</v>
      </c>
      <c r="AH1054">
        <v>0.18054743924642536</v>
      </c>
      <c r="AI1054">
        <v>0.19774306501664585</v>
      </c>
      <c r="AJ1054">
        <v>0.17599717728967237</v>
      </c>
      <c r="AK1054">
        <v>0.1983142476735115</v>
      </c>
      <c r="AL1054">
        <v>0.19206669642045415</v>
      </c>
      <c r="AM1054">
        <v>0.18905608933509019</v>
      </c>
      <c r="AN1054">
        <v>0.15298801561356976</v>
      </c>
      <c r="AO1054">
        <v>0.19812313585787375</v>
      </c>
      <c r="AP1054">
        <v>0</v>
      </c>
      <c r="AQ1054">
        <v>0</v>
      </c>
      <c r="AR1054">
        <v>8.6284505489565388E-4</v>
      </c>
      <c r="AS1054">
        <v>4.3604691524690431E-3</v>
      </c>
      <c r="AT1054">
        <v>4.7849700379578334E-3</v>
      </c>
      <c r="AU1054">
        <v>1.9801195375355345E-3</v>
      </c>
      <c r="AV1054">
        <v>1.9317903280251421E-3</v>
      </c>
      <c r="AW1054">
        <v>3.2340015487494541E-3</v>
      </c>
      <c r="AX1054">
        <v>4.0518449037089439E-4</v>
      </c>
      <c r="AY1054">
        <v>4.3080110975629414E-4</v>
      </c>
      <c r="AZ1054">
        <v>0</v>
      </c>
      <c r="BA1054">
        <v>0</v>
      </c>
      <c r="BB1054">
        <v>4.847151107404616E-2</v>
      </c>
      <c r="BC1054">
        <v>6.1758538639723005E-2</v>
      </c>
      <c r="BD1054">
        <v>0</v>
      </c>
      <c r="BE1054">
        <v>67033.576363636399</v>
      </c>
      <c r="BF1054">
        <v>14.742834940042297</v>
      </c>
      <c r="BG1054">
        <v>68499.177272727378</v>
      </c>
      <c r="BH1054">
        <v>14.671469526236896</v>
      </c>
      <c r="BI1054">
        <v>-1857.3636363636379</v>
      </c>
      <c r="BJ1054">
        <v>8.2525635663340396E-2</v>
      </c>
    </row>
    <row r="1055" spans="3:62" x14ac:dyDescent="0.2">
      <c r="C1055" s="121">
        <v>67327.876262626305</v>
      </c>
      <c r="D1055">
        <v>14.828240085187089</v>
      </c>
      <c r="E1055" s="121">
        <v>68801.090808080917</v>
      </c>
      <c r="F1055" s="121">
        <v>14.756608261902437</v>
      </c>
      <c r="G1055" s="121">
        <v>-1821.8992929292945</v>
      </c>
      <c r="H1055" s="121">
        <v>8.5222429969250571E-2</v>
      </c>
      <c r="R1055">
        <v>175.79227576712495</v>
      </c>
      <c r="S1055">
        <v>57.874430544798358</v>
      </c>
      <c r="T1055">
        <v>237.88818702983872</v>
      </c>
      <c r="U1055">
        <v>86.426625496558458</v>
      </c>
      <c r="V1055">
        <v>0</v>
      </c>
      <c r="W1055">
        <v>0</v>
      </c>
      <c r="X1055">
        <v>0.58178762247772187</v>
      </c>
      <c r="Y1055">
        <v>0.52844187414875465</v>
      </c>
      <c r="Z1055">
        <v>0.55433066510314732</v>
      </c>
      <c r="AA1055">
        <v>0.51777080431533817</v>
      </c>
      <c r="AB1055">
        <v>0.57395756121479902</v>
      </c>
      <c r="AC1055">
        <v>0.46260827513517894</v>
      </c>
      <c r="AD1055">
        <v>0.5386510842656741</v>
      </c>
      <c r="AE1055">
        <v>0.57282908640174224</v>
      </c>
      <c r="AF1055">
        <v>0</v>
      </c>
      <c r="AG1055">
        <v>0</v>
      </c>
      <c r="AH1055">
        <v>0.18552233997530937</v>
      </c>
      <c r="AI1055">
        <v>0.20320710101998299</v>
      </c>
      <c r="AJ1055">
        <v>0.18085670901640602</v>
      </c>
      <c r="AK1055">
        <v>0.20375745010734789</v>
      </c>
      <c r="AL1055">
        <v>0.19725467287692933</v>
      </c>
      <c r="AM1055">
        <v>0.19425800093764176</v>
      </c>
      <c r="AN1055">
        <v>0.15720069408413975</v>
      </c>
      <c r="AO1055">
        <v>0.20358494716502185</v>
      </c>
      <c r="AP1055">
        <v>0</v>
      </c>
      <c r="AQ1055">
        <v>0</v>
      </c>
      <c r="AR1055">
        <v>8.6966344168503036E-4</v>
      </c>
      <c r="AS1055">
        <v>4.3734016216977123E-3</v>
      </c>
      <c r="AT1055">
        <v>4.7979541875510035E-3</v>
      </c>
      <c r="AU1055">
        <v>1.9899953591224055E-3</v>
      </c>
      <c r="AV1055">
        <v>1.9402617808722807E-3</v>
      </c>
      <c r="AW1055">
        <v>3.2445698873835717E-3</v>
      </c>
      <c r="AX1055">
        <v>4.0966503581832864E-4</v>
      </c>
      <c r="AY1055">
        <v>4.3498113439257484E-4</v>
      </c>
      <c r="AZ1055">
        <v>0</v>
      </c>
      <c r="BA1055">
        <v>0</v>
      </c>
      <c r="BB1055">
        <v>4.884236381069193E-2</v>
      </c>
      <c r="BC1055">
        <v>6.3376308575329304E-2</v>
      </c>
      <c r="BD1055">
        <v>0</v>
      </c>
      <c r="BE1055">
        <v>67327.876262626305</v>
      </c>
      <c r="BF1055">
        <v>14.828240085187089</v>
      </c>
      <c r="BG1055">
        <v>68801.090808080917</v>
      </c>
      <c r="BH1055">
        <v>14.756608261902437</v>
      </c>
      <c r="BI1055">
        <v>-1821.8992929292945</v>
      </c>
      <c r="BJ1055">
        <v>8.5222429969250571E-2</v>
      </c>
    </row>
    <row r="1056" spans="3:62" x14ac:dyDescent="0.2">
      <c r="C1056" s="121">
        <v>67622.176161616211</v>
      </c>
      <c r="D1056">
        <v>14.91364523033188</v>
      </c>
      <c r="E1056" s="121">
        <v>69103.004343434455</v>
      </c>
      <c r="F1056" s="121">
        <v>14.841746997567979</v>
      </c>
      <c r="G1056" s="121">
        <v>-1786.4349494949511</v>
      </c>
      <c r="H1056" s="121">
        <v>8.7919224275160746E-2</v>
      </c>
      <c r="R1056">
        <v>182.2026894132178</v>
      </c>
      <c r="S1056">
        <v>58.265379397698084</v>
      </c>
      <c r="T1056">
        <v>239.50542343628393</v>
      </c>
      <c r="U1056">
        <v>87.088142044131146</v>
      </c>
      <c r="V1056">
        <v>0</v>
      </c>
      <c r="W1056">
        <v>0</v>
      </c>
      <c r="X1056">
        <v>0.58830108115495139</v>
      </c>
      <c r="Y1056">
        <v>0.53588734865924281</v>
      </c>
      <c r="Z1056">
        <v>0.56137076266052532</v>
      </c>
      <c r="AA1056">
        <v>0.5252219614846253</v>
      </c>
      <c r="AB1056">
        <v>0.58062961734347573</v>
      </c>
      <c r="AC1056">
        <v>0.47108747377384347</v>
      </c>
      <c r="AD1056">
        <v>0.54587500801254762</v>
      </c>
      <c r="AE1056">
        <v>0.57953428234457882</v>
      </c>
      <c r="AF1056">
        <v>0</v>
      </c>
      <c r="AG1056">
        <v>0</v>
      </c>
      <c r="AH1056">
        <v>0.19049724070419338</v>
      </c>
      <c r="AI1056">
        <v>0.20867113702332013</v>
      </c>
      <c r="AJ1056">
        <v>0.18571624074313967</v>
      </c>
      <c r="AK1056">
        <v>0.20920065254118428</v>
      </c>
      <c r="AL1056">
        <v>0.2024426493334045</v>
      </c>
      <c r="AM1056">
        <v>0.19945991254019332</v>
      </c>
      <c r="AN1056">
        <v>0.16141337255470975</v>
      </c>
      <c r="AO1056">
        <v>0.20904675847216994</v>
      </c>
      <c r="AP1056">
        <v>0</v>
      </c>
      <c r="AQ1056">
        <v>0</v>
      </c>
      <c r="AR1056">
        <v>8.7648182847440683E-4</v>
      </c>
      <c r="AS1056">
        <v>4.3863340909263814E-3</v>
      </c>
      <c r="AT1056">
        <v>4.8109383371441735E-3</v>
      </c>
      <c r="AU1056">
        <v>1.9998711807092764E-3</v>
      </c>
      <c r="AV1056">
        <v>1.9487332337194193E-3</v>
      </c>
      <c r="AW1056">
        <v>3.2551382260176892E-3</v>
      </c>
      <c r="AX1056">
        <v>4.1414558126576288E-4</v>
      </c>
      <c r="AY1056">
        <v>4.3916115902885555E-4</v>
      </c>
      <c r="AZ1056">
        <v>0</v>
      </c>
      <c r="BA1056">
        <v>0</v>
      </c>
      <c r="BB1056">
        <v>4.92132165473377E-2</v>
      </c>
      <c r="BC1056">
        <v>6.499407851093561E-2</v>
      </c>
      <c r="BD1056">
        <v>0</v>
      </c>
      <c r="BE1056">
        <v>67622.176161616211</v>
      </c>
      <c r="BF1056">
        <v>14.91364523033188</v>
      </c>
      <c r="BG1056">
        <v>69103.004343434455</v>
      </c>
      <c r="BH1056">
        <v>14.841746997567979</v>
      </c>
      <c r="BI1056">
        <v>-1786.4349494949511</v>
      </c>
      <c r="BJ1056">
        <v>8.7919224275160746E-2</v>
      </c>
    </row>
    <row r="1057" spans="3:62" x14ac:dyDescent="0.2">
      <c r="C1057" s="121">
        <v>67916.476060606117</v>
      </c>
      <c r="D1057">
        <v>14.999050375476672</v>
      </c>
      <c r="E1057" s="121">
        <v>69404.917878787994</v>
      </c>
      <c r="F1057" s="121">
        <v>14.926885733233521</v>
      </c>
      <c r="G1057" s="121">
        <v>-1750.9706060606077</v>
      </c>
      <c r="H1057" s="121">
        <v>9.061601858107092E-2</v>
      </c>
      <c r="R1057">
        <v>188.61310305931065</v>
      </c>
      <c r="S1057">
        <v>58.656328250597809</v>
      </c>
      <c r="T1057">
        <v>241.12265984272915</v>
      </c>
      <c r="U1057">
        <v>87.749658591703835</v>
      </c>
      <c r="V1057">
        <v>0</v>
      </c>
      <c r="W1057">
        <v>0</v>
      </c>
      <c r="X1057">
        <v>0.59481453983218091</v>
      </c>
      <c r="Y1057">
        <v>0.54333282316973097</v>
      </c>
      <c r="Z1057">
        <v>0.56841086021790332</v>
      </c>
      <c r="AA1057">
        <v>0.53267311865391243</v>
      </c>
      <c r="AB1057">
        <v>0.58730167347215245</v>
      </c>
      <c r="AC1057">
        <v>0.479566672412508</v>
      </c>
      <c r="AD1057">
        <v>0.55309893175942115</v>
      </c>
      <c r="AE1057">
        <v>0.58623947828741541</v>
      </c>
      <c r="AF1057">
        <v>0</v>
      </c>
      <c r="AG1057">
        <v>0</v>
      </c>
      <c r="AH1057">
        <v>0.1954721414330774</v>
      </c>
      <c r="AI1057">
        <v>0.21413517302665727</v>
      </c>
      <c r="AJ1057">
        <v>0.19057577246987331</v>
      </c>
      <c r="AK1057">
        <v>0.21464385497502067</v>
      </c>
      <c r="AL1057">
        <v>0.20763062578987967</v>
      </c>
      <c r="AM1057">
        <v>0.20466182414274489</v>
      </c>
      <c r="AN1057">
        <v>0.16562605102527975</v>
      </c>
      <c r="AO1057">
        <v>0.21450856977931804</v>
      </c>
      <c r="AP1057">
        <v>0</v>
      </c>
      <c r="AQ1057">
        <v>0</v>
      </c>
      <c r="AR1057">
        <v>8.8330021526378331E-4</v>
      </c>
      <c r="AS1057">
        <v>4.3992665601550506E-3</v>
      </c>
      <c r="AT1057">
        <v>4.8239224867373436E-3</v>
      </c>
      <c r="AU1057">
        <v>2.0097470022961473E-3</v>
      </c>
      <c r="AV1057">
        <v>1.9572046865665577E-3</v>
      </c>
      <c r="AW1057">
        <v>3.2657065646518068E-3</v>
      </c>
      <c r="AX1057">
        <v>4.1862612671319713E-4</v>
      </c>
      <c r="AY1057">
        <v>4.4334118366513625E-4</v>
      </c>
      <c r="AZ1057">
        <v>0</v>
      </c>
      <c r="BA1057">
        <v>0</v>
      </c>
      <c r="BB1057">
        <v>4.958406928398347E-2</v>
      </c>
      <c r="BC1057">
        <v>6.6611848446541916E-2</v>
      </c>
      <c r="BD1057">
        <v>0</v>
      </c>
      <c r="BE1057">
        <v>67916.476060606117</v>
      </c>
      <c r="BF1057">
        <v>14.999050375476672</v>
      </c>
      <c r="BG1057">
        <v>69404.917878787994</v>
      </c>
      <c r="BH1057">
        <v>14.926885733233521</v>
      </c>
      <c r="BI1057">
        <v>-1750.9706060606077</v>
      </c>
      <c r="BJ1057">
        <v>9.061601858107092E-2</v>
      </c>
    </row>
    <row r="1058" spans="3:62" x14ac:dyDescent="0.2">
      <c r="C1058" s="121">
        <v>68210.775959596023</v>
      </c>
      <c r="D1058">
        <v>15.084455520621464</v>
      </c>
      <c r="E1058" s="121">
        <v>69706.831414141532</v>
      </c>
      <c r="F1058" s="121">
        <v>15.012024468899062</v>
      </c>
      <c r="G1058" s="121">
        <v>-1715.5062626262643</v>
      </c>
      <c r="H1058" s="121">
        <v>9.3312812886981095E-2</v>
      </c>
      <c r="R1058">
        <v>195.02351670540349</v>
      </c>
      <c r="S1058">
        <v>59.047277103497535</v>
      </c>
      <c r="T1058">
        <v>242.73989624917436</v>
      </c>
      <c r="U1058">
        <v>88.411175139276523</v>
      </c>
      <c r="V1058">
        <v>0</v>
      </c>
      <c r="W1058">
        <v>0</v>
      </c>
      <c r="X1058">
        <v>0.60132799850941043</v>
      </c>
      <c r="Y1058">
        <v>0.55077829768021913</v>
      </c>
      <c r="Z1058">
        <v>0.57545095777528132</v>
      </c>
      <c r="AA1058">
        <v>0.54012427582319955</v>
      </c>
      <c r="AB1058">
        <v>0.59397372960082917</v>
      </c>
      <c r="AC1058">
        <v>0.48804587105117253</v>
      </c>
      <c r="AD1058">
        <v>0.56032285550629468</v>
      </c>
      <c r="AE1058">
        <v>0.59294467423025199</v>
      </c>
      <c r="AF1058">
        <v>0</v>
      </c>
      <c r="AG1058">
        <v>0</v>
      </c>
      <c r="AH1058">
        <v>0.20044704216196141</v>
      </c>
      <c r="AI1058">
        <v>0.21959920902999441</v>
      </c>
      <c r="AJ1058">
        <v>0.19543530419660696</v>
      </c>
      <c r="AK1058">
        <v>0.22008705740885706</v>
      </c>
      <c r="AL1058">
        <v>0.21281860224635485</v>
      </c>
      <c r="AM1058">
        <v>0.20986373574529646</v>
      </c>
      <c r="AN1058">
        <v>0.16983872949584974</v>
      </c>
      <c r="AO1058">
        <v>0.21997038108646613</v>
      </c>
      <c r="AP1058">
        <v>0</v>
      </c>
      <c r="AQ1058">
        <v>0</v>
      </c>
      <c r="AR1058">
        <v>8.9011860205315979E-4</v>
      </c>
      <c r="AS1058">
        <v>4.4121990293837197E-3</v>
      </c>
      <c r="AT1058">
        <v>4.8369066363305136E-3</v>
      </c>
      <c r="AU1058">
        <v>2.0196228238830182E-3</v>
      </c>
      <c r="AV1058">
        <v>1.9656761394136963E-3</v>
      </c>
      <c r="AW1058">
        <v>3.2762749032859244E-3</v>
      </c>
      <c r="AX1058">
        <v>4.2310667216063138E-4</v>
      </c>
      <c r="AY1058">
        <v>4.4752120830141695E-4</v>
      </c>
      <c r="AZ1058">
        <v>0</v>
      </c>
      <c r="BA1058">
        <v>0</v>
      </c>
      <c r="BB1058">
        <v>4.995492202062924E-2</v>
      </c>
      <c r="BC1058">
        <v>6.8229618382148222E-2</v>
      </c>
      <c r="BD1058">
        <v>0</v>
      </c>
      <c r="BE1058">
        <v>68210.775959596023</v>
      </c>
      <c r="BF1058">
        <v>15.084455520621464</v>
      </c>
      <c r="BG1058">
        <v>69706.831414141532</v>
      </c>
      <c r="BH1058">
        <v>15.012024468899062</v>
      </c>
      <c r="BI1058">
        <v>-1715.5062626262643</v>
      </c>
      <c r="BJ1058">
        <v>9.3312812886981095E-2</v>
      </c>
    </row>
    <row r="1059" spans="3:62" x14ac:dyDescent="0.2">
      <c r="C1059" s="121">
        <v>68505.075858585929</v>
      </c>
      <c r="D1059">
        <v>15.169860665766256</v>
      </c>
      <c r="E1059" s="121">
        <v>70008.744949495071</v>
      </c>
      <c r="F1059" s="121">
        <v>15.097163204564604</v>
      </c>
      <c r="G1059" s="121">
        <v>-1680.0419191919209</v>
      </c>
      <c r="H1059" s="121">
        <v>9.6009607192891269E-2</v>
      </c>
      <c r="R1059">
        <v>201.43393035149634</v>
      </c>
      <c r="S1059">
        <v>59.438225956397261</v>
      </c>
      <c r="T1059">
        <v>244.35713265561958</v>
      </c>
      <c r="U1059">
        <v>89.072691686849211</v>
      </c>
      <c r="V1059">
        <v>0</v>
      </c>
      <c r="W1059">
        <v>0</v>
      </c>
      <c r="X1059">
        <v>0.60784145718663996</v>
      </c>
      <c r="Y1059">
        <v>0.55822377219070729</v>
      </c>
      <c r="Z1059">
        <v>0.58249105533265932</v>
      </c>
      <c r="AA1059">
        <v>0.54757543299248668</v>
      </c>
      <c r="AB1059">
        <v>0.60064578572950589</v>
      </c>
      <c r="AC1059">
        <v>0.49652506968983706</v>
      </c>
      <c r="AD1059">
        <v>0.56754677925316821</v>
      </c>
      <c r="AE1059">
        <v>0.59964987017308857</v>
      </c>
      <c r="AF1059">
        <v>0</v>
      </c>
      <c r="AG1059">
        <v>0</v>
      </c>
      <c r="AH1059">
        <v>0.20542194289084542</v>
      </c>
      <c r="AI1059">
        <v>0.22506324503333155</v>
      </c>
      <c r="AJ1059">
        <v>0.2002948359233406</v>
      </c>
      <c r="AK1059">
        <v>0.22553025984269345</v>
      </c>
      <c r="AL1059">
        <v>0.21800657870283002</v>
      </c>
      <c r="AM1059">
        <v>0.21506564734784803</v>
      </c>
      <c r="AN1059">
        <v>0.17405140796641974</v>
      </c>
      <c r="AO1059">
        <v>0.22543219239361423</v>
      </c>
      <c r="AP1059">
        <v>0</v>
      </c>
      <c r="AQ1059">
        <v>0</v>
      </c>
      <c r="AR1059">
        <v>8.9693698884253626E-4</v>
      </c>
      <c r="AS1059">
        <v>4.4251314986123889E-3</v>
      </c>
      <c r="AT1059">
        <v>4.8498907859236837E-3</v>
      </c>
      <c r="AU1059">
        <v>2.0294986454698891E-3</v>
      </c>
      <c r="AV1059">
        <v>1.9741475922608349E-3</v>
      </c>
      <c r="AW1059">
        <v>3.286843241920042E-3</v>
      </c>
      <c r="AX1059">
        <v>4.2758721760806562E-4</v>
      </c>
      <c r="AY1059">
        <v>4.5170123293769766E-4</v>
      </c>
      <c r="AZ1059">
        <v>0</v>
      </c>
      <c r="BA1059">
        <v>0</v>
      </c>
      <c r="BB1059">
        <v>5.032577475727501E-2</v>
      </c>
      <c r="BC1059">
        <v>6.9847388317754527E-2</v>
      </c>
      <c r="BD1059">
        <v>0</v>
      </c>
      <c r="BE1059">
        <v>68505.075858585929</v>
      </c>
      <c r="BF1059">
        <v>15.169860665766256</v>
      </c>
      <c r="BG1059">
        <v>70008.744949495071</v>
      </c>
      <c r="BH1059">
        <v>15.097163204564604</v>
      </c>
      <c r="BI1059">
        <v>-1680.0419191919209</v>
      </c>
      <c r="BJ1059">
        <v>9.6009607192891269E-2</v>
      </c>
    </row>
    <row r="1060" spans="3:62" x14ac:dyDescent="0.2">
      <c r="C1060" s="121">
        <v>68799.375757575835</v>
      </c>
      <c r="D1060">
        <v>15.255265810911048</v>
      </c>
      <c r="E1060" s="121">
        <v>70310.658484848609</v>
      </c>
      <c r="F1060" s="121">
        <v>15.182301940230145</v>
      </c>
      <c r="G1060" s="121">
        <v>-1644.5775757575775</v>
      </c>
      <c r="H1060" s="121">
        <v>9.8706401498801444E-2</v>
      </c>
      <c r="R1060">
        <v>207.84434399758919</v>
      </c>
      <c r="S1060">
        <v>59.829174809296987</v>
      </c>
      <c r="T1060">
        <v>245.9743690620648</v>
      </c>
      <c r="U1060">
        <v>89.734208234421899</v>
      </c>
      <c r="V1060">
        <v>0</v>
      </c>
      <c r="W1060">
        <v>0</v>
      </c>
      <c r="X1060">
        <v>0.61435491586386948</v>
      </c>
      <c r="Y1060">
        <v>0.56566924670119545</v>
      </c>
      <c r="Z1060">
        <v>0.58953115289003732</v>
      </c>
      <c r="AA1060">
        <v>0.5550265901617738</v>
      </c>
      <c r="AB1060">
        <v>0.60731784185818261</v>
      </c>
      <c r="AC1060">
        <v>0.50500426832850165</v>
      </c>
      <c r="AD1060">
        <v>0.57477070300004174</v>
      </c>
      <c r="AE1060">
        <v>0.60635506611592516</v>
      </c>
      <c r="AF1060">
        <v>0</v>
      </c>
      <c r="AG1060">
        <v>0</v>
      </c>
      <c r="AH1060">
        <v>0.21039684361972943</v>
      </c>
      <c r="AI1060">
        <v>0.2305272810366687</v>
      </c>
      <c r="AJ1060">
        <v>0.20515436765007425</v>
      </c>
      <c r="AK1060">
        <v>0.23097346227652985</v>
      </c>
      <c r="AL1060">
        <v>0.2231945551593052</v>
      </c>
      <c r="AM1060">
        <v>0.22026755895039959</v>
      </c>
      <c r="AN1060">
        <v>0.17826408643698974</v>
      </c>
      <c r="AO1060">
        <v>0.23089400370076232</v>
      </c>
      <c r="AP1060">
        <v>0</v>
      </c>
      <c r="AQ1060">
        <v>0</v>
      </c>
      <c r="AR1060">
        <v>9.0375537563191274E-4</v>
      </c>
      <c r="AS1060">
        <v>4.4380639678410581E-3</v>
      </c>
      <c r="AT1060">
        <v>4.8628749355168538E-3</v>
      </c>
      <c r="AU1060">
        <v>2.0393744670567601E-3</v>
      </c>
      <c r="AV1060">
        <v>1.9826190451079735E-3</v>
      </c>
      <c r="AW1060">
        <v>3.2974115805541595E-3</v>
      </c>
      <c r="AX1060">
        <v>4.3206776305549987E-4</v>
      </c>
      <c r="AY1060">
        <v>4.5588125757397836E-4</v>
      </c>
      <c r="AZ1060">
        <v>0</v>
      </c>
      <c r="BA1060">
        <v>0</v>
      </c>
      <c r="BB1060">
        <v>5.069662749392078E-2</v>
      </c>
      <c r="BC1060">
        <v>7.1465158253360833E-2</v>
      </c>
      <c r="BD1060">
        <v>0</v>
      </c>
      <c r="BE1060">
        <v>68799.375757575835</v>
      </c>
      <c r="BF1060">
        <v>15.255265810911048</v>
      </c>
      <c r="BG1060">
        <v>70310.658484848609</v>
      </c>
      <c r="BH1060">
        <v>15.182301940230145</v>
      </c>
      <c r="BI1060">
        <v>-1644.5775757575775</v>
      </c>
      <c r="BJ1060">
        <v>9.8706401498801444E-2</v>
      </c>
    </row>
    <row r="1061" spans="3:62" x14ac:dyDescent="0.2">
      <c r="C1061" s="121">
        <v>69093.675656565742</v>
      </c>
      <c r="D1061">
        <v>15.34067095605584</v>
      </c>
      <c r="E1061" s="121">
        <v>70612.572020202148</v>
      </c>
      <c r="F1061" s="121">
        <v>15.267440675895687</v>
      </c>
      <c r="G1061" s="121">
        <v>-1609.1132323232341</v>
      </c>
      <c r="H1061" s="121">
        <v>0.10140319580471162</v>
      </c>
      <c r="R1061">
        <v>214.25475764368204</v>
      </c>
      <c r="S1061">
        <v>60.220123662196713</v>
      </c>
      <c r="T1061">
        <v>247.59160546851001</v>
      </c>
      <c r="U1061">
        <v>90.395724781994588</v>
      </c>
      <c r="V1061">
        <v>0</v>
      </c>
      <c r="W1061">
        <v>0</v>
      </c>
      <c r="X1061">
        <v>0.620868374541099</v>
      </c>
      <c r="Y1061">
        <v>0.57311472121168361</v>
      </c>
      <c r="Z1061">
        <v>0.59657125044741532</v>
      </c>
      <c r="AA1061">
        <v>0.56247774733106093</v>
      </c>
      <c r="AB1061">
        <v>0.61398989798685932</v>
      </c>
      <c r="AC1061">
        <v>0.51348346696716618</v>
      </c>
      <c r="AD1061">
        <v>0.58199462674691527</v>
      </c>
      <c r="AE1061">
        <v>0.61306026205876174</v>
      </c>
      <c r="AF1061">
        <v>0</v>
      </c>
      <c r="AG1061">
        <v>0</v>
      </c>
      <c r="AH1061">
        <v>0.21537174434861345</v>
      </c>
      <c r="AI1061">
        <v>0.23599131704000584</v>
      </c>
      <c r="AJ1061">
        <v>0.21001389937680789</v>
      </c>
      <c r="AK1061">
        <v>0.23641666471036624</v>
      </c>
      <c r="AL1061">
        <v>0.22838253161578037</v>
      </c>
      <c r="AM1061">
        <v>0.22546947055295116</v>
      </c>
      <c r="AN1061">
        <v>0.18247676490755974</v>
      </c>
      <c r="AO1061">
        <v>0.23635581500791042</v>
      </c>
      <c r="AP1061">
        <v>0</v>
      </c>
      <c r="AQ1061">
        <v>0</v>
      </c>
      <c r="AR1061">
        <v>9.1057376242128921E-4</v>
      </c>
      <c r="AS1061">
        <v>4.4509964370697272E-3</v>
      </c>
      <c r="AT1061">
        <v>4.8758590851100238E-3</v>
      </c>
      <c r="AU1061">
        <v>2.049250288643631E-3</v>
      </c>
      <c r="AV1061">
        <v>1.9910904979551121E-3</v>
      </c>
      <c r="AW1061">
        <v>3.3079799191882771E-3</v>
      </c>
      <c r="AX1061">
        <v>4.3654830850293412E-4</v>
      </c>
      <c r="AY1061">
        <v>4.6006128221025907E-4</v>
      </c>
      <c r="AZ1061">
        <v>0</v>
      </c>
      <c r="BA1061">
        <v>0</v>
      </c>
      <c r="BB1061">
        <v>5.106748023056655E-2</v>
      </c>
      <c r="BC1061">
        <v>7.3082928188967139E-2</v>
      </c>
      <c r="BD1061">
        <v>0</v>
      </c>
      <c r="BE1061">
        <v>69093.675656565742</v>
      </c>
      <c r="BF1061">
        <v>15.34067095605584</v>
      </c>
      <c r="BG1061">
        <v>70612.572020202148</v>
      </c>
      <c r="BH1061">
        <v>15.267440675895687</v>
      </c>
      <c r="BI1061">
        <v>-1609.1132323232341</v>
      </c>
      <c r="BJ1061">
        <v>0.10140319580471162</v>
      </c>
    </row>
    <row r="1062" spans="3:62" x14ac:dyDescent="0.2">
      <c r="C1062" s="121">
        <v>69387.975555555648</v>
      </c>
      <c r="D1062">
        <v>15.426076101200632</v>
      </c>
      <c r="E1062" s="121">
        <v>70914.485555555686</v>
      </c>
      <c r="F1062" s="121">
        <v>15.352579411561228</v>
      </c>
      <c r="G1062" s="121">
        <v>-1573.6488888888907</v>
      </c>
      <c r="H1062" s="121">
        <v>0.10409999011062179</v>
      </c>
      <c r="R1062">
        <v>220.66517128977489</v>
      </c>
      <c r="S1062">
        <v>60.611072515096438</v>
      </c>
      <c r="T1062">
        <v>249.20884187495523</v>
      </c>
      <c r="U1062">
        <v>91.057241329567276</v>
      </c>
      <c r="V1062">
        <v>0</v>
      </c>
      <c r="W1062">
        <v>0</v>
      </c>
      <c r="X1062">
        <v>0.62738183321832852</v>
      </c>
      <c r="Y1062">
        <v>0.58056019572217177</v>
      </c>
      <c r="Z1062">
        <v>0.60361134800479332</v>
      </c>
      <c r="AA1062">
        <v>0.56992890450034805</v>
      </c>
      <c r="AB1062">
        <v>0.62066195411553604</v>
      </c>
      <c r="AC1062">
        <v>0.52196266560583071</v>
      </c>
      <c r="AD1062">
        <v>0.5892185504937888</v>
      </c>
      <c r="AE1062">
        <v>0.61976545800159832</v>
      </c>
      <c r="AF1062">
        <v>0</v>
      </c>
      <c r="AG1062">
        <v>0</v>
      </c>
      <c r="AH1062">
        <v>0.22034664507749746</v>
      </c>
      <c r="AI1062">
        <v>0.24145535304334298</v>
      </c>
      <c r="AJ1062">
        <v>0.21487343110354154</v>
      </c>
      <c r="AK1062">
        <v>0.24185986714420263</v>
      </c>
      <c r="AL1062">
        <v>0.23357050807225554</v>
      </c>
      <c r="AM1062">
        <v>0.23067138215550273</v>
      </c>
      <c r="AN1062">
        <v>0.18668944337812973</v>
      </c>
      <c r="AO1062">
        <v>0.24181762631505851</v>
      </c>
      <c r="AP1062">
        <v>0</v>
      </c>
      <c r="AQ1062">
        <v>0</v>
      </c>
      <c r="AR1062">
        <v>9.1739214921066569E-4</v>
      </c>
      <c r="AS1062">
        <v>4.4639289062983964E-3</v>
      </c>
      <c r="AT1062">
        <v>4.8888432347031939E-3</v>
      </c>
      <c r="AU1062">
        <v>2.0591261102305019E-3</v>
      </c>
      <c r="AV1062">
        <v>1.9995619508022507E-3</v>
      </c>
      <c r="AW1062">
        <v>3.3185482578223947E-3</v>
      </c>
      <c r="AX1062">
        <v>4.4102885395036836E-4</v>
      </c>
      <c r="AY1062">
        <v>4.6424130684653977E-4</v>
      </c>
      <c r="AZ1062">
        <v>0</v>
      </c>
      <c r="BA1062">
        <v>0</v>
      </c>
      <c r="BB1062">
        <v>5.143833296721232E-2</v>
      </c>
      <c r="BC1062">
        <v>7.4700698124573445E-2</v>
      </c>
      <c r="BD1062">
        <v>0</v>
      </c>
      <c r="BE1062">
        <v>69387.975555555648</v>
      </c>
      <c r="BF1062">
        <v>15.426076101200632</v>
      </c>
      <c r="BG1062">
        <v>70914.485555555686</v>
      </c>
      <c r="BH1062">
        <v>15.352579411561228</v>
      </c>
      <c r="BI1062">
        <v>-1573.6488888888907</v>
      </c>
      <c r="BJ1062">
        <v>0.10409999011062179</v>
      </c>
    </row>
    <row r="1063" spans="3:62" x14ac:dyDescent="0.2">
      <c r="C1063" s="121">
        <v>69682.275454545554</v>
      </c>
      <c r="D1063">
        <v>15.511481246345424</v>
      </c>
      <c r="E1063" s="121">
        <v>71216.399090909224</v>
      </c>
      <c r="F1063" s="121">
        <v>15.43771814722677</v>
      </c>
      <c r="G1063" s="121">
        <v>-1538.1845454545473</v>
      </c>
      <c r="H1063" s="121">
        <v>0.10679678441653197</v>
      </c>
      <c r="R1063">
        <v>227.07558493586774</v>
      </c>
      <c r="S1063">
        <v>61.002021367996164</v>
      </c>
      <c r="T1063">
        <v>250.82607828140044</v>
      </c>
      <c r="U1063">
        <v>91.718757877139964</v>
      </c>
      <c r="V1063">
        <v>0</v>
      </c>
      <c r="W1063">
        <v>0</v>
      </c>
      <c r="X1063">
        <v>0.63389529189555804</v>
      </c>
      <c r="Y1063">
        <v>0.58800567023265993</v>
      </c>
      <c r="Z1063">
        <v>0.61065144556217132</v>
      </c>
      <c r="AA1063">
        <v>0.57738006166963518</v>
      </c>
      <c r="AB1063">
        <v>0.62733401024421276</v>
      </c>
      <c r="AC1063">
        <v>0.53044186424449524</v>
      </c>
      <c r="AD1063">
        <v>0.59644247424066232</v>
      </c>
      <c r="AE1063">
        <v>0.62647065394443491</v>
      </c>
      <c r="AF1063">
        <v>0</v>
      </c>
      <c r="AG1063">
        <v>0</v>
      </c>
      <c r="AH1063">
        <v>0.22532154580638147</v>
      </c>
      <c r="AI1063">
        <v>0.24691938904668012</v>
      </c>
      <c r="AJ1063">
        <v>0.21973296283027519</v>
      </c>
      <c r="AK1063">
        <v>0.24730306957803902</v>
      </c>
      <c r="AL1063">
        <v>0.23875848452873072</v>
      </c>
      <c r="AM1063">
        <v>0.2358732937580543</v>
      </c>
      <c r="AN1063">
        <v>0.19090212184869973</v>
      </c>
      <c r="AO1063">
        <v>0.24727943762220661</v>
      </c>
      <c r="AP1063">
        <v>0</v>
      </c>
      <c r="AQ1063">
        <v>0</v>
      </c>
      <c r="AR1063">
        <v>9.2421053600004216E-4</v>
      </c>
      <c r="AS1063">
        <v>4.4768613755270656E-3</v>
      </c>
      <c r="AT1063">
        <v>4.9018273842963639E-3</v>
      </c>
      <c r="AU1063">
        <v>2.0690019318173728E-3</v>
      </c>
      <c r="AV1063">
        <v>2.0080334036493893E-3</v>
      </c>
      <c r="AW1063">
        <v>3.3291165964565122E-3</v>
      </c>
      <c r="AX1063">
        <v>4.4550939939780261E-4</v>
      </c>
      <c r="AY1063">
        <v>4.6842133148282047E-4</v>
      </c>
      <c r="AZ1063">
        <v>0</v>
      </c>
      <c r="BA1063">
        <v>0</v>
      </c>
      <c r="BB1063">
        <v>5.1809185703858091E-2</v>
      </c>
      <c r="BC1063">
        <v>7.631846806017975E-2</v>
      </c>
      <c r="BD1063">
        <v>0</v>
      </c>
      <c r="BE1063">
        <v>69682.275454545554</v>
      </c>
      <c r="BF1063">
        <v>15.511481246345424</v>
      </c>
      <c r="BG1063">
        <v>71216.399090909224</v>
      </c>
      <c r="BH1063">
        <v>15.43771814722677</v>
      </c>
      <c r="BI1063">
        <v>-1538.1845454545473</v>
      </c>
      <c r="BJ1063">
        <v>0.10679678441653197</v>
      </c>
    </row>
    <row r="1064" spans="3:62" x14ac:dyDescent="0.2">
      <c r="C1064" s="121">
        <v>69976.57535353546</v>
      </c>
      <c r="D1064">
        <v>15.596886391490216</v>
      </c>
      <c r="E1064" s="121">
        <v>71518.312626262763</v>
      </c>
      <c r="F1064" s="121">
        <v>15.522856882892311</v>
      </c>
      <c r="G1064" s="121">
        <v>-1502.7202020202039</v>
      </c>
      <c r="H1064" s="121">
        <v>0.10949357872244214</v>
      </c>
      <c r="R1064">
        <v>233.48599858196059</v>
      </c>
      <c r="S1064">
        <v>61.39297022089589</v>
      </c>
      <c r="T1064">
        <v>252.44331468784566</v>
      </c>
      <c r="U1064">
        <v>92.380274424712653</v>
      </c>
      <c r="V1064">
        <v>0</v>
      </c>
      <c r="W1064">
        <v>0</v>
      </c>
      <c r="X1064">
        <v>0.64040875057278757</v>
      </c>
      <c r="Y1064">
        <v>0.59545114474314809</v>
      </c>
      <c r="Z1064">
        <v>0.61769154311954932</v>
      </c>
      <c r="AA1064">
        <v>0.58483121883892231</v>
      </c>
      <c r="AB1064">
        <v>0.63400606637288948</v>
      </c>
      <c r="AC1064">
        <v>0.53892106288315977</v>
      </c>
      <c r="AD1064">
        <v>0.60366639798753585</v>
      </c>
      <c r="AE1064">
        <v>0.63317584988727149</v>
      </c>
      <c r="AF1064">
        <v>0</v>
      </c>
      <c r="AG1064">
        <v>0</v>
      </c>
      <c r="AH1064">
        <v>0.23029644653526549</v>
      </c>
      <c r="AI1064">
        <v>0.25238342505001726</v>
      </c>
      <c r="AJ1064">
        <v>0.22459249455700883</v>
      </c>
      <c r="AK1064">
        <v>0.25274627201187538</v>
      </c>
      <c r="AL1064">
        <v>0.24394646098520589</v>
      </c>
      <c r="AM1064">
        <v>0.24107520536060587</v>
      </c>
      <c r="AN1064">
        <v>0.19511480031926973</v>
      </c>
      <c r="AO1064">
        <v>0.25274124892935468</v>
      </c>
      <c r="AP1064">
        <v>0</v>
      </c>
      <c r="AQ1064">
        <v>0</v>
      </c>
      <c r="AR1064">
        <v>9.3102892278941864E-4</v>
      </c>
      <c r="AS1064">
        <v>4.4897938447557347E-3</v>
      </c>
      <c r="AT1064">
        <v>4.914811533889534E-3</v>
      </c>
      <c r="AU1064">
        <v>2.0788777534042437E-3</v>
      </c>
      <c r="AV1064">
        <v>2.0165048564965279E-3</v>
      </c>
      <c r="AW1064">
        <v>3.3396849350906298E-3</v>
      </c>
      <c r="AX1064">
        <v>4.4998994484523686E-4</v>
      </c>
      <c r="AY1064">
        <v>4.7260135611910118E-4</v>
      </c>
      <c r="AZ1064">
        <v>0</v>
      </c>
      <c r="BA1064">
        <v>0</v>
      </c>
      <c r="BB1064">
        <v>5.2180038440503861E-2</v>
      </c>
      <c r="BC1064">
        <v>7.7936237995786056E-2</v>
      </c>
      <c r="BD1064">
        <v>0</v>
      </c>
      <c r="BE1064">
        <v>69976.57535353546</v>
      </c>
      <c r="BF1064">
        <v>15.596886391490216</v>
      </c>
      <c r="BG1064">
        <v>71518.312626262763</v>
      </c>
      <c r="BH1064">
        <v>15.522856882892311</v>
      </c>
      <c r="BI1064">
        <v>-1502.7202020202039</v>
      </c>
      <c r="BJ1064">
        <v>0.10949357872244214</v>
      </c>
    </row>
    <row r="1065" spans="3:62" x14ac:dyDescent="0.2">
      <c r="C1065" s="121">
        <v>70270.875252525366</v>
      </c>
      <c r="D1065">
        <v>15.682291536635008</v>
      </c>
      <c r="E1065" s="121">
        <v>71820.226161616301</v>
      </c>
      <c r="F1065" s="121">
        <v>15.607995618557853</v>
      </c>
      <c r="G1065" s="121">
        <v>-1467.2558585858606</v>
      </c>
      <c r="H1065" s="121">
        <v>0.11219037302835232</v>
      </c>
      <c r="R1065">
        <v>239.89641222805344</v>
      </c>
      <c r="S1065">
        <v>61.783919073795616</v>
      </c>
      <c r="T1065">
        <v>254.06055109429087</v>
      </c>
      <c r="U1065">
        <v>93.041790972285341</v>
      </c>
      <c r="V1065">
        <v>0</v>
      </c>
      <c r="W1065">
        <v>0</v>
      </c>
      <c r="X1065">
        <v>0.64692220925001709</v>
      </c>
      <c r="Y1065">
        <v>0.60289661925363625</v>
      </c>
      <c r="Z1065">
        <v>0.62473164067692732</v>
      </c>
      <c r="AA1065">
        <v>0.59228237600820943</v>
      </c>
      <c r="AB1065">
        <v>0.64067812250156619</v>
      </c>
      <c r="AC1065">
        <v>0.54740026152182431</v>
      </c>
      <c r="AD1065">
        <v>0.61089032173440938</v>
      </c>
      <c r="AE1065">
        <v>0.63988104583010808</v>
      </c>
      <c r="AF1065">
        <v>0</v>
      </c>
      <c r="AG1065">
        <v>0</v>
      </c>
      <c r="AH1065">
        <v>0.2352713472641495</v>
      </c>
      <c r="AI1065">
        <v>0.25784746105335443</v>
      </c>
      <c r="AJ1065">
        <v>0.22945202628374248</v>
      </c>
      <c r="AK1065">
        <v>0.25818947444571178</v>
      </c>
      <c r="AL1065">
        <v>0.24913443744168107</v>
      </c>
      <c r="AM1065">
        <v>0.24627711696315743</v>
      </c>
      <c r="AN1065">
        <v>0.19932747878983972</v>
      </c>
      <c r="AO1065">
        <v>0.25820306023650275</v>
      </c>
      <c r="AP1065">
        <v>0</v>
      </c>
      <c r="AQ1065">
        <v>0</v>
      </c>
      <c r="AR1065">
        <v>9.3784730957879512E-4</v>
      </c>
      <c r="AS1065">
        <v>4.5027263139844039E-3</v>
      </c>
      <c r="AT1065">
        <v>4.927795683482704E-3</v>
      </c>
      <c r="AU1065">
        <v>2.0887535749911147E-3</v>
      </c>
      <c r="AV1065">
        <v>2.0249763093436665E-3</v>
      </c>
      <c r="AW1065">
        <v>3.3502532737247474E-3</v>
      </c>
      <c r="AX1065">
        <v>4.544704902926711E-4</v>
      </c>
      <c r="AY1065">
        <v>4.7678138075538188E-4</v>
      </c>
      <c r="AZ1065">
        <v>0</v>
      </c>
      <c r="BA1065">
        <v>0</v>
      </c>
      <c r="BB1065">
        <v>5.2550891177149631E-2</v>
      </c>
      <c r="BC1065">
        <v>7.9554007931392362E-2</v>
      </c>
      <c r="BD1065">
        <v>0</v>
      </c>
      <c r="BE1065">
        <v>70270.875252525366</v>
      </c>
      <c r="BF1065">
        <v>15.682291536635008</v>
      </c>
      <c r="BG1065">
        <v>71820.226161616301</v>
      </c>
      <c r="BH1065">
        <v>15.607995618557853</v>
      </c>
      <c r="BI1065">
        <v>-1467.2558585858606</v>
      </c>
      <c r="BJ1065">
        <v>0.11219037302835232</v>
      </c>
    </row>
    <row r="1066" spans="3:62" x14ac:dyDescent="0.2">
      <c r="C1066" s="121">
        <v>70565.175151515272</v>
      </c>
      <c r="D1066">
        <v>15.7676966817798</v>
      </c>
      <c r="E1066" s="121">
        <v>72122.13969696984</v>
      </c>
      <c r="F1066" s="121">
        <v>15.693134354223394</v>
      </c>
      <c r="G1066" s="121">
        <v>-1431.7915151515172</v>
      </c>
      <c r="H1066" s="121">
        <v>0.11488716733426249</v>
      </c>
      <c r="R1066">
        <v>246.30682587414628</v>
      </c>
      <c r="S1066">
        <v>62.174867926695342</v>
      </c>
      <c r="T1066">
        <v>255.67778750073609</v>
      </c>
      <c r="U1066">
        <v>93.703307519858029</v>
      </c>
      <c r="V1066">
        <v>0</v>
      </c>
      <c r="W1066">
        <v>0</v>
      </c>
      <c r="X1066">
        <v>0.65343566792724661</v>
      </c>
      <c r="Y1066">
        <v>0.6103420937641244</v>
      </c>
      <c r="Z1066">
        <v>0.63177173823430532</v>
      </c>
      <c r="AA1066">
        <v>0.59973353317749656</v>
      </c>
      <c r="AB1066">
        <v>0.64735017863024291</v>
      </c>
      <c r="AC1066">
        <v>0.55587946016048884</v>
      </c>
      <c r="AD1066">
        <v>0.61811424548128291</v>
      </c>
      <c r="AE1066">
        <v>0.64658624177294466</v>
      </c>
      <c r="AF1066">
        <v>0</v>
      </c>
      <c r="AG1066">
        <v>0</v>
      </c>
      <c r="AH1066">
        <v>0.24024624799303351</v>
      </c>
      <c r="AI1066">
        <v>0.26331149705669155</v>
      </c>
      <c r="AJ1066">
        <v>0.23431155801047612</v>
      </c>
      <c r="AK1066">
        <v>0.26363267687954817</v>
      </c>
      <c r="AL1066">
        <v>0.25432241389815624</v>
      </c>
      <c r="AM1066">
        <v>0.25147902856570897</v>
      </c>
      <c r="AN1066">
        <v>0.20354015726040972</v>
      </c>
      <c r="AO1066">
        <v>0.26366487154365081</v>
      </c>
      <c r="AP1066">
        <v>0</v>
      </c>
      <c r="AQ1066">
        <v>0</v>
      </c>
      <c r="AR1066">
        <v>9.4466569636817159E-4</v>
      </c>
      <c r="AS1066">
        <v>4.515658783213073E-3</v>
      </c>
      <c r="AT1066">
        <v>4.9407798330758741E-3</v>
      </c>
      <c r="AU1066">
        <v>2.0986293965779856E-3</v>
      </c>
      <c r="AV1066">
        <v>2.0334477621908051E-3</v>
      </c>
      <c r="AW1066">
        <v>3.360821612358865E-3</v>
      </c>
      <c r="AX1066">
        <v>4.5895103574010535E-4</v>
      </c>
      <c r="AY1066">
        <v>4.8096140539166259E-4</v>
      </c>
      <c r="AZ1066">
        <v>0</v>
      </c>
      <c r="BA1066">
        <v>0</v>
      </c>
      <c r="BB1066">
        <v>5.2921743913795401E-2</v>
      </c>
      <c r="BC1066">
        <v>8.1171777866998668E-2</v>
      </c>
      <c r="BD1066">
        <v>0</v>
      </c>
      <c r="BE1066">
        <v>70565.175151515272</v>
      </c>
      <c r="BF1066">
        <v>15.7676966817798</v>
      </c>
      <c r="BG1066">
        <v>72122.13969696984</v>
      </c>
      <c r="BH1066">
        <v>15.693134354223394</v>
      </c>
      <c r="BI1066">
        <v>-1431.7915151515172</v>
      </c>
      <c r="BJ1066">
        <v>0.11488716733426249</v>
      </c>
    </row>
    <row r="1067" spans="3:62" x14ac:dyDescent="0.2">
      <c r="C1067" s="121">
        <v>70859.475050505178</v>
      </c>
      <c r="D1067">
        <v>15.853101826924592</v>
      </c>
      <c r="E1067" s="121">
        <v>72424.053232323378</v>
      </c>
      <c r="F1067" s="121">
        <v>15.778273089888936</v>
      </c>
      <c r="G1067" s="121">
        <v>-1396.3271717171738</v>
      </c>
      <c r="H1067" s="121">
        <v>0.11758396164017267</v>
      </c>
      <c r="R1067">
        <v>252.71723952023913</v>
      </c>
      <c r="S1067">
        <v>62.565816779595067</v>
      </c>
      <c r="T1067">
        <v>257.2950239071813</v>
      </c>
      <c r="U1067">
        <v>94.364824067430717</v>
      </c>
      <c r="V1067">
        <v>0</v>
      </c>
      <c r="W1067">
        <v>0</v>
      </c>
      <c r="X1067">
        <v>0.65994912660447613</v>
      </c>
      <c r="Y1067">
        <v>0.61778756827461256</v>
      </c>
      <c r="Z1067">
        <v>0.63881183579168332</v>
      </c>
      <c r="AA1067">
        <v>0.60718469034678368</v>
      </c>
      <c r="AB1067">
        <v>0.65402223475891963</v>
      </c>
      <c r="AC1067">
        <v>0.56435865879915337</v>
      </c>
      <c r="AD1067">
        <v>0.62533816922815644</v>
      </c>
      <c r="AE1067">
        <v>0.65329143771578124</v>
      </c>
      <c r="AF1067">
        <v>0</v>
      </c>
      <c r="AG1067">
        <v>0</v>
      </c>
      <c r="AH1067">
        <v>0.24522114872191753</v>
      </c>
      <c r="AI1067">
        <v>0.26877553306002866</v>
      </c>
      <c r="AJ1067">
        <v>0.23917108973720977</v>
      </c>
      <c r="AK1067">
        <v>0.26907587931338456</v>
      </c>
      <c r="AL1067">
        <v>0.25951039035463142</v>
      </c>
      <c r="AM1067">
        <v>0.25668094016826054</v>
      </c>
      <c r="AN1067">
        <v>0.20775283573097972</v>
      </c>
      <c r="AO1067">
        <v>0.26912668285079888</v>
      </c>
      <c r="AP1067">
        <v>0</v>
      </c>
      <c r="AQ1067">
        <v>0</v>
      </c>
      <c r="AR1067">
        <v>9.5148408315754807E-4</v>
      </c>
      <c r="AS1067">
        <v>4.5285912524417422E-3</v>
      </c>
      <c r="AT1067">
        <v>4.9537639826690441E-3</v>
      </c>
      <c r="AU1067">
        <v>2.1085052181648565E-3</v>
      </c>
      <c r="AV1067">
        <v>2.0419192150379437E-3</v>
      </c>
      <c r="AW1067">
        <v>3.3713899509929825E-3</v>
      </c>
      <c r="AX1067">
        <v>4.634315811875396E-4</v>
      </c>
      <c r="AY1067">
        <v>4.8514143002794329E-4</v>
      </c>
      <c r="AZ1067">
        <v>0</v>
      </c>
      <c r="BA1067">
        <v>0</v>
      </c>
      <c r="BB1067">
        <v>5.3292596650441171E-2</v>
      </c>
      <c r="BC1067">
        <v>8.2789547802604974E-2</v>
      </c>
      <c r="BD1067">
        <v>0</v>
      </c>
      <c r="BE1067">
        <v>70859.475050505178</v>
      </c>
      <c r="BF1067">
        <v>15.853101826924592</v>
      </c>
      <c r="BG1067">
        <v>72424.053232323378</v>
      </c>
      <c r="BH1067">
        <v>15.778273089888936</v>
      </c>
      <c r="BI1067">
        <v>-1396.3271717171738</v>
      </c>
      <c r="BJ1067">
        <v>0.11758396164017267</v>
      </c>
    </row>
    <row r="1068" spans="3:62" x14ac:dyDescent="0.2">
      <c r="C1068" s="121">
        <v>71153.774949495084</v>
      </c>
      <c r="D1068">
        <v>15.938506972069383</v>
      </c>
      <c r="E1068" s="121">
        <v>72725.966767676917</v>
      </c>
      <c r="F1068" s="121">
        <v>15.863411825554477</v>
      </c>
      <c r="G1068" s="121">
        <v>-1360.8628282828304</v>
      </c>
      <c r="H1068" s="121">
        <v>0.12028075594608284</v>
      </c>
      <c r="R1068">
        <v>259.12765316633198</v>
      </c>
      <c r="S1068">
        <v>62.956765632494793</v>
      </c>
      <c r="T1068">
        <v>258.91226031362652</v>
      </c>
      <c r="U1068">
        <v>95.026340615003406</v>
      </c>
      <c r="V1068">
        <v>0</v>
      </c>
      <c r="W1068">
        <v>0</v>
      </c>
      <c r="X1068">
        <v>0.66646258528170566</v>
      </c>
      <c r="Y1068">
        <v>0.62523304278510072</v>
      </c>
      <c r="Z1068">
        <v>0.64585193334906132</v>
      </c>
      <c r="AA1068">
        <v>0.61463584751607081</v>
      </c>
      <c r="AB1068">
        <v>0.66069429088759635</v>
      </c>
      <c r="AC1068">
        <v>0.5728378574378179</v>
      </c>
      <c r="AD1068">
        <v>0.63256209297502997</v>
      </c>
      <c r="AE1068">
        <v>0.65999663365861783</v>
      </c>
      <c r="AF1068">
        <v>0</v>
      </c>
      <c r="AG1068">
        <v>0</v>
      </c>
      <c r="AH1068">
        <v>0.25019604945080154</v>
      </c>
      <c r="AI1068">
        <v>0.27423956906336577</v>
      </c>
      <c r="AJ1068">
        <v>0.24403062146394341</v>
      </c>
      <c r="AK1068">
        <v>0.27451908174722095</v>
      </c>
      <c r="AL1068">
        <v>0.26469836681110659</v>
      </c>
      <c r="AM1068">
        <v>0.26188285177081211</v>
      </c>
      <c r="AN1068">
        <v>0.21196551420154972</v>
      </c>
      <c r="AO1068">
        <v>0.27458849415794695</v>
      </c>
      <c r="AP1068">
        <v>0</v>
      </c>
      <c r="AQ1068">
        <v>0</v>
      </c>
      <c r="AR1068">
        <v>9.5830246994692454E-4</v>
      </c>
      <c r="AS1068">
        <v>4.5415237216704114E-3</v>
      </c>
      <c r="AT1068">
        <v>4.9667481322622142E-3</v>
      </c>
      <c r="AU1068">
        <v>2.1183810397517274E-3</v>
      </c>
      <c r="AV1068">
        <v>2.0503906678850823E-3</v>
      </c>
      <c r="AW1068">
        <v>3.3819582896271001E-3</v>
      </c>
      <c r="AX1068">
        <v>4.6791212663497384E-4</v>
      </c>
      <c r="AY1068">
        <v>4.8932145466422405E-4</v>
      </c>
      <c r="AZ1068">
        <v>0</v>
      </c>
      <c r="BA1068">
        <v>0</v>
      </c>
      <c r="BB1068">
        <v>5.3663449387086941E-2</v>
      </c>
      <c r="BC1068">
        <v>8.4407317738211279E-2</v>
      </c>
      <c r="BD1068">
        <v>0</v>
      </c>
      <c r="BE1068">
        <v>71153.774949495084</v>
      </c>
      <c r="BF1068">
        <v>15.938506972069383</v>
      </c>
      <c r="BG1068">
        <v>72725.966767676917</v>
      </c>
      <c r="BH1068">
        <v>15.863411825554477</v>
      </c>
      <c r="BI1068">
        <v>-1360.8628282828304</v>
      </c>
      <c r="BJ1068">
        <v>0.12028075594608284</v>
      </c>
    </row>
    <row r="1069" spans="3:62" x14ac:dyDescent="0.2">
      <c r="C1069" s="121">
        <v>71448.07484848499</v>
      </c>
      <c r="D1069">
        <v>16.023912117214174</v>
      </c>
      <c r="E1069" s="121">
        <v>73027.880303030455</v>
      </c>
      <c r="F1069" s="121">
        <v>15.948550561220019</v>
      </c>
      <c r="G1069" s="121">
        <v>-1325.398484848487</v>
      </c>
      <c r="H1069" s="121">
        <v>0.12297755025199301</v>
      </c>
      <c r="R1069">
        <v>265.53806681242486</v>
      </c>
      <c r="S1069">
        <v>63.347714485394519</v>
      </c>
      <c r="T1069">
        <v>260.52949672007173</v>
      </c>
      <c r="U1069">
        <v>95.687857162576094</v>
      </c>
      <c r="V1069">
        <v>0</v>
      </c>
      <c r="W1069">
        <v>0</v>
      </c>
      <c r="X1069">
        <v>0.67297604395893518</v>
      </c>
      <c r="Y1069">
        <v>0.63267851729558888</v>
      </c>
      <c r="Z1069">
        <v>0.65289203090643932</v>
      </c>
      <c r="AA1069">
        <v>0.62208700468535794</v>
      </c>
      <c r="AB1069">
        <v>0.66736634701627306</v>
      </c>
      <c r="AC1069">
        <v>0.58131705607648243</v>
      </c>
      <c r="AD1069">
        <v>0.63978601672190349</v>
      </c>
      <c r="AE1069">
        <v>0.66670182960145441</v>
      </c>
      <c r="AF1069">
        <v>0</v>
      </c>
      <c r="AG1069">
        <v>0</v>
      </c>
      <c r="AH1069">
        <v>0.25517095017968555</v>
      </c>
      <c r="AI1069">
        <v>0.27970360506670289</v>
      </c>
      <c r="AJ1069">
        <v>0.24889015319067706</v>
      </c>
      <c r="AK1069">
        <v>0.27996228418105734</v>
      </c>
      <c r="AL1069">
        <v>0.26988634326758176</v>
      </c>
      <c r="AM1069">
        <v>0.26708476337336368</v>
      </c>
      <c r="AN1069">
        <v>0.21617819267211971</v>
      </c>
      <c r="AO1069">
        <v>0.28005030546509502</v>
      </c>
      <c r="AP1069">
        <v>0</v>
      </c>
      <c r="AQ1069">
        <v>0</v>
      </c>
      <c r="AR1069">
        <v>9.6512085673630102E-4</v>
      </c>
      <c r="AS1069">
        <v>4.5544561908990805E-3</v>
      </c>
      <c r="AT1069">
        <v>4.9797322818553843E-3</v>
      </c>
      <c r="AU1069">
        <v>2.1282568613385983E-3</v>
      </c>
      <c r="AV1069">
        <v>2.0588621207322209E-3</v>
      </c>
      <c r="AW1069">
        <v>3.3925266282612177E-3</v>
      </c>
      <c r="AX1069">
        <v>4.7239267208240809E-4</v>
      </c>
      <c r="AY1069">
        <v>4.9350147930050481E-4</v>
      </c>
      <c r="AZ1069">
        <v>0</v>
      </c>
      <c r="BA1069">
        <v>0</v>
      </c>
      <c r="BB1069">
        <v>5.4034302123732711E-2</v>
      </c>
      <c r="BC1069">
        <v>8.6025087673817585E-2</v>
      </c>
      <c r="BD1069">
        <v>0</v>
      </c>
      <c r="BE1069">
        <v>71448.07484848499</v>
      </c>
      <c r="BF1069">
        <v>16.023912117214174</v>
      </c>
      <c r="BG1069">
        <v>73027.880303030455</v>
      </c>
      <c r="BH1069">
        <v>15.948550561220019</v>
      </c>
      <c r="BI1069">
        <v>-1325.398484848487</v>
      </c>
      <c r="BJ1069">
        <v>0.12297755025199301</v>
      </c>
    </row>
    <row r="1070" spans="3:62" x14ac:dyDescent="0.2">
      <c r="C1070" s="121">
        <v>71742.374747474896</v>
      </c>
      <c r="D1070">
        <v>16.109317262358964</v>
      </c>
      <c r="E1070" s="121">
        <v>73329.793838383994</v>
      </c>
      <c r="F1070" s="121">
        <v>16.033689296885562</v>
      </c>
      <c r="G1070" s="121">
        <v>-1289.9341414141436</v>
      </c>
      <c r="H1070" s="121">
        <v>0.12567434455790319</v>
      </c>
      <c r="R1070">
        <v>271.94848045851774</v>
      </c>
      <c r="S1070">
        <v>63.738663338294245</v>
      </c>
      <c r="T1070">
        <v>262.14673312651695</v>
      </c>
      <c r="U1070">
        <v>96.349373710148782</v>
      </c>
      <c r="V1070">
        <v>0</v>
      </c>
      <c r="W1070">
        <v>0</v>
      </c>
      <c r="X1070">
        <v>0.6794895026361647</v>
      </c>
      <c r="Y1070">
        <v>0.64012399180607704</v>
      </c>
      <c r="Z1070">
        <v>0.65993212846381732</v>
      </c>
      <c r="AA1070">
        <v>0.62953816185464506</v>
      </c>
      <c r="AB1070">
        <v>0.67403840314494978</v>
      </c>
      <c r="AC1070">
        <v>0.58979625471514696</v>
      </c>
      <c r="AD1070">
        <v>0.64700994046877702</v>
      </c>
      <c r="AE1070">
        <v>0.67340702554429099</v>
      </c>
      <c r="AF1070">
        <v>0</v>
      </c>
      <c r="AG1070">
        <v>0</v>
      </c>
      <c r="AH1070">
        <v>0.26014585090856956</v>
      </c>
      <c r="AI1070">
        <v>0.28516764107004</v>
      </c>
      <c r="AJ1070">
        <v>0.25374968491741068</v>
      </c>
      <c r="AK1070">
        <v>0.28540548661489373</v>
      </c>
      <c r="AL1070">
        <v>0.27507431972405694</v>
      </c>
      <c r="AM1070">
        <v>0.27228667497591524</v>
      </c>
      <c r="AN1070">
        <v>0.22039087114268971</v>
      </c>
      <c r="AO1070">
        <v>0.28551211677224309</v>
      </c>
      <c r="AP1070">
        <v>0</v>
      </c>
      <c r="AQ1070">
        <v>0</v>
      </c>
      <c r="AR1070">
        <v>9.7193924352567749E-4</v>
      </c>
      <c r="AS1070">
        <v>4.5673886601277497E-3</v>
      </c>
      <c r="AT1070">
        <v>4.9927164314485543E-3</v>
      </c>
      <c r="AU1070">
        <v>2.1381326829254693E-3</v>
      </c>
      <c r="AV1070">
        <v>2.0673335735793595E-3</v>
      </c>
      <c r="AW1070">
        <v>3.4030949668953352E-3</v>
      </c>
      <c r="AX1070">
        <v>4.7687321752984234E-4</v>
      </c>
      <c r="AY1070">
        <v>4.9768150393678556E-4</v>
      </c>
      <c r="AZ1070">
        <v>0</v>
      </c>
      <c r="BA1070">
        <v>0</v>
      </c>
      <c r="BB1070">
        <v>5.4405154860378481E-2</v>
      </c>
      <c r="BC1070">
        <v>8.7642857609423891E-2</v>
      </c>
      <c r="BD1070">
        <v>0</v>
      </c>
      <c r="BE1070">
        <v>71742.374747474896</v>
      </c>
      <c r="BF1070">
        <v>16.109317262358964</v>
      </c>
      <c r="BG1070">
        <v>73329.793838383994</v>
      </c>
      <c r="BH1070">
        <v>16.033689296885562</v>
      </c>
      <c r="BI1070">
        <v>-1289.9341414141436</v>
      </c>
      <c r="BJ1070">
        <v>0.12567434455790319</v>
      </c>
    </row>
    <row r="1071" spans="3:62" x14ac:dyDescent="0.2">
      <c r="C1071" s="121">
        <v>72036.674646464802</v>
      </c>
      <c r="D1071">
        <v>16.194722407503754</v>
      </c>
      <c r="E1071" s="121">
        <v>73631.707373737532</v>
      </c>
      <c r="F1071" s="121">
        <v>16.118828032551104</v>
      </c>
      <c r="G1071" s="121">
        <v>-1254.4697979798002</v>
      </c>
      <c r="H1071" s="121">
        <v>0.12837113886381335</v>
      </c>
      <c r="R1071">
        <v>278.35889410461061</v>
      </c>
      <c r="S1071">
        <v>64.129612191193971</v>
      </c>
      <c r="T1071">
        <v>263.76396953296216</v>
      </c>
      <c r="U1071">
        <v>97.010890257721471</v>
      </c>
      <c r="V1071">
        <v>0</v>
      </c>
      <c r="W1071">
        <v>0</v>
      </c>
      <c r="X1071">
        <v>0.68600296131339422</v>
      </c>
      <c r="Y1071">
        <v>0.6475694663165652</v>
      </c>
      <c r="Z1071">
        <v>0.66697222602119532</v>
      </c>
      <c r="AA1071">
        <v>0.63698931902393219</v>
      </c>
      <c r="AB1071">
        <v>0.6807104592736265</v>
      </c>
      <c r="AC1071">
        <v>0.59827545335381149</v>
      </c>
      <c r="AD1071">
        <v>0.65423386421565055</v>
      </c>
      <c r="AE1071">
        <v>0.68011222148712758</v>
      </c>
      <c r="AF1071">
        <v>0</v>
      </c>
      <c r="AG1071">
        <v>0</v>
      </c>
      <c r="AH1071">
        <v>0.26512075163745358</v>
      </c>
      <c r="AI1071">
        <v>0.29063167707337711</v>
      </c>
      <c r="AJ1071">
        <v>0.25860921664414432</v>
      </c>
      <c r="AK1071">
        <v>0.29084868904873012</v>
      </c>
      <c r="AL1071">
        <v>0.28026229618053211</v>
      </c>
      <c r="AM1071">
        <v>0.27748858657846681</v>
      </c>
      <c r="AN1071">
        <v>0.22460354961325971</v>
      </c>
      <c r="AO1071">
        <v>0.29097392807939115</v>
      </c>
      <c r="AP1071">
        <v>0</v>
      </c>
      <c r="AQ1071">
        <v>0</v>
      </c>
      <c r="AR1071">
        <v>9.7875763031505408E-4</v>
      </c>
      <c r="AS1071">
        <v>4.5803211293564189E-3</v>
      </c>
      <c r="AT1071">
        <v>5.0057005810417244E-3</v>
      </c>
      <c r="AU1071">
        <v>2.1480085045123402E-3</v>
      </c>
      <c r="AV1071">
        <v>2.0758050264264982E-3</v>
      </c>
      <c r="AW1071">
        <v>3.4136633055294528E-3</v>
      </c>
      <c r="AX1071">
        <v>4.8135376297727658E-4</v>
      </c>
      <c r="AY1071">
        <v>5.0186152857306632E-4</v>
      </c>
      <c r="AZ1071">
        <v>0</v>
      </c>
      <c r="BA1071">
        <v>0</v>
      </c>
      <c r="BB1071">
        <v>5.4776007597024251E-2</v>
      </c>
      <c r="BC1071">
        <v>8.9260627545030197E-2</v>
      </c>
      <c r="BD1071">
        <v>0</v>
      </c>
      <c r="BE1071">
        <v>72036.674646464802</v>
      </c>
      <c r="BF1071">
        <v>16.194722407503754</v>
      </c>
      <c r="BG1071">
        <v>73631.707373737532</v>
      </c>
      <c r="BH1071">
        <v>16.118828032551104</v>
      </c>
      <c r="BI1071">
        <v>-1254.4697979798002</v>
      </c>
      <c r="BJ1071">
        <v>0.12837113886381335</v>
      </c>
    </row>
    <row r="1072" spans="3:62" x14ac:dyDescent="0.2">
      <c r="C1072" s="121">
        <v>72330.974545454708</v>
      </c>
      <c r="D1072">
        <v>16.280127552648544</v>
      </c>
      <c r="E1072" s="121">
        <v>73933.620909091071</v>
      </c>
      <c r="F1072" s="121">
        <v>16.203966768216645</v>
      </c>
      <c r="G1072" s="121">
        <v>-1219.0054545454568</v>
      </c>
      <c r="H1072" s="121">
        <v>0.13106793316972351</v>
      </c>
      <c r="R1072">
        <v>284.76930775070349</v>
      </c>
      <c r="S1072">
        <v>64.520561044093697</v>
      </c>
      <c r="T1072">
        <v>265.38120593940738</v>
      </c>
      <c r="U1072">
        <v>97.672406805294159</v>
      </c>
      <c r="V1072">
        <v>0</v>
      </c>
      <c r="W1072">
        <v>0</v>
      </c>
      <c r="X1072">
        <v>0.69251641999062374</v>
      </c>
      <c r="Y1072">
        <v>0.65501494082705336</v>
      </c>
      <c r="Z1072">
        <v>0.67401232357857332</v>
      </c>
      <c r="AA1072">
        <v>0.64444047619321931</v>
      </c>
      <c r="AB1072">
        <v>0.68738251540230322</v>
      </c>
      <c r="AC1072">
        <v>0.60675465199247602</v>
      </c>
      <c r="AD1072">
        <v>0.66145778796252408</v>
      </c>
      <c r="AE1072">
        <v>0.68681741742996416</v>
      </c>
      <c r="AF1072">
        <v>0</v>
      </c>
      <c r="AG1072">
        <v>0</v>
      </c>
      <c r="AH1072">
        <v>0.27009565236633759</v>
      </c>
      <c r="AI1072">
        <v>0.29609571307671423</v>
      </c>
      <c r="AJ1072">
        <v>0.26346874837087797</v>
      </c>
      <c r="AK1072">
        <v>0.29629189148256652</v>
      </c>
      <c r="AL1072">
        <v>0.28545027263700729</v>
      </c>
      <c r="AM1072">
        <v>0.28269049818101838</v>
      </c>
      <c r="AN1072">
        <v>0.2288162280838297</v>
      </c>
      <c r="AO1072">
        <v>0.29643573938653922</v>
      </c>
      <c r="AP1072">
        <v>0</v>
      </c>
      <c r="AQ1072">
        <v>0</v>
      </c>
      <c r="AR1072">
        <v>9.8557601710443066E-4</v>
      </c>
      <c r="AS1072">
        <v>4.593253598585088E-3</v>
      </c>
      <c r="AT1072">
        <v>5.0186847306348944E-3</v>
      </c>
      <c r="AU1072">
        <v>2.1578843260992111E-3</v>
      </c>
      <c r="AV1072">
        <v>2.0842764792736368E-3</v>
      </c>
      <c r="AW1072">
        <v>3.4242316441635704E-3</v>
      </c>
      <c r="AX1072">
        <v>4.8583430842471083E-4</v>
      </c>
      <c r="AY1072">
        <v>5.0604155320934708E-4</v>
      </c>
      <c r="AZ1072">
        <v>0</v>
      </c>
      <c r="BA1072">
        <v>0</v>
      </c>
      <c r="BB1072">
        <v>5.5146860333670021E-2</v>
      </c>
      <c r="BC1072">
        <v>9.0878397480636502E-2</v>
      </c>
      <c r="BD1072">
        <v>0</v>
      </c>
      <c r="BE1072">
        <v>72330.974545454708</v>
      </c>
      <c r="BF1072">
        <v>16.280127552648544</v>
      </c>
      <c r="BG1072">
        <v>73933.620909091071</v>
      </c>
      <c r="BH1072">
        <v>16.203966768216645</v>
      </c>
      <c r="BI1072">
        <v>-1219.0054545454568</v>
      </c>
      <c r="BJ1072">
        <v>0.13106793316972351</v>
      </c>
    </row>
    <row r="1073" spans="3:62" x14ac:dyDescent="0.2">
      <c r="C1073" s="121">
        <v>72625.274444444614</v>
      </c>
      <c r="D1073">
        <v>16.365532697793334</v>
      </c>
      <c r="E1073" s="121">
        <v>74235.534444444609</v>
      </c>
      <c r="F1073" s="121">
        <v>16.289105503882187</v>
      </c>
      <c r="G1073" s="121">
        <v>-1183.5411111111134</v>
      </c>
      <c r="H1073" s="121">
        <v>0.13376472747563367</v>
      </c>
      <c r="R1073">
        <v>291.17972139679637</v>
      </c>
      <c r="S1073">
        <v>64.911509896993422</v>
      </c>
      <c r="T1073">
        <v>266.9984423458526</v>
      </c>
      <c r="U1073">
        <v>98.333923352866847</v>
      </c>
      <c r="V1073">
        <v>0</v>
      </c>
      <c r="W1073">
        <v>0</v>
      </c>
      <c r="X1073">
        <v>0.69902987866785327</v>
      </c>
      <c r="Y1073">
        <v>0.66246041533754152</v>
      </c>
      <c r="Z1073">
        <v>0.68105242113595132</v>
      </c>
      <c r="AA1073">
        <v>0.65189163336250644</v>
      </c>
      <c r="AB1073">
        <v>0.69405457153097994</v>
      </c>
      <c r="AC1073">
        <v>0.61523385063114056</v>
      </c>
      <c r="AD1073">
        <v>0.66868171170939761</v>
      </c>
      <c r="AE1073">
        <v>0.69352261337280074</v>
      </c>
      <c r="AF1073">
        <v>0</v>
      </c>
      <c r="AG1073">
        <v>0</v>
      </c>
      <c r="AH1073">
        <v>0.2750705530952216</v>
      </c>
      <c r="AI1073">
        <v>0.30155974908005134</v>
      </c>
      <c r="AJ1073">
        <v>0.26832828009761162</v>
      </c>
      <c r="AK1073">
        <v>0.30173509391640291</v>
      </c>
      <c r="AL1073">
        <v>0.29063824909348246</v>
      </c>
      <c r="AM1073">
        <v>0.28789240978356995</v>
      </c>
      <c r="AN1073">
        <v>0.2330289065543997</v>
      </c>
      <c r="AO1073">
        <v>0.30189755069368729</v>
      </c>
      <c r="AP1073">
        <v>0</v>
      </c>
      <c r="AQ1073">
        <v>0</v>
      </c>
      <c r="AR1073">
        <v>9.9239440389380725E-4</v>
      </c>
      <c r="AS1073">
        <v>4.6061860678137572E-3</v>
      </c>
      <c r="AT1073">
        <v>5.0316688802280645E-3</v>
      </c>
      <c r="AU1073">
        <v>2.167760147686082E-3</v>
      </c>
      <c r="AV1073">
        <v>2.0927479321207754E-3</v>
      </c>
      <c r="AW1073">
        <v>3.4347999827976879E-3</v>
      </c>
      <c r="AX1073">
        <v>4.9031485387214513E-4</v>
      </c>
      <c r="AY1073">
        <v>5.1022157784562784E-4</v>
      </c>
      <c r="AZ1073">
        <v>0</v>
      </c>
      <c r="BA1073">
        <v>0</v>
      </c>
      <c r="BB1073">
        <v>5.5517713070315791E-2</v>
      </c>
      <c r="BC1073">
        <v>9.2496167416242808E-2</v>
      </c>
      <c r="BD1073">
        <v>0</v>
      </c>
      <c r="BE1073">
        <v>72625.274444444614</v>
      </c>
      <c r="BF1073">
        <v>16.365532697793334</v>
      </c>
      <c r="BG1073">
        <v>74235.534444444609</v>
      </c>
      <c r="BH1073">
        <v>16.289105503882187</v>
      </c>
      <c r="BI1073">
        <v>-1183.5411111111134</v>
      </c>
      <c r="BJ1073">
        <v>0.13376472747563367</v>
      </c>
    </row>
    <row r="1074" spans="3:62" x14ac:dyDescent="0.2">
      <c r="C1074" s="121">
        <v>72919.57434343452</v>
      </c>
      <c r="D1074">
        <v>16.450937842938124</v>
      </c>
      <c r="E1074" s="121">
        <v>74537.447979798148</v>
      </c>
      <c r="F1074" s="121">
        <v>16.374244239547728</v>
      </c>
      <c r="G1074" s="121">
        <v>-1148.07676767677</v>
      </c>
      <c r="H1074" s="121">
        <v>0.13646152178154383</v>
      </c>
      <c r="R1074">
        <v>297.59013504288924</v>
      </c>
      <c r="S1074">
        <v>65.302458749893148</v>
      </c>
      <c r="T1074">
        <v>268.61567875229781</v>
      </c>
      <c r="U1074">
        <v>98.995439900439536</v>
      </c>
      <c r="V1074">
        <v>0</v>
      </c>
      <c r="W1074">
        <v>0</v>
      </c>
      <c r="X1074">
        <v>0.70554333734508279</v>
      </c>
      <c r="Y1074">
        <v>0.66990588984802968</v>
      </c>
      <c r="Z1074">
        <v>0.68809251869332932</v>
      </c>
      <c r="AA1074">
        <v>0.65934279053179357</v>
      </c>
      <c r="AB1074">
        <v>0.70072662765965665</v>
      </c>
      <c r="AC1074">
        <v>0.62371304926980509</v>
      </c>
      <c r="AD1074">
        <v>0.67590563545627114</v>
      </c>
      <c r="AE1074">
        <v>0.70022780931563733</v>
      </c>
      <c r="AF1074">
        <v>0</v>
      </c>
      <c r="AG1074">
        <v>0</v>
      </c>
      <c r="AH1074">
        <v>0.28004545382410562</v>
      </c>
      <c r="AI1074">
        <v>0.30702378508338846</v>
      </c>
      <c r="AJ1074">
        <v>0.27318781182434526</v>
      </c>
      <c r="AK1074">
        <v>0.3071782963502393</v>
      </c>
      <c r="AL1074">
        <v>0.29582622554995763</v>
      </c>
      <c r="AM1074">
        <v>0.29309432138612151</v>
      </c>
      <c r="AN1074">
        <v>0.2372415850249697</v>
      </c>
      <c r="AO1074">
        <v>0.30735936200083536</v>
      </c>
      <c r="AP1074">
        <v>0</v>
      </c>
      <c r="AQ1074">
        <v>0</v>
      </c>
      <c r="AR1074">
        <v>9.9921279068318383E-4</v>
      </c>
      <c r="AS1074">
        <v>4.6191185370424263E-3</v>
      </c>
      <c r="AT1074">
        <v>5.0446530298212345E-3</v>
      </c>
      <c r="AU1074">
        <v>2.1776359692729529E-3</v>
      </c>
      <c r="AV1074">
        <v>2.101219384967914E-3</v>
      </c>
      <c r="AW1074">
        <v>3.4453683214318055E-3</v>
      </c>
      <c r="AX1074">
        <v>4.9479539931957938E-4</v>
      </c>
      <c r="AY1074">
        <v>5.144016024819086E-4</v>
      </c>
      <c r="AZ1074">
        <v>0</v>
      </c>
      <c r="BA1074">
        <v>0</v>
      </c>
      <c r="BB1074">
        <v>5.5888565806961561E-2</v>
      </c>
      <c r="BC1074">
        <v>9.4113937351849114E-2</v>
      </c>
      <c r="BD1074">
        <v>0</v>
      </c>
      <c r="BE1074">
        <v>72919.57434343452</v>
      </c>
      <c r="BF1074">
        <v>16.450937842938124</v>
      </c>
      <c r="BG1074">
        <v>74537.447979798148</v>
      </c>
      <c r="BH1074">
        <v>16.374244239547728</v>
      </c>
      <c r="BI1074">
        <v>-1148.07676767677</v>
      </c>
      <c r="BJ1074">
        <v>0.13646152178154383</v>
      </c>
    </row>
    <row r="1075" spans="3:62" x14ac:dyDescent="0.2">
      <c r="C1075" s="121">
        <v>73213.874242424426</v>
      </c>
      <c r="D1075">
        <v>16.536342988082914</v>
      </c>
      <c r="E1075" s="121">
        <v>74839.361515151686</v>
      </c>
      <c r="F1075" s="121">
        <v>16.45938297521327</v>
      </c>
      <c r="G1075" s="121">
        <v>-1112.6124242424266</v>
      </c>
      <c r="H1075" s="121">
        <v>0.13915831608745399</v>
      </c>
      <c r="R1075">
        <v>304.00054868898212</v>
      </c>
      <c r="S1075">
        <v>65.693407602792874</v>
      </c>
      <c r="T1075">
        <v>270.23291515874303</v>
      </c>
      <c r="U1075">
        <v>99.656956448012224</v>
      </c>
      <c r="V1075">
        <v>0</v>
      </c>
      <c r="W1075">
        <v>0</v>
      </c>
      <c r="X1075">
        <v>0.71205679602231231</v>
      </c>
      <c r="Y1075">
        <v>0.67735136435851784</v>
      </c>
      <c r="Z1075">
        <v>0.69513261625070732</v>
      </c>
      <c r="AA1075">
        <v>0.66679394770108069</v>
      </c>
      <c r="AB1075">
        <v>0.70739868378833337</v>
      </c>
      <c r="AC1075">
        <v>0.63219224790846962</v>
      </c>
      <c r="AD1075">
        <v>0.68312955920314467</v>
      </c>
      <c r="AE1075">
        <v>0.70693300525847391</v>
      </c>
      <c r="AF1075">
        <v>0</v>
      </c>
      <c r="AG1075">
        <v>0</v>
      </c>
      <c r="AH1075">
        <v>0.28502035455298963</v>
      </c>
      <c r="AI1075">
        <v>0.31248782108672557</v>
      </c>
      <c r="AJ1075">
        <v>0.27804734355107891</v>
      </c>
      <c r="AK1075">
        <v>0.31262149878407569</v>
      </c>
      <c r="AL1075">
        <v>0.30101420200643281</v>
      </c>
      <c r="AM1075">
        <v>0.29829623298867308</v>
      </c>
      <c r="AN1075">
        <v>0.24145426349553969</v>
      </c>
      <c r="AO1075">
        <v>0.31282117330798342</v>
      </c>
      <c r="AP1075">
        <v>0</v>
      </c>
      <c r="AQ1075">
        <v>0</v>
      </c>
      <c r="AR1075">
        <v>1.0060311774725604E-3</v>
      </c>
      <c r="AS1075">
        <v>4.6320510062710955E-3</v>
      </c>
      <c r="AT1075">
        <v>5.0576371794144046E-3</v>
      </c>
      <c r="AU1075">
        <v>2.1875117908598239E-3</v>
      </c>
      <c r="AV1075">
        <v>2.1096908378150526E-3</v>
      </c>
      <c r="AW1075">
        <v>3.4559366600659231E-3</v>
      </c>
      <c r="AX1075">
        <v>4.9927594476701362E-4</v>
      </c>
      <c r="AY1075">
        <v>5.1858162711818936E-4</v>
      </c>
      <c r="AZ1075">
        <v>0</v>
      </c>
      <c r="BA1075">
        <v>0</v>
      </c>
      <c r="BB1075">
        <v>5.6259418543607331E-2</v>
      </c>
      <c r="BC1075">
        <v>9.573170728745542E-2</v>
      </c>
      <c r="BD1075">
        <v>0</v>
      </c>
      <c r="BE1075">
        <v>73213.874242424426</v>
      </c>
      <c r="BF1075">
        <v>16.536342988082914</v>
      </c>
      <c r="BG1075">
        <v>74839.361515151686</v>
      </c>
      <c r="BH1075">
        <v>16.45938297521327</v>
      </c>
      <c r="BI1075">
        <v>-1112.6124242424266</v>
      </c>
      <c r="BJ1075">
        <v>0.13915831608745399</v>
      </c>
    </row>
    <row r="1076" spans="3:62" x14ac:dyDescent="0.2">
      <c r="C1076" s="121">
        <v>73508.174141414333</v>
      </c>
      <c r="D1076">
        <v>16.621748133227705</v>
      </c>
      <c r="E1076" s="121">
        <v>75141.275050505224</v>
      </c>
      <c r="F1076" s="121">
        <v>16.544521710878811</v>
      </c>
      <c r="G1076" s="121">
        <v>-1077.1480808080833</v>
      </c>
      <c r="H1076" s="121">
        <v>0.14185511039336415</v>
      </c>
      <c r="R1076">
        <v>310.410962335075</v>
      </c>
      <c r="S1076">
        <v>66.0843564556926</v>
      </c>
      <c r="T1076">
        <v>271.85015156518824</v>
      </c>
      <c r="U1076">
        <v>100.31847299558491</v>
      </c>
      <c r="V1076">
        <v>0</v>
      </c>
      <c r="W1076">
        <v>0</v>
      </c>
      <c r="X1076">
        <v>0.71857025469954183</v>
      </c>
      <c r="Y1076">
        <v>0.684796838869006</v>
      </c>
      <c r="Z1076">
        <v>0.70217271380808532</v>
      </c>
      <c r="AA1076">
        <v>0.67424510487036782</v>
      </c>
      <c r="AB1076">
        <v>0.71407073991701009</v>
      </c>
      <c r="AC1076">
        <v>0.64067144654713415</v>
      </c>
      <c r="AD1076">
        <v>0.69035348295001819</v>
      </c>
      <c r="AE1076">
        <v>0.7136382012013105</v>
      </c>
      <c r="AF1076">
        <v>0</v>
      </c>
      <c r="AG1076">
        <v>0</v>
      </c>
      <c r="AH1076">
        <v>0.28999525528187364</v>
      </c>
      <c r="AI1076">
        <v>0.31795185709006268</v>
      </c>
      <c r="AJ1076">
        <v>0.28290687527781255</v>
      </c>
      <c r="AK1076">
        <v>0.31806470121791208</v>
      </c>
      <c r="AL1076">
        <v>0.30620217846290798</v>
      </c>
      <c r="AM1076">
        <v>0.30349814459122465</v>
      </c>
      <c r="AN1076">
        <v>0.24566694196610969</v>
      </c>
      <c r="AO1076">
        <v>0.31828298461513149</v>
      </c>
      <c r="AP1076">
        <v>0</v>
      </c>
      <c r="AQ1076">
        <v>0</v>
      </c>
      <c r="AR1076">
        <v>1.012849564261937E-3</v>
      </c>
      <c r="AS1076">
        <v>4.6449834754997647E-3</v>
      </c>
      <c r="AT1076">
        <v>5.0706213290075746E-3</v>
      </c>
      <c r="AU1076">
        <v>2.1973876124466948E-3</v>
      </c>
      <c r="AV1076">
        <v>2.1181622906621912E-3</v>
      </c>
      <c r="AW1076">
        <v>3.4665049987000407E-3</v>
      </c>
      <c r="AX1076">
        <v>5.0375649021444787E-4</v>
      </c>
      <c r="AY1076">
        <v>5.2276165175447011E-4</v>
      </c>
      <c r="AZ1076">
        <v>0</v>
      </c>
      <c r="BA1076">
        <v>0</v>
      </c>
      <c r="BB1076">
        <v>5.6630271280253101E-2</v>
      </c>
      <c r="BC1076">
        <v>9.7349477223061726E-2</v>
      </c>
      <c r="BD1076">
        <v>0</v>
      </c>
      <c r="BE1076">
        <v>73508.174141414333</v>
      </c>
      <c r="BF1076">
        <v>16.621748133227705</v>
      </c>
      <c r="BG1076">
        <v>75141.275050505224</v>
      </c>
      <c r="BH1076">
        <v>16.544521710878811</v>
      </c>
      <c r="BI1076">
        <v>-1077.1480808080833</v>
      </c>
      <c r="BJ1076">
        <v>0.14185511039336415</v>
      </c>
    </row>
    <row r="1077" spans="3:62" x14ac:dyDescent="0.2">
      <c r="C1077" s="121">
        <v>73802.474040404239</v>
      </c>
      <c r="D1077">
        <v>16.707153278372495</v>
      </c>
      <c r="E1077" s="121">
        <v>75443.188585858763</v>
      </c>
      <c r="F1077" s="121">
        <v>16.629660446544353</v>
      </c>
      <c r="G1077" s="121">
        <v>-1041.6837373737399</v>
      </c>
      <c r="H1077" s="121">
        <v>0.14455190469927431</v>
      </c>
      <c r="R1077">
        <v>316.82137598116788</v>
      </c>
      <c r="S1077">
        <v>66.475305308592326</v>
      </c>
      <c r="T1077">
        <v>273.46738797163346</v>
      </c>
      <c r="U1077">
        <v>100.9799895431576</v>
      </c>
      <c r="V1077">
        <v>0</v>
      </c>
      <c r="W1077">
        <v>0</v>
      </c>
      <c r="X1077">
        <v>0.72508371337677135</v>
      </c>
      <c r="Y1077">
        <v>0.69224231337949416</v>
      </c>
      <c r="Z1077">
        <v>0.70921281136546332</v>
      </c>
      <c r="AA1077">
        <v>0.68169626203965494</v>
      </c>
      <c r="AB1077">
        <v>0.72074279604568681</v>
      </c>
      <c r="AC1077">
        <v>0.64915064518579868</v>
      </c>
      <c r="AD1077">
        <v>0.69757740669689172</v>
      </c>
      <c r="AE1077">
        <v>0.72034339714414708</v>
      </c>
      <c r="AF1077">
        <v>0</v>
      </c>
      <c r="AG1077">
        <v>0</v>
      </c>
      <c r="AH1077">
        <v>0.29497015601075766</v>
      </c>
      <c r="AI1077">
        <v>0.3234158930933998</v>
      </c>
      <c r="AJ1077">
        <v>0.2877664070045462</v>
      </c>
      <c r="AK1077">
        <v>0.32350790365174847</v>
      </c>
      <c r="AL1077">
        <v>0.31139015491938316</v>
      </c>
      <c r="AM1077">
        <v>0.30870005619377622</v>
      </c>
      <c r="AN1077">
        <v>0.24987962043667969</v>
      </c>
      <c r="AO1077">
        <v>0.32374479592227956</v>
      </c>
      <c r="AP1077">
        <v>0</v>
      </c>
      <c r="AQ1077">
        <v>0</v>
      </c>
      <c r="AR1077">
        <v>1.0196679510513136E-3</v>
      </c>
      <c r="AS1077">
        <v>4.6579159447284338E-3</v>
      </c>
      <c r="AT1077">
        <v>5.0836054786007447E-3</v>
      </c>
      <c r="AU1077">
        <v>2.2072634340335657E-3</v>
      </c>
      <c r="AV1077">
        <v>2.1266337435093298E-3</v>
      </c>
      <c r="AW1077">
        <v>3.4770733373341582E-3</v>
      </c>
      <c r="AX1077">
        <v>5.0823703566188212E-4</v>
      </c>
      <c r="AY1077">
        <v>5.2694167639075087E-4</v>
      </c>
      <c r="AZ1077">
        <v>0</v>
      </c>
      <c r="BA1077">
        <v>0</v>
      </c>
      <c r="BB1077">
        <v>5.7001124016898871E-2</v>
      </c>
      <c r="BC1077">
        <v>9.8967247158668031E-2</v>
      </c>
      <c r="BD1077">
        <v>0</v>
      </c>
      <c r="BE1077">
        <v>73802.474040404239</v>
      </c>
      <c r="BF1077">
        <v>16.707153278372495</v>
      </c>
      <c r="BG1077">
        <v>75443.188585858763</v>
      </c>
      <c r="BH1077">
        <v>16.629660446544353</v>
      </c>
      <c r="BI1077">
        <v>-1041.6837373737399</v>
      </c>
      <c r="BJ1077">
        <v>0.14455190469927431</v>
      </c>
    </row>
    <row r="1078" spans="3:62" x14ac:dyDescent="0.2">
      <c r="C1078" s="121">
        <v>74096.773939394145</v>
      </c>
      <c r="D1078">
        <v>16.792558423517285</v>
      </c>
      <c r="E1078" s="121">
        <v>75745.102121212301</v>
      </c>
      <c r="F1078" s="121">
        <v>16.714799182209894</v>
      </c>
      <c r="G1078" s="121">
        <v>-1006.2193939393965</v>
      </c>
      <c r="H1078" s="121">
        <v>0.14724869900518447</v>
      </c>
      <c r="R1078">
        <v>323.23178962726075</v>
      </c>
      <c r="S1078">
        <v>66.866254161492051</v>
      </c>
      <c r="T1078">
        <v>275.08462437807867</v>
      </c>
      <c r="U1078">
        <v>101.64150609073029</v>
      </c>
      <c r="V1078">
        <v>0</v>
      </c>
      <c r="W1078">
        <v>0</v>
      </c>
      <c r="X1078">
        <v>0.73159717205400088</v>
      </c>
      <c r="Y1078">
        <v>0.69968778788998232</v>
      </c>
      <c r="Z1078">
        <v>0.71625290892284132</v>
      </c>
      <c r="AA1078">
        <v>0.68914741920894207</v>
      </c>
      <c r="AB1078">
        <v>0.72741485217436352</v>
      </c>
      <c r="AC1078">
        <v>0.65762984382446321</v>
      </c>
      <c r="AD1078">
        <v>0.70480133044376525</v>
      </c>
      <c r="AE1078">
        <v>0.72704859308698366</v>
      </c>
      <c r="AF1078">
        <v>0</v>
      </c>
      <c r="AG1078">
        <v>0</v>
      </c>
      <c r="AH1078">
        <v>0.29994505673964167</v>
      </c>
      <c r="AI1078">
        <v>0.32887992909673691</v>
      </c>
      <c r="AJ1078">
        <v>0.29262593873127984</v>
      </c>
      <c r="AK1078">
        <v>0.32895110608558487</v>
      </c>
      <c r="AL1078">
        <v>0.31657813137585833</v>
      </c>
      <c r="AM1078">
        <v>0.31390196779632779</v>
      </c>
      <c r="AN1078">
        <v>0.25409229890724971</v>
      </c>
      <c r="AO1078">
        <v>0.32920660722942763</v>
      </c>
      <c r="AP1078">
        <v>0</v>
      </c>
      <c r="AQ1078">
        <v>0</v>
      </c>
      <c r="AR1078">
        <v>1.0264863378406902E-3</v>
      </c>
      <c r="AS1078">
        <v>4.670848413957103E-3</v>
      </c>
      <c r="AT1078">
        <v>5.0965896281939147E-3</v>
      </c>
      <c r="AU1078">
        <v>2.2171392556204366E-3</v>
      </c>
      <c r="AV1078">
        <v>2.1351051963564684E-3</v>
      </c>
      <c r="AW1078">
        <v>3.4876416759682758E-3</v>
      </c>
      <c r="AX1078">
        <v>5.1271758110931636E-4</v>
      </c>
      <c r="AY1078">
        <v>5.3112170102703163E-4</v>
      </c>
      <c r="AZ1078">
        <v>0</v>
      </c>
      <c r="BA1078">
        <v>0</v>
      </c>
      <c r="BB1078">
        <v>5.7371976753544641E-2</v>
      </c>
      <c r="BC1078">
        <v>0.10058501709427434</v>
      </c>
      <c r="BD1078">
        <v>0</v>
      </c>
      <c r="BE1078">
        <v>74096.773939394145</v>
      </c>
      <c r="BF1078">
        <v>16.792558423517285</v>
      </c>
      <c r="BG1078">
        <v>75745.102121212301</v>
      </c>
      <c r="BH1078">
        <v>16.714799182209894</v>
      </c>
      <c r="BI1078">
        <v>-1006.2193939393965</v>
      </c>
      <c r="BJ1078">
        <v>0.14724869900518447</v>
      </c>
    </row>
    <row r="1079" spans="3:62" x14ac:dyDescent="0.2">
      <c r="C1079" s="121">
        <v>74391.073838384051</v>
      </c>
      <c r="D1079">
        <v>16.877963568662075</v>
      </c>
      <c r="E1079" s="121">
        <v>76047.01565656584</v>
      </c>
      <c r="F1079" s="121">
        <v>16.799937917875436</v>
      </c>
      <c r="G1079" s="121">
        <v>-970.75505050505308</v>
      </c>
      <c r="H1079" s="121">
        <v>0.14994549331109464</v>
      </c>
      <c r="R1079">
        <v>329.64220327335363</v>
      </c>
      <c r="S1079">
        <v>67.257203014391777</v>
      </c>
      <c r="T1079">
        <v>276.70186078452389</v>
      </c>
      <c r="U1079">
        <v>102.30302263830298</v>
      </c>
      <c r="V1079">
        <v>0</v>
      </c>
      <c r="W1079">
        <v>0</v>
      </c>
      <c r="X1079">
        <v>0.7381106307312304</v>
      </c>
      <c r="Y1079">
        <v>0.70713326240047047</v>
      </c>
      <c r="Z1079">
        <v>0.72329300648021932</v>
      </c>
      <c r="AA1079">
        <v>0.6965985763782292</v>
      </c>
      <c r="AB1079">
        <v>0.73408690830304024</v>
      </c>
      <c r="AC1079">
        <v>0.66610904246312774</v>
      </c>
      <c r="AD1079">
        <v>0.71202525419063878</v>
      </c>
      <c r="AE1079">
        <v>0.73375378902982025</v>
      </c>
      <c r="AF1079">
        <v>0</v>
      </c>
      <c r="AG1079">
        <v>0</v>
      </c>
      <c r="AH1079">
        <v>0.30491995746852568</v>
      </c>
      <c r="AI1079">
        <v>0.33434396510007403</v>
      </c>
      <c r="AJ1079">
        <v>0.29748547045801349</v>
      </c>
      <c r="AK1079">
        <v>0.33439430851942126</v>
      </c>
      <c r="AL1079">
        <v>0.3217661078323335</v>
      </c>
      <c r="AM1079">
        <v>0.31910387939887935</v>
      </c>
      <c r="AN1079">
        <v>0.25830497737781971</v>
      </c>
      <c r="AO1079">
        <v>0.3346684185365757</v>
      </c>
      <c r="AP1079">
        <v>0</v>
      </c>
      <c r="AQ1079">
        <v>0</v>
      </c>
      <c r="AR1079">
        <v>1.0333047246300668E-3</v>
      </c>
      <c r="AS1079">
        <v>4.6837808831857721E-3</v>
      </c>
      <c r="AT1079">
        <v>5.1095737777870848E-3</v>
      </c>
      <c r="AU1079">
        <v>2.2270150772073075E-3</v>
      </c>
      <c r="AV1079">
        <v>2.143576649203607E-3</v>
      </c>
      <c r="AW1079">
        <v>3.4982100146023934E-3</v>
      </c>
      <c r="AX1079">
        <v>5.1719812655675061E-4</v>
      </c>
      <c r="AY1079">
        <v>5.3530172566331239E-4</v>
      </c>
      <c r="AZ1079">
        <v>0</v>
      </c>
      <c r="BA1079">
        <v>0</v>
      </c>
      <c r="BB1079">
        <v>5.7742829490190412E-2</v>
      </c>
      <c r="BC1079">
        <v>0.10220278702988064</v>
      </c>
      <c r="BD1079">
        <v>0</v>
      </c>
      <c r="BE1079">
        <v>74391.073838384051</v>
      </c>
      <c r="BF1079">
        <v>16.877963568662075</v>
      </c>
      <c r="BG1079">
        <v>76047.01565656584</v>
      </c>
      <c r="BH1079">
        <v>16.799937917875436</v>
      </c>
      <c r="BI1079">
        <v>-970.75505050505308</v>
      </c>
      <c r="BJ1079">
        <v>0.14994549331109464</v>
      </c>
    </row>
    <row r="1080" spans="3:62" x14ac:dyDescent="0.2">
      <c r="C1080" s="121">
        <v>74685.373737373957</v>
      </c>
      <c r="D1080">
        <v>16.963368713806865</v>
      </c>
      <c r="E1080" s="121">
        <v>76348.929191919378</v>
      </c>
      <c r="F1080" s="121">
        <v>16.885076653540978</v>
      </c>
      <c r="G1080" s="121">
        <v>-935.29070707070969</v>
      </c>
      <c r="H1080" s="121">
        <v>0.1526422876170048</v>
      </c>
      <c r="R1080">
        <v>336.05261691944651</v>
      </c>
      <c r="S1080">
        <v>67.648151867291503</v>
      </c>
      <c r="T1080">
        <v>278.3190971909691</v>
      </c>
      <c r="U1080">
        <v>102.96453918587567</v>
      </c>
      <c r="V1080">
        <v>0</v>
      </c>
      <c r="W1080">
        <v>0</v>
      </c>
      <c r="X1080">
        <v>0.74462408940845992</v>
      </c>
      <c r="Y1080">
        <v>0.71457873691095863</v>
      </c>
      <c r="Z1080">
        <v>0.73033310403759732</v>
      </c>
      <c r="AA1080">
        <v>0.70404973354751632</v>
      </c>
      <c r="AB1080">
        <v>0.74075896443171696</v>
      </c>
      <c r="AC1080">
        <v>0.67458824110179227</v>
      </c>
      <c r="AD1080">
        <v>0.71924917793751231</v>
      </c>
      <c r="AE1080">
        <v>0.74045898497265683</v>
      </c>
      <c r="AF1080">
        <v>0</v>
      </c>
      <c r="AG1080">
        <v>0</v>
      </c>
      <c r="AH1080">
        <v>0.30989485819740969</v>
      </c>
      <c r="AI1080">
        <v>0.33980800110341114</v>
      </c>
      <c r="AJ1080">
        <v>0.30234500218474714</v>
      </c>
      <c r="AK1080">
        <v>0.33983751095325765</v>
      </c>
      <c r="AL1080">
        <v>0.32695408428880868</v>
      </c>
      <c r="AM1080">
        <v>0.32430579100143092</v>
      </c>
      <c r="AN1080">
        <v>0.26251765584838971</v>
      </c>
      <c r="AO1080">
        <v>0.34013022984372376</v>
      </c>
      <c r="AP1080">
        <v>0</v>
      </c>
      <c r="AQ1080">
        <v>0</v>
      </c>
      <c r="AR1080">
        <v>1.0401231114194433E-3</v>
      </c>
      <c r="AS1080">
        <v>4.6967133524144413E-3</v>
      </c>
      <c r="AT1080">
        <v>5.1225579273802549E-3</v>
      </c>
      <c r="AU1080">
        <v>2.2368908987941785E-3</v>
      </c>
      <c r="AV1080">
        <v>2.1520481020507456E-3</v>
      </c>
      <c r="AW1080">
        <v>3.5087783532365109E-3</v>
      </c>
      <c r="AX1080">
        <v>5.2167867200418486E-4</v>
      </c>
      <c r="AY1080">
        <v>5.3948175029959315E-4</v>
      </c>
      <c r="AZ1080">
        <v>0</v>
      </c>
      <c r="BA1080">
        <v>0</v>
      </c>
      <c r="BB1080">
        <v>5.8113682226836182E-2</v>
      </c>
      <c r="BC1080">
        <v>0.10382055696548695</v>
      </c>
      <c r="BD1080">
        <v>0</v>
      </c>
      <c r="BE1080">
        <v>74685.373737373957</v>
      </c>
      <c r="BF1080">
        <v>16.963368713806865</v>
      </c>
      <c r="BG1080">
        <v>76348.929191919378</v>
      </c>
      <c r="BH1080">
        <v>16.885076653540978</v>
      </c>
      <c r="BI1080">
        <v>-935.29070707070969</v>
      </c>
      <c r="BJ1080">
        <v>0.1526422876170048</v>
      </c>
    </row>
    <row r="1081" spans="3:62" x14ac:dyDescent="0.2">
      <c r="C1081" s="121">
        <v>74979.673636363863</v>
      </c>
      <c r="D1081">
        <v>17.048773858951655</v>
      </c>
      <c r="E1081" s="121">
        <v>76650.842727272917</v>
      </c>
      <c r="F1081" s="121">
        <v>16.970215389206519</v>
      </c>
      <c r="G1081" s="121">
        <v>-899.8263636363663</v>
      </c>
      <c r="H1081" s="121">
        <v>0.15533908192291496</v>
      </c>
      <c r="R1081">
        <v>342.46303056553938</v>
      </c>
      <c r="S1081">
        <v>68.039100720191229</v>
      </c>
      <c r="T1081">
        <v>279.93633359741432</v>
      </c>
      <c r="U1081">
        <v>103.62605573344835</v>
      </c>
      <c r="V1081">
        <v>0</v>
      </c>
      <c r="W1081">
        <v>0</v>
      </c>
      <c r="X1081">
        <v>0.75113754808568944</v>
      </c>
      <c r="Y1081">
        <v>0.72202421142144679</v>
      </c>
      <c r="Z1081">
        <v>0.73737320159497532</v>
      </c>
      <c r="AA1081">
        <v>0.71150089071680345</v>
      </c>
      <c r="AB1081">
        <v>0.74743102056039368</v>
      </c>
      <c r="AC1081">
        <v>0.68306743974045681</v>
      </c>
      <c r="AD1081">
        <v>0.72647310168438584</v>
      </c>
      <c r="AE1081">
        <v>0.74716418091549341</v>
      </c>
      <c r="AF1081">
        <v>0</v>
      </c>
      <c r="AG1081">
        <v>0</v>
      </c>
      <c r="AH1081">
        <v>0.31486975892629371</v>
      </c>
      <c r="AI1081">
        <v>0.34527203710674825</v>
      </c>
      <c r="AJ1081">
        <v>0.30720453391148078</v>
      </c>
      <c r="AK1081">
        <v>0.34528071338709404</v>
      </c>
      <c r="AL1081">
        <v>0.33214206074528385</v>
      </c>
      <c r="AM1081">
        <v>0.32950770260398249</v>
      </c>
      <c r="AN1081">
        <v>0.26673033431895971</v>
      </c>
      <c r="AO1081">
        <v>0.34559204115087183</v>
      </c>
      <c r="AP1081">
        <v>0</v>
      </c>
      <c r="AQ1081">
        <v>0</v>
      </c>
      <c r="AR1081">
        <v>1.0469414982088199E-3</v>
      </c>
      <c r="AS1081">
        <v>4.7096458216431105E-3</v>
      </c>
      <c r="AT1081">
        <v>5.1355420769734249E-3</v>
      </c>
      <c r="AU1081">
        <v>2.2467667203810494E-3</v>
      </c>
      <c r="AV1081">
        <v>2.1605195548978842E-3</v>
      </c>
      <c r="AW1081">
        <v>3.5193466918706285E-3</v>
      </c>
      <c r="AX1081">
        <v>5.261592174516191E-4</v>
      </c>
      <c r="AY1081">
        <v>5.436617749358739E-4</v>
      </c>
      <c r="AZ1081">
        <v>0</v>
      </c>
      <c r="BA1081">
        <v>0</v>
      </c>
      <c r="BB1081">
        <v>5.8484534963481952E-2</v>
      </c>
      <c r="BC1081">
        <v>0.10543832690109325</v>
      </c>
      <c r="BD1081">
        <v>0</v>
      </c>
      <c r="BE1081">
        <v>74979.673636363863</v>
      </c>
      <c r="BF1081">
        <v>17.048773858951655</v>
      </c>
      <c r="BG1081">
        <v>76650.842727272917</v>
      </c>
      <c r="BH1081">
        <v>16.970215389206519</v>
      </c>
      <c r="BI1081">
        <v>-899.8263636363663</v>
      </c>
      <c r="BJ1081">
        <v>0.15533908192291496</v>
      </c>
    </row>
    <row r="1082" spans="3:62" x14ac:dyDescent="0.2">
      <c r="C1082" s="121">
        <v>75273.973535353769</v>
      </c>
      <c r="D1082">
        <v>17.134179004096445</v>
      </c>
      <c r="E1082" s="121">
        <v>76952.756262626455</v>
      </c>
      <c r="F1082" s="121">
        <v>17.055354124872061</v>
      </c>
      <c r="G1082" s="121">
        <v>-864.3620202020229</v>
      </c>
      <c r="H1082" s="121">
        <v>0.15803587622882512</v>
      </c>
      <c r="R1082">
        <v>348.87344421163226</v>
      </c>
      <c r="S1082">
        <v>68.430049573090955</v>
      </c>
      <c r="T1082">
        <v>281.55357000385953</v>
      </c>
      <c r="U1082">
        <v>104.28757228102104</v>
      </c>
      <c r="V1082">
        <v>0</v>
      </c>
      <c r="W1082">
        <v>0</v>
      </c>
      <c r="X1082">
        <v>0.75765100676291897</v>
      </c>
      <c r="Y1082">
        <v>0.72946968593193495</v>
      </c>
      <c r="Z1082">
        <v>0.74441329915235332</v>
      </c>
      <c r="AA1082">
        <v>0.71895204788609057</v>
      </c>
      <c r="AB1082">
        <v>0.7541030766890704</v>
      </c>
      <c r="AC1082">
        <v>0.69154663837912134</v>
      </c>
      <c r="AD1082">
        <v>0.73369702543125936</v>
      </c>
      <c r="AE1082">
        <v>0.75386937685833</v>
      </c>
      <c r="AF1082">
        <v>0</v>
      </c>
      <c r="AG1082">
        <v>0</v>
      </c>
      <c r="AH1082">
        <v>0.31984465965517772</v>
      </c>
      <c r="AI1082">
        <v>0.35073607311008537</v>
      </c>
      <c r="AJ1082">
        <v>0.31206406563821443</v>
      </c>
      <c r="AK1082">
        <v>0.35072391582093043</v>
      </c>
      <c r="AL1082">
        <v>0.33733003720175903</v>
      </c>
      <c r="AM1082">
        <v>0.33470961420653406</v>
      </c>
      <c r="AN1082">
        <v>0.2709430127895297</v>
      </c>
      <c r="AO1082">
        <v>0.3510538524580199</v>
      </c>
      <c r="AP1082">
        <v>0</v>
      </c>
      <c r="AQ1082">
        <v>0</v>
      </c>
      <c r="AR1082">
        <v>1.0537598849981965E-3</v>
      </c>
      <c r="AS1082">
        <v>4.7225782908717796E-3</v>
      </c>
      <c r="AT1082">
        <v>5.148526226566595E-3</v>
      </c>
      <c r="AU1082">
        <v>2.2566425419679203E-3</v>
      </c>
      <c r="AV1082">
        <v>2.1689910077450228E-3</v>
      </c>
      <c r="AW1082">
        <v>3.5299150305047461E-3</v>
      </c>
      <c r="AX1082">
        <v>5.3063976289905335E-4</v>
      </c>
      <c r="AY1082">
        <v>5.4784179957215466E-4</v>
      </c>
      <c r="AZ1082">
        <v>0</v>
      </c>
      <c r="BA1082">
        <v>0</v>
      </c>
      <c r="BB1082">
        <v>5.8855387700127722E-2</v>
      </c>
      <c r="BC1082">
        <v>0.10705609683669956</v>
      </c>
      <c r="BD1082">
        <v>0</v>
      </c>
      <c r="BE1082">
        <v>75273.973535353769</v>
      </c>
      <c r="BF1082">
        <v>17.134179004096445</v>
      </c>
      <c r="BG1082">
        <v>76952.756262626455</v>
      </c>
      <c r="BH1082">
        <v>17.055354124872061</v>
      </c>
      <c r="BI1082">
        <v>-864.3620202020229</v>
      </c>
      <c r="BJ1082">
        <v>0.15803587622882512</v>
      </c>
    </row>
    <row r="1083" spans="3:62" x14ac:dyDescent="0.2">
      <c r="C1083" s="121">
        <v>75568.273434343675</v>
      </c>
      <c r="D1083">
        <v>17.219584149241236</v>
      </c>
      <c r="E1083" s="121">
        <v>77254.669797979994</v>
      </c>
      <c r="F1083" s="121">
        <v>17.140492860537602</v>
      </c>
      <c r="G1083" s="121">
        <v>-828.89767676767951</v>
      </c>
      <c r="H1083" s="121">
        <v>0.16073267053473528</v>
      </c>
      <c r="R1083">
        <v>355.28385785772514</v>
      </c>
      <c r="S1083">
        <v>68.82099842599068</v>
      </c>
      <c r="T1083">
        <v>283.17080641030475</v>
      </c>
      <c r="U1083">
        <v>104.94908882859373</v>
      </c>
      <c r="V1083">
        <v>0</v>
      </c>
      <c r="W1083">
        <v>0</v>
      </c>
      <c r="X1083">
        <v>0.76416446544014849</v>
      </c>
      <c r="Y1083">
        <v>0.73691516044242311</v>
      </c>
      <c r="Z1083">
        <v>0.75145339670973132</v>
      </c>
      <c r="AA1083">
        <v>0.7264032050553777</v>
      </c>
      <c r="AB1083">
        <v>0.76077513281774711</v>
      </c>
      <c r="AC1083">
        <v>0.70002583701778587</v>
      </c>
      <c r="AD1083">
        <v>0.74092094917813289</v>
      </c>
      <c r="AE1083">
        <v>0.76057457280116658</v>
      </c>
      <c r="AF1083">
        <v>0</v>
      </c>
      <c r="AG1083">
        <v>0</v>
      </c>
      <c r="AH1083">
        <v>0.32481956038406173</v>
      </c>
      <c r="AI1083">
        <v>0.35620010911342248</v>
      </c>
      <c r="AJ1083">
        <v>0.31692359736494807</v>
      </c>
      <c r="AK1083">
        <v>0.35616711825476682</v>
      </c>
      <c r="AL1083">
        <v>0.3425180136582342</v>
      </c>
      <c r="AM1083">
        <v>0.33991152580908562</v>
      </c>
      <c r="AN1083">
        <v>0.2751556912600997</v>
      </c>
      <c r="AO1083">
        <v>0.35651566376516797</v>
      </c>
      <c r="AP1083">
        <v>0</v>
      </c>
      <c r="AQ1083">
        <v>0</v>
      </c>
      <c r="AR1083">
        <v>1.0605782717875731E-3</v>
      </c>
      <c r="AS1083">
        <v>4.7355107601004488E-3</v>
      </c>
      <c r="AT1083">
        <v>5.161510376159765E-3</v>
      </c>
      <c r="AU1083">
        <v>2.2665183635547912E-3</v>
      </c>
      <c r="AV1083">
        <v>2.1774624605921614E-3</v>
      </c>
      <c r="AW1083">
        <v>3.5404833691388637E-3</v>
      </c>
      <c r="AX1083">
        <v>5.351203083464876E-4</v>
      </c>
      <c r="AY1083">
        <v>5.5202182420843542E-4</v>
      </c>
      <c r="AZ1083">
        <v>0</v>
      </c>
      <c r="BA1083">
        <v>0</v>
      </c>
      <c r="BB1083">
        <v>5.9226240436773492E-2</v>
      </c>
      <c r="BC1083">
        <v>0.10867386677230587</v>
      </c>
      <c r="BD1083">
        <v>0</v>
      </c>
      <c r="BE1083">
        <v>75568.273434343675</v>
      </c>
      <c r="BF1083">
        <v>17.219584149241236</v>
      </c>
      <c r="BG1083">
        <v>77254.669797979994</v>
      </c>
      <c r="BH1083">
        <v>17.140492860537602</v>
      </c>
      <c r="BI1083">
        <v>-828.89767676767951</v>
      </c>
      <c r="BJ1083">
        <v>0.16073267053473528</v>
      </c>
    </row>
    <row r="1084" spans="3:62" x14ac:dyDescent="0.2">
      <c r="C1084" s="121">
        <v>75862.573333333581</v>
      </c>
      <c r="D1084">
        <v>17.304989294386026</v>
      </c>
      <c r="E1084" s="121">
        <v>77556.583333333532</v>
      </c>
      <c r="F1084" s="121">
        <v>17.225631596203144</v>
      </c>
      <c r="G1084" s="121">
        <v>-793.43333333333612</v>
      </c>
      <c r="H1084" s="121">
        <v>0.16342946484064544</v>
      </c>
      <c r="R1084">
        <v>361.69427150381802</v>
      </c>
      <c r="S1084">
        <v>69.211947278890406</v>
      </c>
      <c r="T1084">
        <v>284.78804281674996</v>
      </c>
      <c r="U1084">
        <v>105.61060537616642</v>
      </c>
      <c r="V1084">
        <v>0</v>
      </c>
      <c r="W1084">
        <v>0</v>
      </c>
      <c r="X1084">
        <v>0.77067792411737801</v>
      </c>
      <c r="Y1084">
        <v>0.74436063495291127</v>
      </c>
      <c r="Z1084">
        <v>0.75849349426710932</v>
      </c>
      <c r="AA1084">
        <v>0.73385436222466482</v>
      </c>
      <c r="AB1084">
        <v>0.76744718894642383</v>
      </c>
      <c r="AC1084">
        <v>0.7085050356564504</v>
      </c>
      <c r="AD1084">
        <v>0.74814487292500642</v>
      </c>
      <c r="AE1084">
        <v>0.76727976874400317</v>
      </c>
      <c r="AF1084">
        <v>0</v>
      </c>
      <c r="AG1084">
        <v>0</v>
      </c>
      <c r="AH1084">
        <v>0.32979446111294575</v>
      </c>
      <c r="AI1084">
        <v>0.36166414511675959</v>
      </c>
      <c r="AJ1084">
        <v>0.32178312909168172</v>
      </c>
      <c r="AK1084">
        <v>0.36161032068860322</v>
      </c>
      <c r="AL1084">
        <v>0.34770599011470937</v>
      </c>
      <c r="AM1084">
        <v>0.34511343741163719</v>
      </c>
      <c r="AN1084">
        <v>0.2793683697306697</v>
      </c>
      <c r="AO1084">
        <v>0.36197747507231604</v>
      </c>
      <c r="AP1084">
        <v>0</v>
      </c>
      <c r="AQ1084">
        <v>0</v>
      </c>
      <c r="AR1084">
        <v>1.0673966585769497E-3</v>
      </c>
      <c r="AS1084">
        <v>4.748443229329118E-3</v>
      </c>
      <c r="AT1084">
        <v>5.1744945257529351E-3</v>
      </c>
      <c r="AU1084">
        <v>2.2763941851416621E-3</v>
      </c>
      <c r="AV1084">
        <v>2.1859339134393E-3</v>
      </c>
      <c r="AW1084">
        <v>3.5510517077729812E-3</v>
      </c>
      <c r="AX1084">
        <v>5.3960085379392184E-4</v>
      </c>
      <c r="AY1084">
        <v>5.5620184884471618E-4</v>
      </c>
      <c r="AZ1084">
        <v>0</v>
      </c>
      <c r="BA1084">
        <v>0</v>
      </c>
      <c r="BB1084">
        <v>5.9597093173419262E-2</v>
      </c>
      <c r="BC1084">
        <v>0.11029163670791217</v>
      </c>
      <c r="BD1084">
        <v>0</v>
      </c>
      <c r="BE1084">
        <v>75862.573333333581</v>
      </c>
      <c r="BF1084">
        <v>17.304989294386026</v>
      </c>
      <c r="BG1084">
        <v>77556.583333333532</v>
      </c>
      <c r="BH1084">
        <v>17.225631596203144</v>
      </c>
      <c r="BI1084">
        <v>-793.43333333333612</v>
      </c>
      <c r="BJ1084">
        <v>0.16342946484064544</v>
      </c>
    </row>
    <row r="1085" spans="3:62" x14ac:dyDescent="0.2">
      <c r="C1085" s="121">
        <v>76156.873232323487</v>
      </c>
      <c r="D1085">
        <v>17.390394439530816</v>
      </c>
      <c r="E1085" s="121">
        <v>77858.496868687071</v>
      </c>
      <c r="F1085" s="121">
        <v>17.310770331868685</v>
      </c>
      <c r="G1085" s="121">
        <v>-757.96898989899273</v>
      </c>
      <c r="H1085" s="121">
        <v>0.1661262591465556</v>
      </c>
      <c r="R1085">
        <v>368.10468514991089</v>
      </c>
      <c r="S1085">
        <v>69.602896131790132</v>
      </c>
      <c r="T1085">
        <v>286.40527922319518</v>
      </c>
      <c r="U1085">
        <v>106.27212192373911</v>
      </c>
      <c r="V1085">
        <v>0</v>
      </c>
      <c r="W1085">
        <v>0</v>
      </c>
      <c r="X1085">
        <v>0.77719138279460753</v>
      </c>
      <c r="Y1085">
        <v>0.75180610946339943</v>
      </c>
      <c r="Z1085">
        <v>0.76553359182448733</v>
      </c>
      <c r="AA1085">
        <v>0.74130551939395195</v>
      </c>
      <c r="AB1085">
        <v>0.77411924507510055</v>
      </c>
      <c r="AC1085">
        <v>0.71698423429511493</v>
      </c>
      <c r="AD1085">
        <v>0.75536879667187995</v>
      </c>
      <c r="AE1085">
        <v>0.77398496468683975</v>
      </c>
      <c r="AF1085">
        <v>0</v>
      </c>
      <c r="AG1085">
        <v>0</v>
      </c>
      <c r="AH1085">
        <v>0.33476936184182976</v>
      </c>
      <c r="AI1085">
        <v>0.36712818112009671</v>
      </c>
      <c r="AJ1085">
        <v>0.32664266081841536</v>
      </c>
      <c r="AK1085">
        <v>0.36705352312243961</v>
      </c>
      <c r="AL1085">
        <v>0.35289396657118455</v>
      </c>
      <c r="AM1085">
        <v>0.35031534901418876</v>
      </c>
      <c r="AN1085">
        <v>0.28358104820123969</v>
      </c>
      <c r="AO1085">
        <v>0.3674392863794641</v>
      </c>
      <c r="AP1085">
        <v>0</v>
      </c>
      <c r="AQ1085">
        <v>0</v>
      </c>
      <c r="AR1085">
        <v>1.0742150453663263E-3</v>
      </c>
      <c r="AS1085">
        <v>4.7613756985577871E-3</v>
      </c>
      <c r="AT1085">
        <v>5.1874786753461051E-3</v>
      </c>
      <c r="AU1085">
        <v>2.2862700067285331E-3</v>
      </c>
      <c r="AV1085">
        <v>2.1944053662864386E-3</v>
      </c>
      <c r="AW1085">
        <v>3.5616200464070988E-3</v>
      </c>
      <c r="AX1085">
        <v>5.4408139924135609E-4</v>
      </c>
      <c r="AY1085">
        <v>5.6038187348099694E-4</v>
      </c>
      <c r="AZ1085">
        <v>0</v>
      </c>
      <c r="BA1085">
        <v>0</v>
      </c>
      <c r="BB1085">
        <v>5.9967945910065032E-2</v>
      </c>
      <c r="BC1085">
        <v>0.11190940664351848</v>
      </c>
      <c r="BD1085">
        <v>0</v>
      </c>
      <c r="BE1085">
        <v>76156.873232323487</v>
      </c>
      <c r="BF1085">
        <v>17.390394439530816</v>
      </c>
      <c r="BG1085">
        <v>77858.496868687071</v>
      </c>
      <c r="BH1085">
        <v>17.310770331868685</v>
      </c>
      <c r="BI1085">
        <v>-757.96898989899273</v>
      </c>
      <c r="BJ1085">
        <v>0.1661262591465556</v>
      </c>
    </row>
    <row r="1086" spans="3:62" x14ac:dyDescent="0.2">
      <c r="C1086" s="121">
        <v>76451.173131313393</v>
      </c>
      <c r="D1086">
        <v>17.475799584675606</v>
      </c>
      <c r="E1086" s="121">
        <v>78160.410404040609</v>
      </c>
      <c r="F1086" s="121">
        <v>17.395909067534227</v>
      </c>
      <c r="G1086" s="121">
        <v>-722.50464646464934</v>
      </c>
      <c r="H1086" s="121">
        <v>0.16882305345246576</v>
      </c>
      <c r="R1086">
        <v>374.51509879600377</v>
      </c>
      <c r="S1086">
        <v>69.993844984689858</v>
      </c>
      <c r="T1086">
        <v>288.0225156296404</v>
      </c>
      <c r="U1086">
        <v>106.9336384713118</v>
      </c>
      <c r="V1086">
        <v>0</v>
      </c>
      <c r="W1086">
        <v>0</v>
      </c>
      <c r="X1086">
        <v>0.78370484147183705</v>
      </c>
      <c r="Y1086">
        <v>0.75925158397388759</v>
      </c>
      <c r="Z1086">
        <v>0.77257368938186533</v>
      </c>
      <c r="AA1086">
        <v>0.74875667656323908</v>
      </c>
      <c r="AB1086">
        <v>0.78079130120377727</v>
      </c>
      <c r="AC1086">
        <v>0.72546343293377946</v>
      </c>
      <c r="AD1086">
        <v>0.76259272041875348</v>
      </c>
      <c r="AE1086">
        <v>0.78069016062967633</v>
      </c>
      <c r="AF1086">
        <v>0</v>
      </c>
      <c r="AG1086">
        <v>0</v>
      </c>
      <c r="AH1086">
        <v>0.33974426257071377</v>
      </c>
      <c r="AI1086">
        <v>0.37259221712343382</v>
      </c>
      <c r="AJ1086">
        <v>0.33150219254514901</v>
      </c>
      <c r="AK1086">
        <v>0.372496725556276</v>
      </c>
      <c r="AL1086">
        <v>0.35808194302765972</v>
      </c>
      <c r="AM1086">
        <v>0.35551726061674033</v>
      </c>
      <c r="AN1086">
        <v>0.28779372667180969</v>
      </c>
      <c r="AO1086">
        <v>0.37290109768661217</v>
      </c>
      <c r="AP1086">
        <v>0</v>
      </c>
      <c r="AQ1086">
        <v>0</v>
      </c>
      <c r="AR1086">
        <v>1.0810334321557028E-3</v>
      </c>
      <c r="AS1086">
        <v>4.7743081677864563E-3</v>
      </c>
      <c r="AT1086">
        <v>5.2004628249392752E-3</v>
      </c>
      <c r="AU1086">
        <v>2.296145828315404E-3</v>
      </c>
      <c r="AV1086">
        <v>2.2028768191335773E-3</v>
      </c>
      <c r="AW1086">
        <v>3.5721883850412164E-3</v>
      </c>
      <c r="AX1086">
        <v>5.4856194468879034E-4</v>
      </c>
      <c r="AY1086">
        <v>5.645618981172777E-4</v>
      </c>
      <c r="AZ1086">
        <v>0</v>
      </c>
      <c r="BA1086">
        <v>0</v>
      </c>
      <c r="BB1086">
        <v>6.0338798646710802E-2</v>
      </c>
      <c r="BC1086">
        <v>0.11352717657912478</v>
      </c>
      <c r="BD1086">
        <v>0</v>
      </c>
      <c r="BE1086">
        <v>76451.173131313393</v>
      </c>
      <c r="BF1086">
        <v>17.475799584675606</v>
      </c>
      <c r="BG1086">
        <v>78160.410404040609</v>
      </c>
      <c r="BH1086">
        <v>17.395909067534227</v>
      </c>
      <c r="BI1086">
        <v>-722.50464646464934</v>
      </c>
      <c r="BJ1086">
        <v>0.16882305345246576</v>
      </c>
    </row>
    <row r="1087" spans="3:62" x14ac:dyDescent="0.2">
      <c r="C1087" s="121">
        <v>76745.473030303299</v>
      </c>
      <c r="D1087">
        <v>17.561204729820396</v>
      </c>
      <c r="E1087" s="121">
        <v>78462.323939394148</v>
      </c>
      <c r="F1087" s="121">
        <v>17.481047803199768</v>
      </c>
      <c r="G1087" s="121">
        <v>-687.04030303030595</v>
      </c>
      <c r="H1087" s="121">
        <v>0.17151984775837592</v>
      </c>
      <c r="R1087">
        <v>380.92551244209665</v>
      </c>
      <c r="S1087">
        <v>70.384793837589584</v>
      </c>
      <c r="T1087">
        <v>289.63975203608561</v>
      </c>
      <c r="U1087">
        <v>107.59515501888448</v>
      </c>
      <c r="V1087">
        <v>0</v>
      </c>
      <c r="W1087">
        <v>0</v>
      </c>
      <c r="X1087">
        <v>0.79021830014906658</v>
      </c>
      <c r="Y1087">
        <v>0.76669705848437575</v>
      </c>
      <c r="Z1087">
        <v>0.77961378693924333</v>
      </c>
      <c r="AA1087">
        <v>0.7562078337325262</v>
      </c>
      <c r="AB1087">
        <v>0.78746335733245398</v>
      </c>
      <c r="AC1087">
        <v>0.73394263157244399</v>
      </c>
      <c r="AD1087">
        <v>0.76981664416562701</v>
      </c>
      <c r="AE1087">
        <v>0.78739535657251292</v>
      </c>
      <c r="AF1087">
        <v>0</v>
      </c>
      <c r="AG1087">
        <v>0</v>
      </c>
      <c r="AH1087">
        <v>0.34471916329959779</v>
      </c>
      <c r="AI1087">
        <v>0.37805625312677094</v>
      </c>
      <c r="AJ1087">
        <v>0.33636172427188266</v>
      </c>
      <c r="AK1087">
        <v>0.37793992799011239</v>
      </c>
      <c r="AL1087">
        <v>0.3632699194841349</v>
      </c>
      <c r="AM1087">
        <v>0.36071917221929189</v>
      </c>
      <c r="AN1087">
        <v>0.29200640514237969</v>
      </c>
      <c r="AO1087">
        <v>0.37836290899376024</v>
      </c>
      <c r="AP1087">
        <v>0</v>
      </c>
      <c r="AQ1087">
        <v>0</v>
      </c>
      <c r="AR1087">
        <v>1.0878518189450794E-3</v>
      </c>
      <c r="AS1087">
        <v>4.7872406370151254E-3</v>
      </c>
      <c r="AT1087">
        <v>5.2134469745324452E-3</v>
      </c>
      <c r="AU1087">
        <v>2.3060216499022749E-3</v>
      </c>
      <c r="AV1087">
        <v>2.2113482719807159E-3</v>
      </c>
      <c r="AW1087">
        <v>3.5827567236753339E-3</v>
      </c>
      <c r="AX1087">
        <v>5.5304249013622458E-4</v>
      </c>
      <c r="AY1087">
        <v>5.6874192275355845E-4</v>
      </c>
      <c r="AZ1087">
        <v>0</v>
      </c>
      <c r="BA1087">
        <v>0</v>
      </c>
      <c r="BB1087">
        <v>6.0709651383356572E-2</v>
      </c>
      <c r="BC1087">
        <v>0.11514494651473109</v>
      </c>
      <c r="BD1087">
        <v>0</v>
      </c>
      <c r="BE1087">
        <v>76745.473030303299</v>
      </c>
      <c r="BF1087">
        <v>17.561204729820396</v>
      </c>
      <c r="BG1087">
        <v>78462.323939394148</v>
      </c>
      <c r="BH1087">
        <v>17.481047803199768</v>
      </c>
      <c r="BI1087">
        <v>-687.04030303030595</v>
      </c>
      <c r="BJ1087">
        <v>0.17151984775837592</v>
      </c>
    </row>
    <row r="1088" spans="3:62" x14ac:dyDescent="0.2">
      <c r="C1088" s="121">
        <v>77039.772929293205</v>
      </c>
      <c r="D1088">
        <v>17.646609874965186</v>
      </c>
      <c r="E1088" s="121">
        <v>78764.237474747686</v>
      </c>
      <c r="F1088" s="121">
        <v>17.56618653886531</v>
      </c>
      <c r="G1088" s="121">
        <v>-651.57595959596256</v>
      </c>
      <c r="H1088" s="121">
        <v>0.17421664206428608</v>
      </c>
      <c r="R1088">
        <v>387.33592608818952</v>
      </c>
      <c r="S1088">
        <v>70.775742690489309</v>
      </c>
      <c r="T1088">
        <v>291.25698844253083</v>
      </c>
      <c r="U1088">
        <v>108.25667156645717</v>
      </c>
      <c r="V1088">
        <v>0</v>
      </c>
      <c r="W1088">
        <v>0</v>
      </c>
      <c r="X1088">
        <v>0.7967317588262961</v>
      </c>
      <c r="Y1088">
        <v>0.77414253299486391</v>
      </c>
      <c r="Z1088">
        <v>0.78665388449662133</v>
      </c>
      <c r="AA1088">
        <v>0.76365899090181333</v>
      </c>
      <c r="AB1088">
        <v>0.7941354134611307</v>
      </c>
      <c r="AC1088">
        <v>0.74242183021110852</v>
      </c>
      <c r="AD1088">
        <v>0.77704056791250053</v>
      </c>
      <c r="AE1088">
        <v>0.7941005525153495</v>
      </c>
      <c r="AF1088">
        <v>0</v>
      </c>
      <c r="AG1088">
        <v>0</v>
      </c>
      <c r="AH1088">
        <v>0.3496940640284818</v>
      </c>
      <c r="AI1088">
        <v>0.38352028913010805</v>
      </c>
      <c r="AJ1088">
        <v>0.3412212559986163</v>
      </c>
      <c r="AK1088">
        <v>0.38338313042394878</v>
      </c>
      <c r="AL1088">
        <v>0.36845789594061007</v>
      </c>
      <c r="AM1088">
        <v>0.36592108382184346</v>
      </c>
      <c r="AN1088">
        <v>0.29621908361294969</v>
      </c>
      <c r="AO1088">
        <v>0.38382472030090831</v>
      </c>
      <c r="AP1088">
        <v>0</v>
      </c>
      <c r="AQ1088">
        <v>0</v>
      </c>
      <c r="AR1088">
        <v>1.094670205734456E-3</v>
      </c>
      <c r="AS1088">
        <v>4.8001731062437946E-3</v>
      </c>
      <c r="AT1088">
        <v>5.2264311241256153E-3</v>
      </c>
      <c r="AU1088">
        <v>2.3158974714891458E-3</v>
      </c>
      <c r="AV1088">
        <v>2.2198197248278545E-3</v>
      </c>
      <c r="AW1088">
        <v>3.5933250623094515E-3</v>
      </c>
      <c r="AX1088">
        <v>5.5752303558365883E-4</v>
      </c>
      <c r="AY1088">
        <v>5.7292194738983921E-4</v>
      </c>
      <c r="AZ1088">
        <v>0</v>
      </c>
      <c r="BA1088">
        <v>0</v>
      </c>
      <c r="BB1088">
        <v>6.1080504120002342E-2</v>
      </c>
      <c r="BC1088">
        <v>0.11676271645033739</v>
      </c>
      <c r="BD1088">
        <v>0</v>
      </c>
      <c r="BE1088">
        <v>77039.772929293205</v>
      </c>
      <c r="BF1088">
        <v>17.646609874965186</v>
      </c>
      <c r="BG1088">
        <v>78764.237474747686</v>
      </c>
      <c r="BH1088">
        <v>17.56618653886531</v>
      </c>
      <c r="BI1088">
        <v>-651.57595959596256</v>
      </c>
      <c r="BJ1088">
        <v>0.17421664206428608</v>
      </c>
    </row>
    <row r="1089" spans="3:62" x14ac:dyDescent="0.2">
      <c r="C1089" s="121">
        <v>77334.072828283111</v>
      </c>
      <c r="D1089">
        <v>17.732015020109976</v>
      </c>
      <c r="E1089" s="121">
        <v>79066.151010101225</v>
      </c>
      <c r="F1089" s="121">
        <v>17.651325274530851</v>
      </c>
      <c r="G1089" s="121">
        <v>-616.11161616161917</v>
      </c>
      <c r="H1089" s="121">
        <v>0.17691343637019624</v>
      </c>
      <c r="R1089">
        <v>393.7463397342824</v>
      </c>
      <c r="S1089">
        <v>71.166691543389035</v>
      </c>
      <c r="T1089">
        <v>292.87422484897604</v>
      </c>
      <c r="U1089">
        <v>108.91818811402986</v>
      </c>
      <c r="V1089">
        <v>0</v>
      </c>
      <c r="W1089">
        <v>0</v>
      </c>
      <c r="X1089">
        <v>0.80324521750352562</v>
      </c>
      <c r="Y1089">
        <v>0.78158800750535207</v>
      </c>
      <c r="Z1089">
        <v>0.79369398205399933</v>
      </c>
      <c r="AA1089">
        <v>0.77111014807110045</v>
      </c>
      <c r="AB1089">
        <v>0.80080746958980742</v>
      </c>
      <c r="AC1089">
        <v>0.75090102884977306</v>
      </c>
      <c r="AD1089">
        <v>0.78426449165937406</v>
      </c>
      <c r="AE1089">
        <v>0.80080574845818608</v>
      </c>
      <c r="AF1089">
        <v>0</v>
      </c>
      <c r="AG1089">
        <v>0</v>
      </c>
      <c r="AH1089">
        <v>0.35466896475736581</v>
      </c>
      <c r="AI1089">
        <v>0.38898432513344516</v>
      </c>
      <c r="AJ1089">
        <v>0.34608078772534995</v>
      </c>
      <c r="AK1089">
        <v>0.38882633285778517</v>
      </c>
      <c r="AL1089">
        <v>0.37364587239708524</v>
      </c>
      <c r="AM1089">
        <v>0.37112299542439503</v>
      </c>
      <c r="AN1089">
        <v>0.30043176208351968</v>
      </c>
      <c r="AO1089">
        <v>0.38928653160805637</v>
      </c>
      <c r="AP1089">
        <v>0</v>
      </c>
      <c r="AQ1089">
        <v>0</v>
      </c>
      <c r="AR1089">
        <v>1.1014885925238326E-3</v>
      </c>
      <c r="AS1089">
        <v>4.8131055754724638E-3</v>
      </c>
      <c r="AT1089">
        <v>5.2394152737187854E-3</v>
      </c>
      <c r="AU1089">
        <v>2.3257732930760167E-3</v>
      </c>
      <c r="AV1089">
        <v>2.2282911776749931E-3</v>
      </c>
      <c r="AW1089">
        <v>3.6038934009435691E-3</v>
      </c>
      <c r="AX1089">
        <v>5.6200358103109308E-4</v>
      </c>
      <c r="AY1089">
        <v>5.7710197202611997E-4</v>
      </c>
      <c r="AZ1089">
        <v>0</v>
      </c>
      <c r="BA1089">
        <v>0</v>
      </c>
      <c r="BB1089">
        <v>6.1451356856648112E-2</v>
      </c>
      <c r="BC1089">
        <v>0.1183804863859437</v>
      </c>
      <c r="BD1089">
        <v>0</v>
      </c>
      <c r="BE1089">
        <v>77334.072828283111</v>
      </c>
      <c r="BF1089">
        <v>17.732015020109976</v>
      </c>
      <c r="BG1089">
        <v>79066.151010101225</v>
      </c>
      <c r="BH1089">
        <v>17.651325274530851</v>
      </c>
      <c r="BI1089">
        <v>-616.11161616161917</v>
      </c>
      <c r="BJ1089">
        <v>0.17691343637019624</v>
      </c>
    </row>
    <row r="1090" spans="3:62" x14ac:dyDescent="0.2">
      <c r="C1090" s="121">
        <v>77628.372727273018</v>
      </c>
      <c r="D1090">
        <v>17.817420165254767</v>
      </c>
      <c r="E1090" s="121">
        <v>79368.064545454763</v>
      </c>
      <c r="F1090" s="121">
        <v>17.736464010196393</v>
      </c>
      <c r="G1090" s="121">
        <v>-580.64727272727578</v>
      </c>
      <c r="H1090" s="121">
        <v>0.1796102306761064</v>
      </c>
      <c r="R1090">
        <v>400.15675338037528</v>
      </c>
      <c r="S1090">
        <v>71.557640396288761</v>
      </c>
      <c r="T1090">
        <v>294.49146125542126</v>
      </c>
      <c r="U1090">
        <v>109.57970466160255</v>
      </c>
      <c r="V1090">
        <v>0</v>
      </c>
      <c r="W1090">
        <v>0</v>
      </c>
      <c r="X1090">
        <v>0.80975867618075514</v>
      </c>
      <c r="Y1090">
        <v>0.78903348201584023</v>
      </c>
      <c r="Z1090">
        <v>0.80073407961137733</v>
      </c>
      <c r="AA1090">
        <v>0.77856130524038758</v>
      </c>
      <c r="AB1090">
        <v>0.80747952571848414</v>
      </c>
      <c r="AC1090">
        <v>0.75938022748843759</v>
      </c>
      <c r="AD1090">
        <v>0.79148841540624759</v>
      </c>
      <c r="AE1090">
        <v>0.80751094440102267</v>
      </c>
      <c r="AF1090">
        <v>0</v>
      </c>
      <c r="AG1090">
        <v>0</v>
      </c>
      <c r="AH1090">
        <v>0.35964386548624983</v>
      </c>
      <c r="AI1090">
        <v>0.39444836113678228</v>
      </c>
      <c r="AJ1090">
        <v>0.35094031945208359</v>
      </c>
      <c r="AK1090">
        <v>0.39426953529162156</v>
      </c>
      <c r="AL1090">
        <v>0.37883384885356042</v>
      </c>
      <c r="AM1090">
        <v>0.3763249070269466</v>
      </c>
      <c r="AN1090">
        <v>0.30464444055408968</v>
      </c>
      <c r="AO1090">
        <v>0.39474834291520444</v>
      </c>
      <c r="AP1090">
        <v>0</v>
      </c>
      <c r="AQ1090">
        <v>0</v>
      </c>
      <c r="AR1090">
        <v>1.1083069793132092E-3</v>
      </c>
      <c r="AS1090">
        <v>4.8260380447011329E-3</v>
      </c>
      <c r="AT1090">
        <v>5.2523994233119554E-3</v>
      </c>
      <c r="AU1090">
        <v>2.3356491146628877E-3</v>
      </c>
      <c r="AV1090">
        <v>2.2367626305221317E-3</v>
      </c>
      <c r="AW1090">
        <v>3.6144617395776867E-3</v>
      </c>
      <c r="AX1090">
        <v>5.6648412647852732E-4</v>
      </c>
      <c r="AY1090">
        <v>5.8128199666240073E-4</v>
      </c>
      <c r="AZ1090">
        <v>0</v>
      </c>
      <c r="BA1090">
        <v>0</v>
      </c>
      <c r="BB1090">
        <v>6.1822209593293882E-2</v>
      </c>
      <c r="BC1090">
        <v>0.11999825632155001</v>
      </c>
      <c r="BD1090">
        <v>0</v>
      </c>
      <c r="BE1090">
        <v>77628.372727273018</v>
      </c>
      <c r="BF1090">
        <v>17.817420165254767</v>
      </c>
      <c r="BG1090">
        <v>79368.064545454763</v>
      </c>
      <c r="BH1090">
        <v>17.736464010196393</v>
      </c>
      <c r="BI1090">
        <v>-580.64727272727578</v>
      </c>
      <c r="BJ1090">
        <v>0.1796102306761064</v>
      </c>
    </row>
    <row r="1091" spans="3:62" x14ac:dyDescent="0.2">
      <c r="C1091" s="121">
        <v>77922.672626262924</v>
      </c>
      <c r="D1091">
        <v>17.902825310399557</v>
      </c>
      <c r="E1091" s="121">
        <v>79669.978080808301</v>
      </c>
      <c r="F1091" s="121">
        <v>17.821602745861934</v>
      </c>
      <c r="G1091" s="121">
        <v>-545.18292929293239</v>
      </c>
      <c r="H1091" s="121">
        <v>0.18230702498201656</v>
      </c>
      <c r="R1091">
        <v>406.56716702646816</v>
      </c>
      <c r="S1091">
        <v>71.948589249188487</v>
      </c>
      <c r="T1091">
        <v>296.10869766186647</v>
      </c>
      <c r="U1091">
        <v>110.24122120917524</v>
      </c>
      <c r="V1091">
        <v>0</v>
      </c>
      <c r="W1091">
        <v>0</v>
      </c>
      <c r="X1091">
        <v>0.81627213485798467</v>
      </c>
      <c r="Y1091">
        <v>0.79647895652632839</v>
      </c>
      <c r="Z1091">
        <v>0.80777417716875533</v>
      </c>
      <c r="AA1091">
        <v>0.78601246240967471</v>
      </c>
      <c r="AB1091">
        <v>0.81415158184716085</v>
      </c>
      <c r="AC1091">
        <v>0.76785942612710212</v>
      </c>
      <c r="AD1091">
        <v>0.79871233915312112</v>
      </c>
      <c r="AE1091">
        <v>0.81421614034385925</v>
      </c>
      <c r="AF1091">
        <v>0</v>
      </c>
      <c r="AG1091">
        <v>0</v>
      </c>
      <c r="AH1091">
        <v>0.36461876621513384</v>
      </c>
      <c r="AI1091">
        <v>0.39991239714011939</v>
      </c>
      <c r="AJ1091">
        <v>0.35579985117881724</v>
      </c>
      <c r="AK1091">
        <v>0.39971273772545796</v>
      </c>
      <c r="AL1091">
        <v>0.38402182531003559</v>
      </c>
      <c r="AM1091">
        <v>0.38152681862949817</v>
      </c>
      <c r="AN1091">
        <v>0.30885711902465968</v>
      </c>
      <c r="AO1091">
        <v>0.40021015422235251</v>
      </c>
      <c r="AP1091">
        <v>0</v>
      </c>
      <c r="AQ1091">
        <v>0</v>
      </c>
      <c r="AR1091">
        <v>1.1151253661025858E-3</v>
      </c>
      <c r="AS1091">
        <v>4.8389705139298021E-3</v>
      </c>
      <c r="AT1091">
        <v>5.2653835729051255E-3</v>
      </c>
      <c r="AU1091">
        <v>2.3455249362497586E-3</v>
      </c>
      <c r="AV1091">
        <v>2.2452340833692703E-3</v>
      </c>
      <c r="AW1091">
        <v>3.6250300782118042E-3</v>
      </c>
      <c r="AX1091">
        <v>5.7096467192596157E-4</v>
      </c>
      <c r="AY1091">
        <v>5.8546202129868149E-4</v>
      </c>
      <c r="AZ1091">
        <v>0</v>
      </c>
      <c r="BA1091">
        <v>0</v>
      </c>
      <c r="BB1091">
        <v>6.2193062329939652E-2</v>
      </c>
      <c r="BC1091">
        <v>0.12161602625715631</v>
      </c>
      <c r="BD1091">
        <v>0</v>
      </c>
      <c r="BE1091">
        <v>77922.672626262924</v>
      </c>
      <c r="BF1091">
        <v>17.902825310399557</v>
      </c>
      <c r="BG1091">
        <v>79669.978080808301</v>
      </c>
      <c r="BH1091">
        <v>17.821602745861934</v>
      </c>
      <c r="BI1091">
        <v>-545.18292929293239</v>
      </c>
      <c r="BJ1091">
        <v>0.18230702498201656</v>
      </c>
    </row>
    <row r="1092" spans="3:62" x14ac:dyDescent="0.2">
      <c r="C1092" s="121">
        <v>78216.97252525283</v>
      </c>
      <c r="D1092">
        <v>17.988230455544347</v>
      </c>
      <c r="E1092" s="121">
        <v>79971.89161616184</v>
      </c>
      <c r="F1092" s="121">
        <v>17.906741481527476</v>
      </c>
      <c r="G1092" s="121">
        <v>-509.71858585858894</v>
      </c>
      <c r="H1092" s="121">
        <v>0.18500381928792672</v>
      </c>
      <c r="R1092">
        <v>412.97758067256103</v>
      </c>
      <c r="S1092">
        <v>72.339538102088213</v>
      </c>
      <c r="T1092">
        <v>297.72593406831169</v>
      </c>
      <c r="U1092">
        <v>110.90273775674792</v>
      </c>
      <c r="V1092">
        <v>0</v>
      </c>
      <c r="W1092">
        <v>0</v>
      </c>
      <c r="X1092">
        <v>0.82278559353521419</v>
      </c>
      <c r="Y1092">
        <v>0.80392443103681654</v>
      </c>
      <c r="Z1092">
        <v>0.81481427472613333</v>
      </c>
      <c r="AA1092">
        <v>0.79346361957896183</v>
      </c>
      <c r="AB1092">
        <v>0.82082363797583757</v>
      </c>
      <c r="AC1092">
        <v>0.77633862476576665</v>
      </c>
      <c r="AD1092">
        <v>0.80593626289999465</v>
      </c>
      <c r="AE1092">
        <v>0.82092133628669584</v>
      </c>
      <c r="AF1092">
        <v>0</v>
      </c>
      <c r="AG1092">
        <v>0</v>
      </c>
      <c r="AH1092">
        <v>0.36959366694401785</v>
      </c>
      <c r="AI1092">
        <v>0.4053764331434565</v>
      </c>
      <c r="AJ1092">
        <v>0.36065938290555088</v>
      </c>
      <c r="AK1092">
        <v>0.40515594015929435</v>
      </c>
      <c r="AL1092">
        <v>0.38920980176651077</v>
      </c>
      <c r="AM1092">
        <v>0.38672873023204973</v>
      </c>
      <c r="AN1092">
        <v>0.31306979749522967</v>
      </c>
      <c r="AO1092">
        <v>0.40567196552950058</v>
      </c>
      <c r="AP1092">
        <v>0</v>
      </c>
      <c r="AQ1092">
        <v>0</v>
      </c>
      <c r="AR1092">
        <v>1.1219437528919623E-3</v>
      </c>
      <c r="AS1092">
        <v>4.8519029831584713E-3</v>
      </c>
      <c r="AT1092">
        <v>5.2783677224982955E-3</v>
      </c>
      <c r="AU1092">
        <v>2.3554007578366295E-3</v>
      </c>
      <c r="AV1092">
        <v>2.2537055362164089E-3</v>
      </c>
      <c r="AW1092">
        <v>3.6355984168459218E-3</v>
      </c>
      <c r="AX1092">
        <v>5.7544521737339582E-4</v>
      </c>
      <c r="AY1092">
        <v>5.8964204593496224E-4</v>
      </c>
      <c r="AZ1092">
        <v>0</v>
      </c>
      <c r="BA1092">
        <v>0</v>
      </c>
      <c r="BB1092">
        <v>6.2563915066585429E-2</v>
      </c>
      <c r="BC1092">
        <v>0.12323379619276262</v>
      </c>
      <c r="BD1092">
        <v>0</v>
      </c>
      <c r="BE1092">
        <v>78216.97252525283</v>
      </c>
      <c r="BF1092">
        <v>17.988230455544347</v>
      </c>
      <c r="BG1092">
        <v>79971.89161616184</v>
      </c>
      <c r="BH1092">
        <v>17.906741481527476</v>
      </c>
      <c r="BI1092">
        <v>-509.71858585858894</v>
      </c>
      <c r="BJ1092">
        <v>0.18500381928792672</v>
      </c>
    </row>
    <row r="1093" spans="3:62" x14ac:dyDescent="0.2">
      <c r="C1093" s="121">
        <v>78511.272424242736</v>
      </c>
      <c r="D1093">
        <v>18.073635600689137</v>
      </c>
      <c r="E1093" s="121">
        <v>80273.805151515378</v>
      </c>
      <c r="F1093" s="121">
        <v>17.991880217193017</v>
      </c>
      <c r="G1093" s="121">
        <v>-474.25424242424549</v>
      </c>
      <c r="H1093" s="121">
        <v>0.18770061359383688</v>
      </c>
      <c r="R1093">
        <v>419.38799431865391</v>
      </c>
      <c r="S1093">
        <v>72.730486954987938</v>
      </c>
      <c r="T1093">
        <v>299.3431704747569</v>
      </c>
      <c r="U1093">
        <v>111.56425430432061</v>
      </c>
      <c r="V1093">
        <v>0</v>
      </c>
      <c r="W1093">
        <v>0</v>
      </c>
      <c r="X1093">
        <v>0.82929905221244371</v>
      </c>
      <c r="Y1093">
        <v>0.8113699055473047</v>
      </c>
      <c r="Z1093">
        <v>0.82185437228351133</v>
      </c>
      <c r="AA1093">
        <v>0.80091477674824896</v>
      </c>
      <c r="AB1093">
        <v>0.82749569410451429</v>
      </c>
      <c r="AC1093">
        <v>0.78481782340443118</v>
      </c>
      <c r="AD1093">
        <v>0.81316018664686818</v>
      </c>
      <c r="AE1093">
        <v>0.82762653222953242</v>
      </c>
      <c r="AF1093">
        <v>0</v>
      </c>
      <c r="AG1093">
        <v>0</v>
      </c>
      <c r="AH1093">
        <v>0.37456856767290186</v>
      </c>
      <c r="AI1093">
        <v>0.41084046914679362</v>
      </c>
      <c r="AJ1093">
        <v>0.36551891463228453</v>
      </c>
      <c r="AK1093">
        <v>0.41059914259313074</v>
      </c>
      <c r="AL1093">
        <v>0.39439777822298594</v>
      </c>
      <c r="AM1093">
        <v>0.3919306418346013</v>
      </c>
      <c r="AN1093">
        <v>0.31728247596579967</v>
      </c>
      <c r="AO1093">
        <v>0.41113377683664865</v>
      </c>
      <c r="AP1093">
        <v>0</v>
      </c>
      <c r="AQ1093">
        <v>0</v>
      </c>
      <c r="AR1093">
        <v>1.1287621396813389E-3</v>
      </c>
      <c r="AS1093">
        <v>4.8648354523871404E-3</v>
      </c>
      <c r="AT1093">
        <v>5.2913518720914656E-3</v>
      </c>
      <c r="AU1093">
        <v>2.3652765794235004E-3</v>
      </c>
      <c r="AV1093">
        <v>2.2621769890635475E-3</v>
      </c>
      <c r="AW1093">
        <v>3.6461667554800394E-3</v>
      </c>
      <c r="AX1093">
        <v>5.7992576282083006E-4</v>
      </c>
      <c r="AY1093">
        <v>5.93822070571243E-4</v>
      </c>
      <c r="AZ1093">
        <v>0</v>
      </c>
      <c r="BA1093">
        <v>0</v>
      </c>
      <c r="BB1093">
        <v>6.2934767803231206E-2</v>
      </c>
      <c r="BC1093">
        <v>0.12485156612836892</v>
      </c>
      <c r="BD1093">
        <v>0</v>
      </c>
      <c r="BE1093">
        <v>78511.272424242736</v>
      </c>
      <c r="BF1093">
        <v>18.073635600689137</v>
      </c>
      <c r="BG1093">
        <v>80273.805151515378</v>
      </c>
      <c r="BH1093">
        <v>17.991880217193017</v>
      </c>
      <c r="BI1093">
        <v>-474.25424242424549</v>
      </c>
      <c r="BJ1093">
        <v>0.18770061359383688</v>
      </c>
    </row>
    <row r="1094" spans="3:62" x14ac:dyDescent="0.2">
      <c r="C1094" s="121">
        <v>78805.572323232642</v>
      </c>
      <c r="D1094">
        <v>18.159040745833927</v>
      </c>
      <c r="E1094" s="121">
        <v>80575.718686868917</v>
      </c>
      <c r="F1094" s="121">
        <v>18.077018952858559</v>
      </c>
      <c r="G1094" s="121">
        <v>-438.78989898990204</v>
      </c>
      <c r="H1094" s="121">
        <v>0.19039740789974705</v>
      </c>
      <c r="R1094">
        <v>425.79840796474679</v>
      </c>
      <c r="S1094">
        <v>73.121435807887664</v>
      </c>
      <c r="T1094">
        <v>300.96040688120212</v>
      </c>
      <c r="U1094">
        <v>112.2257708518933</v>
      </c>
      <c r="V1094">
        <v>0</v>
      </c>
      <c r="W1094">
        <v>0</v>
      </c>
      <c r="X1094">
        <v>0.83581251088967323</v>
      </c>
      <c r="Y1094">
        <v>0.81881538005779286</v>
      </c>
      <c r="Z1094">
        <v>0.82889446984088933</v>
      </c>
      <c r="AA1094">
        <v>0.80836593391753608</v>
      </c>
      <c r="AB1094">
        <v>0.83416775023319101</v>
      </c>
      <c r="AC1094">
        <v>0.79329702204309571</v>
      </c>
      <c r="AD1094">
        <v>0.82038411039374171</v>
      </c>
      <c r="AE1094">
        <v>0.834331728172369</v>
      </c>
      <c r="AF1094">
        <v>0</v>
      </c>
      <c r="AG1094">
        <v>0</v>
      </c>
      <c r="AH1094">
        <v>0.37954346840178588</v>
      </c>
      <c r="AI1094">
        <v>0.41630450515013073</v>
      </c>
      <c r="AJ1094">
        <v>0.37037844635901818</v>
      </c>
      <c r="AK1094">
        <v>0.41604234502696713</v>
      </c>
      <c r="AL1094">
        <v>0.39958575467946111</v>
      </c>
      <c r="AM1094">
        <v>0.39713255343715287</v>
      </c>
      <c r="AN1094">
        <v>0.32149515443636967</v>
      </c>
      <c r="AO1094">
        <v>0.41659558814379671</v>
      </c>
      <c r="AP1094">
        <v>0</v>
      </c>
      <c r="AQ1094">
        <v>0</v>
      </c>
      <c r="AR1094">
        <v>1.1355805264707155E-3</v>
      </c>
      <c r="AS1094">
        <v>4.8777679216158096E-3</v>
      </c>
      <c r="AT1094">
        <v>5.3043360216846356E-3</v>
      </c>
      <c r="AU1094">
        <v>2.3751524010103713E-3</v>
      </c>
      <c r="AV1094">
        <v>2.2706484419106861E-3</v>
      </c>
      <c r="AW1094">
        <v>3.6567350941141569E-3</v>
      </c>
      <c r="AX1094">
        <v>5.8440630826826431E-4</v>
      </c>
      <c r="AY1094">
        <v>5.9800209520752376E-4</v>
      </c>
      <c r="AZ1094">
        <v>0</v>
      </c>
      <c r="BA1094">
        <v>0</v>
      </c>
      <c r="BB1094">
        <v>6.3305620539876983E-2</v>
      </c>
      <c r="BC1094">
        <v>0.12646933606397523</v>
      </c>
      <c r="BD1094">
        <v>0</v>
      </c>
      <c r="BE1094">
        <v>78805.572323232642</v>
      </c>
      <c r="BF1094">
        <v>18.159040745833927</v>
      </c>
      <c r="BG1094">
        <v>80575.718686868917</v>
      </c>
      <c r="BH1094">
        <v>18.077018952858559</v>
      </c>
      <c r="BI1094">
        <v>-438.78989898990204</v>
      </c>
      <c r="BJ1094">
        <v>0.19039740789974705</v>
      </c>
    </row>
    <row r="1095" spans="3:62" x14ac:dyDescent="0.2">
      <c r="C1095" s="121">
        <v>79099.872222222548</v>
      </c>
      <c r="D1095">
        <v>18.244445890978717</v>
      </c>
      <c r="E1095" s="121">
        <v>80877.632222222455</v>
      </c>
      <c r="F1095" s="121">
        <v>18.162157688524101</v>
      </c>
      <c r="G1095" s="121">
        <v>-403.32555555555859</v>
      </c>
      <c r="H1095" s="121">
        <v>0.19309420220565721</v>
      </c>
      <c r="R1095">
        <v>432.20882161083966</v>
      </c>
      <c r="S1095">
        <v>73.51238466078739</v>
      </c>
      <c r="T1095">
        <v>302.57764328764733</v>
      </c>
      <c r="U1095">
        <v>112.88728739946599</v>
      </c>
      <c r="V1095">
        <v>0</v>
      </c>
      <c r="W1095">
        <v>0</v>
      </c>
      <c r="X1095">
        <v>0.84232596956690275</v>
      </c>
      <c r="Y1095">
        <v>0.82626085456828102</v>
      </c>
      <c r="Z1095">
        <v>0.83593456739826733</v>
      </c>
      <c r="AA1095">
        <v>0.81581709108682321</v>
      </c>
      <c r="AB1095">
        <v>0.84083980636186773</v>
      </c>
      <c r="AC1095">
        <v>0.80177622068176024</v>
      </c>
      <c r="AD1095">
        <v>0.82760803414061523</v>
      </c>
      <c r="AE1095">
        <v>0.84103692411520559</v>
      </c>
      <c r="AF1095">
        <v>0</v>
      </c>
      <c r="AG1095">
        <v>0</v>
      </c>
      <c r="AH1095">
        <v>0.38451836913066989</v>
      </c>
      <c r="AI1095">
        <v>0.42176854115346785</v>
      </c>
      <c r="AJ1095">
        <v>0.37523797808575182</v>
      </c>
      <c r="AK1095">
        <v>0.42148554746080352</v>
      </c>
      <c r="AL1095">
        <v>0.40477373113593629</v>
      </c>
      <c r="AM1095">
        <v>0.40233446503970444</v>
      </c>
      <c r="AN1095">
        <v>0.32570783290693966</v>
      </c>
      <c r="AO1095">
        <v>0.42205739945094478</v>
      </c>
      <c r="AP1095">
        <v>0</v>
      </c>
      <c r="AQ1095">
        <v>0</v>
      </c>
      <c r="AR1095">
        <v>1.1423989132600921E-3</v>
      </c>
      <c r="AS1095">
        <v>4.8907003908444787E-3</v>
      </c>
      <c r="AT1095">
        <v>5.3173201712778057E-3</v>
      </c>
      <c r="AU1095">
        <v>2.3850282225972423E-3</v>
      </c>
      <c r="AV1095">
        <v>2.2791198947578247E-3</v>
      </c>
      <c r="AW1095">
        <v>3.6673034327482745E-3</v>
      </c>
      <c r="AX1095">
        <v>5.8888685371569856E-4</v>
      </c>
      <c r="AY1095">
        <v>6.0218211984380452E-4</v>
      </c>
      <c r="AZ1095">
        <v>0</v>
      </c>
      <c r="BA1095">
        <v>0</v>
      </c>
      <c r="BB1095">
        <v>6.367647327652276E-2</v>
      </c>
      <c r="BC1095">
        <v>0.12808710599958154</v>
      </c>
      <c r="BD1095">
        <v>0</v>
      </c>
      <c r="BE1095">
        <v>79099.872222222548</v>
      </c>
      <c r="BF1095">
        <v>18.244445890978717</v>
      </c>
      <c r="BG1095">
        <v>80877.632222222455</v>
      </c>
      <c r="BH1095">
        <v>18.162157688524101</v>
      </c>
      <c r="BI1095">
        <v>-403.32555555555859</v>
      </c>
      <c r="BJ1095">
        <v>0.19309420220565721</v>
      </c>
    </row>
    <row r="1096" spans="3:62" x14ac:dyDescent="0.2">
      <c r="C1096" s="121">
        <v>79394.172121212454</v>
      </c>
      <c r="D1096">
        <v>18.329851036123507</v>
      </c>
      <c r="E1096" s="121">
        <v>81179.545757575994</v>
      </c>
      <c r="F1096" s="121">
        <v>18.247296424189642</v>
      </c>
      <c r="G1096" s="121">
        <v>-367.86121212121515</v>
      </c>
      <c r="H1096" s="121">
        <v>0.19579099651156737</v>
      </c>
      <c r="R1096">
        <v>438.61923525693254</v>
      </c>
      <c r="S1096">
        <v>73.903333513687116</v>
      </c>
      <c r="T1096">
        <v>304.19487969409255</v>
      </c>
      <c r="U1096">
        <v>113.54880394703868</v>
      </c>
      <c r="V1096">
        <v>0</v>
      </c>
      <c r="W1096">
        <v>0</v>
      </c>
      <c r="X1096">
        <v>0.84883942824413228</v>
      </c>
      <c r="Y1096">
        <v>0.83370632907876918</v>
      </c>
      <c r="Z1096">
        <v>0.84297466495564533</v>
      </c>
      <c r="AA1096">
        <v>0.82326824825611034</v>
      </c>
      <c r="AB1096">
        <v>0.84751186249054444</v>
      </c>
      <c r="AC1096">
        <v>0.81025541932042477</v>
      </c>
      <c r="AD1096">
        <v>0.83483195788748876</v>
      </c>
      <c r="AE1096">
        <v>0.84774212005804217</v>
      </c>
      <c r="AF1096">
        <v>0</v>
      </c>
      <c r="AG1096">
        <v>0</v>
      </c>
      <c r="AH1096">
        <v>0.3894932698595539</v>
      </c>
      <c r="AI1096">
        <v>0.42723257715680496</v>
      </c>
      <c r="AJ1096">
        <v>0.38009750981248547</v>
      </c>
      <c r="AK1096">
        <v>0.42692874989463991</v>
      </c>
      <c r="AL1096">
        <v>0.40996170759241146</v>
      </c>
      <c r="AM1096">
        <v>0.407536376642256</v>
      </c>
      <c r="AN1096">
        <v>0.32992051137750966</v>
      </c>
      <c r="AO1096">
        <v>0.42751921075809285</v>
      </c>
      <c r="AP1096">
        <v>0</v>
      </c>
      <c r="AQ1096">
        <v>0</v>
      </c>
      <c r="AR1096">
        <v>1.1492173000494687E-3</v>
      </c>
      <c r="AS1096">
        <v>4.9036328600731479E-3</v>
      </c>
      <c r="AT1096">
        <v>5.3303043208709757E-3</v>
      </c>
      <c r="AU1096">
        <v>2.3949040441841132E-3</v>
      </c>
      <c r="AV1096">
        <v>2.2875913476049633E-3</v>
      </c>
      <c r="AW1096">
        <v>3.6778717713823921E-3</v>
      </c>
      <c r="AX1096">
        <v>5.933673991631328E-4</v>
      </c>
      <c r="AY1096">
        <v>6.0636214448008528E-4</v>
      </c>
      <c r="AZ1096">
        <v>0</v>
      </c>
      <c r="BA1096">
        <v>0</v>
      </c>
      <c r="BB1096">
        <v>6.4047326013168537E-2</v>
      </c>
      <c r="BC1096">
        <v>0.12970487593518784</v>
      </c>
      <c r="BD1096">
        <v>0</v>
      </c>
      <c r="BE1096">
        <v>79394.172121212454</v>
      </c>
      <c r="BF1096">
        <v>18.329851036123507</v>
      </c>
      <c r="BG1096">
        <v>81179.545757575994</v>
      </c>
      <c r="BH1096">
        <v>18.247296424189642</v>
      </c>
      <c r="BI1096">
        <v>-367.86121212121515</v>
      </c>
      <c r="BJ1096">
        <v>0.19579099651156737</v>
      </c>
    </row>
    <row r="1097" spans="3:62" x14ac:dyDescent="0.2">
      <c r="C1097" s="121">
        <v>79688.47202020236</v>
      </c>
      <c r="D1097">
        <v>18.415256181268298</v>
      </c>
      <c r="E1097" s="121">
        <v>81481.459292929532</v>
      </c>
      <c r="F1097" s="121">
        <v>18.332435159855184</v>
      </c>
      <c r="G1097" s="121">
        <v>-332.3968686868717</v>
      </c>
      <c r="H1097" s="121">
        <v>0.19848779081747753</v>
      </c>
      <c r="R1097">
        <v>445.02964890302542</v>
      </c>
      <c r="S1097">
        <v>74.294282366586842</v>
      </c>
      <c r="T1097">
        <v>305.81211610053776</v>
      </c>
      <c r="U1097">
        <v>114.21032049461137</v>
      </c>
      <c r="V1097">
        <v>0</v>
      </c>
      <c r="W1097">
        <v>0</v>
      </c>
      <c r="X1097">
        <v>0.8553528869213618</v>
      </c>
      <c r="Y1097">
        <v>0.84115180358925734</v>
      </c>
      <c r="Z1097">
        <v>0.85001476251302333</v>
      </c>
      <c r="AA1097">
        <v>0.83071940542539746</v>
      </c>
      <c r="AB1097">
        <v>0.85418391861922116</v>
      </c>
      <c r="AC1097">
        <v>0.81873461795908931</v>
      </c>
      <c r="AD1097">
        <v>0.84205588163436229</v>
      </c>
      <c r="AE1097">
        <v>0.85444731600087875</v>
      </c>
      <c r="AF1097">
        <v>0</v>
      </c>
      <c r="AG1097">
        <v>0</v>
      </c>
      <c r="AH1097">
        <v>0.39446817058843792</v>
      </c>
      <c r="AI1097">
        <v>0.43269661316014207</v>
      </c>
      <c r="AJ1097">
        <v>0.38495704153921911</v>
      </c>
      <c r="AK1097">
        <v>0.43237195232847631</v>
      </c>
      <c r="AL1097">
        <v>0.41514968404888664</v>
      </c>
      <c r="AM1097">
        <v>0.41273828824480757</v>
      </c>
      <c r="AN1097">
        <v>0.33413318984807966</v>
      </c>
      <c r="AO1097">
        <v>0.43298102206524092</v>
      </c>
      <c r="AP1097">
        <v>0</v>
      </c>
      <c r="AQ1097">
        <v>0</v>
      </c>
      <c r="AR1097">
        <v>1.1560356868388453E-3</v>
      </c>
      <c r="AS1097">
        <v>4.9165653293018171E-3</v>
      </c>
      <c r="AT1097">
        <v>5.3432884704641458E-3</v>
      </c>
      <c r="AU1097">
        <v>2.4047798657709841E-3</v>
      </c>
      <c r="AV1097">
        <v>2.2960628004521019E-3</v>
      </c>
      <c r="AW1097">
        <v>3.6884401100165097E-3</v>
      </c>
      <c r="AX1097">
        <v>5.9784794461056705E-4</v>
      </c>
      <c r="AY1097">
        <v>6.1054216911636604E-4</v>
      </c>
      <c r="AZ1097">
        <v>0</v>
      </c>
      <c r="BA1097">
        <v>0</v>
      </c>
      <c r="BB1097">
        <v>6.4418178749814314E-2</v>
      </c>
      <c r="BC1097">
        <v>0.13132264587079415</v>
      </c>
      <c r="BD1097">
        <v>0</v>
      </c>
      <c r="BE1097">
        <v>79688.47202020236</v>
      </c>
      <c r="BF1097">
        <v>18.415256181268298</v>
      </c>
      <c r="BG1097">
        <v>81481.459292929532</v>
      </c>
      <c r="BH1097">
        <v>18.332435159855184</v>
      </c>
      <c r="BI1097">
        <v>-332.3968686868717</v>
      </c>
      <c r="BJ1097">
        <v>0.19848779081747753</v>
      </c>
    </row>
    <row r="1098" spans="3:62" x14ac:dyDescent="0.2">
      <c r="C1098" s="121">
        <v>79982.771919192266</v>
      </c>
      <c r="D1098">
        <v>18.500661326413088</v>
      </c>
      <c r="E1098" s="121">
        <v>81783.372828283071</v>
      </c>
      <c r="F1098" s="121">
        <v>18.417573895520725</v>
      </c>
      <c r="G1098" s="121">
        <v>-296.93252525252825</v>
      </c>
      <c r="H1098" s="121">
        <v>0.20118458512338769</v>
      </c>
      <c r="R1098">
        <v>451.4400625491183</v>
      </c>
      <c r="S1098">
        <v>74.685231219486568</v>
      </c>
      <c r="T1098">
        <v>307.42935250698298</v>
      </c>
      <c r="U1098">
        <v>114.87183704218405</v>
      </c>
      <c r="V1098">
        <v>0</v>
      </c>
      <c r="W1098">
        <v>0</v>
      </c>
      <c r="X1098">
        <v>0.86186634559859132</v>
      </c>
      <c r="Y1098">
        <v>0.8485972780997455</v>
      </c>
      <c r="Z1098">
        <v>0.85705486007040133</v>
      </c>
      <c r="AA1098">
        <v>0.83817056259468459</v>
      </c>
      <c r="AB1098">
        <v>0.86085597474789788</v>
      </c>
      <c r="AC1098">
        <v>0.82721381659775384</v>
      </c>
      <c r="AD1098">
        <v>0.84927980538123582</v>
      </c>
      <c r="AE1098">
        <v>0.86115251194371534</v>
      </c>
      <c r="AF1098">
        <v>0</v>
      </c>
      <c r="AG1098">
        <v>0</v>
      </c>
      <c r="AH1098">
        <v>0.39944307131732193</v>
      </c>
      <c r="AI1098">
        <v>0.43816064916347919</v>
      </c>
      <c r="AJ1098">
        <v>0.38981657326595276</v>
      </c>
      <c r="AK1098">
        <v>0.4378151547623127</v>
      </c>
      <c r="AL1098">
        <v>0.42033766050536181</v>
      </c>
      <c r="AM1098">
        <v>0.41794019984735914</v>
      </c>
      <c r="AN1098">
        <v>0.33834586831864966</v>
      </c>
      <c r="AO1098">
        <v>0.43844283337238898</v>
      </c>
      <c r="AP1098">
        <v>0</v>
      </c>
      <c r="AQ1098">
        <v>0</v>
      </c>
      <c r="AR1098">
        <v>1.1628540736282218E-3</v>
      </c>
      <c r="AS1098">
        <v>4.9294977985304862E-3</v>
      </c>
      <c r="AT1098">
        <v>5.3562726200573159E-3</v>
      </c>
      <c r="AU1098">
        <v>2.414655687357855E-3</v>
      </c>
      <c r="AV1098">
        <v>2.3045342532992405E-3</v>
      </c>
      <c r="AW1098">
        <v>3.6990084486506272E-3</v>
      </c>
      <c r="AX1098">
        <v>6.023284900580013E-4</v>
      </c>
      <c r="AY1098">
        <v>6.1472219375264679E-4</v>
      </c>
      <c r="AZ1098">
        <v>0</v>
      </c>
      <c r="BA1098">
        <v>0</v>
      </c>
      <c r="BB1098">
        <v>6.4789031486460091E-2</v>
      </c>
      <c r="BC1098">
        <v>0.13294041580640045</v>
      </c>
      <c r="BD1098">
        <v>0</v>
      </c>
      <c r="BE1098">
        <v>79982.771919192266</v>
      </c>
      <c r="BF1098">
        <v>18.500661326413088</v>
      </c>
      <c r="BG1098">
        <v>81783.372828283071</v>
      </c>
      <c r="BH1098">
        <v>18.417573895520725</v>
      </c>
      <c r="BI1098">
        <v>-296.93252525252825</v>
      </c>
      <c r="BJ1098">
        <v>0.20118458512338769</v>
      </c>
    </row>
    <row r="1099" spans="3:62" x14ac:dyDescent="0.2">
      <c r="C1099" s="121">
        <v>80277.071818182172</v>
      </c>
      <c r="D1099">
        <v>18.586066471557878</v>
      </c>
      <c r="E1099" s="121">
        <v>82085.286363636609</v>
      </c>
      <c r="F1099" s="121">
        <v>18.502712631186267</v>
      </c>
      <c r="G1099" s="121">
        <v>-261.4681818181848</v>
      </c>
      <c r="H1099" s="121">
        <v>0.20388137942929785</v>
      </c>
      <c r="R1099">
        <v>457.85047619521117</v>
      </c>
      <c r="S1099">
        <v>75.076180072386293</v>
      </c>
      <c r="T1099">
        <v>309.0465889134282</v>
      </c>
      <c r="U1099">
        <v>115.53335358975674</v>
      </c>
      <c r="V1099">
        <v>0</v>
      </c>
      <c r="W1099">
        <v>0</v>
      </c>
      <c r="X1099">
        <v>0.86837980427582084</v>
      </c>
      <c r="Y1099">
        <v>0.85604275261023366</v>
      </c>
      <c r="Z1099">
        <v>0.86409495762777933</v>
      </c>
      <c r="AA1099">
        <v>0.84562171976397171</v>
      </c>
      <c r="AB1099">
        <v>0.8675280308765746</v>
      </c>
      <c r="AC1099">
        <v>0.83569301523641837</v>
      </c>
      <c r="AD1099">
        <v>0.85650372912810935</v>
      </c>
      <c r="AE1099">
        <v>0.86785770788655192</v>
      </c>
      <c r="AF1099">
        <v>0</v>
      </c>
      <c r="AG1099">
        <v>0</v>
      </c>
      <c r="AH1099">
        <v>0.40441797204620594</v>
      </c>
      <c r="AI1099">
        <v>0.4436246851668163</v>
      </c>
      <c r="AJ1099">
        <v>0.39467610499268641</v>
      </c>
      <c r="AK1099">
        <v>0.44325835719614909</v>
      </c>
      <c r="AL1099">
        <v>0.42552563696183698</v>
      </c>
      <c r="AM1099">
        <v>0.42314211144991071</v>
      </c>
      <c r="AN1099">
        <v>0.34255854678921965</v>
      </c>
      <c r="AO1099">
        <v>0.44390464467953705</v>
      </c>
      <c r="AP1099">
        <v>0</v>
      </c>
      <c r="AQ1099">
        <v>0</v>
      </c>
      <c r="AR1099">
        <v>1.1696724604175984E-3</v>
      </c>
      <c r="AS1099">
        <v>4.9424302677591554E-3</v>
      </c>
      <c r="AT1099">
        <v>5.3692567696504859E-3</v>
      </c>
      <c r="AU1099">
        <v>2.4245315089447259E-3</v>
      </c>
      <c r="AV1099">
        <v>2.3130057061463791E-3</v>
      </c>
      <c r="AW1099">
        <v>3.7095767872847448E-3</v>
      </c>
      <c r="AX1099">
        <v>6.0680903550543554E-4</v>
      </c>
      <c r="AY1099">
        <v>6.1890221838892755E-4</v>
      </c>
      <c r="AZ1099">
        <v>0</v>
      </c>
      <c r="BA1099">
        <v>0</v>
      </c>
      <c r="BB1099">
        <v>6.5159884223105868E-2</v>
      </c>
      <c r="BC1099">
        <v>0.13455818574200676</v>
      </c>
      <c r="BD1099">
        <v>0</v>
      </c>
      <c r="BE1099">
        <v>80277.071818182172</v>
      </c>
      <c r="BF1099">
        <v>18.586066471557878</v>
      </c>
      <c r="BG1099">
        <v>82085.286363636609</v>
      </c>
      <c r="BH1099">
        <v>18.502712631186267</v>
      </c>
      <c r="BI1099">
        <v>-261.4681818181848</v>
      </c>
      <c r="BJ1099">
        <v>0.20388137942929785</v>
      </c>
    </row>
    <row r="1100" spans="3:62" x14ac:dyDescent="0.2">
      <c r="C1100" s="121">
        <v>80571.371717172078</v>
      </c>
      <c r="D1100">
        <v>18.671471616702668</v>
      </c>
      <c r="E1100" s="121">
        <v>82387.199898990148</v>
      </c>
      <c r="F1100" s="121">
        <v>18.587851366851808</v>
      </c>
      <c r="G1100" s="121">
        <v>-226.00383838384136</v>
      </c>
      <c r="H1100" s="121">
        <v>0.20657817373520801</v>
      </c>
      <c r="R1100">
        <v>464.26088984130405</v>
      </c>
      <c r="S1100">
        <v>75.467128925286019</v>
      </c>
      <c r="T1100">
        <v>310.66382531987341</v>
      </c>
      <c r="U1100">
        <v>116.19487013732943</v>
      </c>
      <c r="V1100">
        <v>0</v>
      </c>
      <c r="W1100">
        <v>0</v>
      </c>
      <c r="X1100">
        <v>0.87489326295305037</v>
      </c>
      <c r="Y1100">
        <v>0.86348822712072182</v>
      </c>
      <c r="Z1100">
        <v>0.87113505518515733</v>
      </c>
      <c r="AA1100">
        <v>0.85307287693325884</v>
      </c>
      <c r="AB1100">
        <v>0.87420008700525131</v>
      </c>
      <c r="AC1100">
        <v>0.8441722138750829</v>
      </c>
      <c r="AD1100">
        <v>0.86372765287498288</v>
      </c>
      <c r="AE1100">
        <v>0.8745629038293885</v>
      </c>
      <c r="AF1100">
        <v>0</v>
      </c>
      <c r="AG1100">
        <v>0</v>
      </c>
      <c r="AH1100">
        <v>0.40939287277508996</v>
      </c>
      <c r="AI1100">
        <v>0.44908872117015342</v>
      </c>
      <c r="AJ1100">
        <v>0.39953563671942005</v>
      </c>
      <c r="AK1100">
        <v>0.44870155962998548</v>
      </c>
      <c r="AL1100">
        <v>0.43071361341831216</v>
      </c>
      <c r="AM1100">
        <v>0.42834402305246227</v>
      </c>
      <c r="AN1100">
        <v>0.34677122525978965</v>
      </c>
      <c r="AO1100">
        <v>0.44936645598668512</v>
      </c>
      <c r="AP1100">
        <v>0</v>
      </c>
      <c r="AQ1100">
        <v>0</v>
      </c>
      <c r="AR1100">
        <v>1.176490847206975E-3</v>
      </c>
      <c r="AS1100">
        <v>4.9553627369878245E-3</v>
      </c>
      <c r="AT1100">
        <v>5.382240919243656E-3</v>
      </c>
      <c r="AU1100">
        <v>2.4344073305315969E-3</v>
      </c>
      <c r="AV1100">
        <v>2.3214771589935177E-3</v>
      </c>
      <c r="AW1100">
        <v>3.7201451259188624E-3</v>
      </c>
      <c r="AX1100">
        <v>6.1128958095286979E-4</v>
      </c>
      <c r="AY1100">
        <v>6.2308224302520831E-4</v>
      </c>
      <c r="AZ1100">
        <v>0</v>
      </c>
      <c r="BA1100">
        <v>0</v>
      </c>
      <c r="BB1100">
        <v>6.5530736959751645E-2</v>
      </c>
      <c r="BC1100">
        <v>0.13617595567761306</v>
      </c>
      <c r="BD1100">
        <v>0</v>
      </c>
      <c r="BE1100">
        <v>80571.371717172078</v>
      </c>
      <c r="BF1100">
        <v>18.671471616702668</v>
      </c>
      <c r="BG1100">
        <v>82387.199898990148</v>
      </c>
      <c r="BH1100">
        <v>18.587851366851808</v>
      </c>
      <c r="BI1100">
        <v>-226.00383838384136</v>
      </c>
      <c r="BJ1100">
        <v>0.20657817373520801</v>
      </c>
    </row>
    <row r="1101" spans="3:62" x14ac:dyDescent="0.2">
      <c r="C1101" s="121">
        <v>80865.671616161984</v>
      </c>
      <c r="D1101">
        <v>18.756876761847458</v>
      </c>
      <c r="E1101" s="121">
        <v>82689.113434343686</v>
      </c>
      <c r="F1101" s="121">
        <v>18.67299010251735</v>
      </c>
      <c r="G1101" s="121">
        <v>-190.53949494949791</v>
      </c>
      <c r="H1101" s="121">
        <v>0.20927496804111817</v>
      </c>
      <c r="R1101">
        <v>470.67130348739693</v>
      </c>
      <c r="S1101">
        <v>75.858077778185745</v>
      </c>
      <c r="T1101">
        <v>312.28106172631863</v>
      </c>
      <c r="U1101">
        <v>116.85638668490212</v>
      </c>
      <c r="V1101">
        <v>0</v>
      </c>
      <c r="W1101">
        <v>0</v>
      </c>
      <c r="X1101">
        <v>0.88140672163027989</v>
      </c>
      <c r="Y1101">
        <v>0.87093370163120998</v>
      </c>
      <c r="Z1101">
        <v>0.87817515274253533</v>
      </c>
      <c r="AA1101">
        <v>0.86052403410254596</v>
      </c>
      <c r="AB1101">
        <v>0.88087214313392803</v>
      </c>
      <c r="AC1101">
        <v>0.85265141251374743</v>
      </c>
      <c r="AD1101">
        <v>0.8709515766218564</v>
      </c>
      <c r="AE1101">
        <v>0.88126809977222509</v>
      </c>
      <c r="AF1101">
        <v>0</v>
      </c>
      <c r="AG1101">
        <v>0</v>
      </c>
      <c r="AH1101">
        <v>0.41436777350397397</v>
      </c>
      <c r="AI1101">
        <v>0.45455275717349053</v>
      </c>
      <c r="AJ1101">
        <v>0.4043951684461537</v>
      </c>
      <c r="AK1101">
        <v>0.45414476206382187</v>
      </c>
      <c r="AL1101">
        <v>0.43590158987478733</v>
      </c>
      <c r="AM1101">
        <v>0.43354593465501384</v>
      </c>
      <c r="AN1101">
        <v>0.35098390373035965</v>
      </c>
      <c r="AO1101">
        <v>0.45482826729383319</v>
      </c>
      <c r="AP1101">
        <v>0</v>
      </c>
      <c r="AQ1101">
        <v>0</v>
      </c>
      <c r="AR1101">
        <v>1.1833092339963516E-3</v>
      </c>
      <c r="AS1101">
        <v>4.9682952062164937E-3</v>
      </c>
      <c r="AT1101">
        <v>5.395225068836826E-3</v>
      </c>
      <c r="AU1101">
        <v>2.4442831521184678E-3</v>
      </c>
      <c r="AV1101">
        <v>2.3299486118406564E-3</v>
      </c>
      <c r="AW1101">
        <v>3.7307134645529799E-3</v>
      </c>
      <c r="AX1101">
        <v>6.1577012640030404E-4</v>
      </c>
      <c r="AY1101">
        <v>6.2726226766148907E-4</v>
      </c>
      <c r="AZ1101">
        <v>0</v>
      </c>
      <c r="BA1101">
        <v>0</v>
      </c>
      <c r="BB1101">
        <v>6.5901589696397422E-2</v>
      </c>
      <c r="BC1101">
        <v>0.13779372561321937</v>
      </c>
      <c r="BD1101">
        <v>0</v>
      </c>
      <c r="BE1101">
        <v>80865.671616161984</v>
      </c>
      <c r="BF1101">
        <v>18.756876761847458</v>
      </c>
      <c r="BG1101">
        <v>82689.113434343686</v>
      </c>
      <c r="BH1101">
        <v>18.67299010251735</v>
      </c>
      <c r="BI1101">
        <v>-190.53949494949791</v>
      </c>
      <c r="BJ1101">
        <v>0.20927496804111817</v>
      </c>
    </row>
    <row r="1102" spans="3:62" x14ac:dyDescent="0.2">
      <c r="C1102" s="121">
        <v>81159.97151515189</v>
      </c>
      <c r="D1102">
        <v>18.842281906992248</v>
      </c>
      <c r="E1102" s="121">
        <v>82991.026969697225</v>
      </c>
      <c r="F1102" s="121">
        <v>18.758128838182891</v>
      </c>
      <c r="G1102" s="121">
        <v>-155.07515151515446</v>
      </c>
      <c r="H1102" s="121">
        <v>0.21197176234702833</v>
      </c>
      <c r="R1102">
        <v>477.0817171334898</v>
      </c>
      <c r="S1102">
        <v>76.249026631085471</v>
      </c>
      <c r="T1102">
        <v>313.89829813276384</v>
      </c>
      <c r="U1102">
        <v>117.51790323247481</v>
      </c>
      <c r="V1102">
        <v>0</v>
      </c>
      <c r="W1102">
        <v>0</v>
      </c>
      <c r="X1102">
        <v>0.88792018030750941</v>
      </c>
      <c r="Y1102">
        <v>0.87837917614169814</v>
      </c>
      <c r="Z1102">
        <v>0.88521525029991333</v>
      </c>
      <c r="AA1102">
        <v>0.86797519127183309</v>
      </c>
      <c r="AB1102">
        <v>0.88754419926260475</v>
      </c>
      <c r="AC1102">
        <v>0.86113061115241196</v>
      </c>
      <c r="AD1102">
        <v>0.87817550036872993</v>
      </c>
      <c r="AE1102">
        <v>0.88797329571506167</v>
      </c>
      <c r="AF1102">
        <v>0</v>
      </c>
      <c r="AG1102">
        <v>0</v>
      </c>
      <c r="AH1102">
        <v>0.41934267423285798</v>
      </c>
      <c r="AI1102">
        <v>0.46001679317682764</v>
      </c>
      <c r="AJ1102">
        <v>0.40925470017288734</v>
      </c>
      <c r="AK1102">
        <v>0.45958796449765826</v>
      </c>
      <c r="AL1102">
        <v>0.44108956633126251</v>
      </c>
      <c r="AM1102">
        <v>0.43874784625756541</v>
      </c>
      <c r="AN1102">
        <v>0.35519658220092964</v>
      </c>
      <c r="AO1102">
        <v>0.46029007860098126</v>
      </c>
      <c r="AP1102">
        <v>0</v>
      </c>
      <c r="AQ1102">
        <v>0</v>
      </c>
      <c r="AR1102">
        <v>1.1901276207857282E-3</v>
      </c>
      <c r="AS1102">
        <v>4.9812276754451629E-3</v>
      </c>
      <c r="AT1102">
        <v>5.4082092184299961E-3</v>
      </c>
      <c r="AU1102">
        <v>2.4541589737053387E-3</v>
      </c>
      <c r="AV1102">
        <v>2.338420064687795E-3</v>
      </c>
      <c r="AW1102">
        <v>3.7412818031870975E-3</v>
      </c>
      <c r="AX1102">
        <v>6.2025067184773828E-4</v>
      </c>
      <c r="AY1102">
        <v>6.3144229229776983E-4</v>
      </c>
      <c r="AZ1102">
        <v>0</v>
      </c>
      <c r="BA1102">
        <v>0</v>
      </c>
      <c r="BB1102">
        <v>6.6272442433043199E-2</v>
      </c>
      <c r="BC1102">
        <v>0.13941149554882568</v>
      </c>
      <c r="BD1102">
        <v>0</v>
      </c>
      <c r="BE1102">
        <v>81159.97151515189</v>
      </c>
      <c r="BF1102">
        <v>18.842281906992248</v>
      </c>
      <c r="BG1102">
        <v>82991.026969697225</v>
      </c>
      <c r="BH1102">
        <v>18.758128838182891</v>
      </c>
      <c r="BI1102">
        <v>-155.07515151515446</v>
      </c>
      <c r="BJ1102">
        <v>0.21197176234702833</v>
      </c>
    </row>
    <row r="1103" spans="3:62" x14ac:dyDescent="0.2">
      <c r="C1103" s="121">
        <v>81454.271414141796</v>
      </c>
      <c r="D1103">
        <v>18.927687052137038</v>
      </c>
      <c r="E1103" s="121">
        <v>83292.940505050763</v>
      </c>
      <c r="F1103" s="121">
        <v>18.843267573848433</v>
      </c>
      <c r="G1103" s="121">
        <v>-119.61080808081103</v>
      </c>
      <c r="H1103" s="121">
        <v>0.21466855665293849</v>
      </c>
      <c r="R1103">
        <v>483.49213077958268</v>
      </c>
      <c r="S1103">
        <v>76.639975483985197</v>
      </c>
      <c r="T1103">
        <v>315.51553453920906</v>
      </c>
      <c r="U1103">
        <v>118.1794197800475</v>
      </c>
      <c r="V1103">
        <v>0</v>
      </c>
      <c r="W1103">
        <v>0</v>
      </c>
      <c r="X1103">
        <v>0.89443363898473893</v>
      </c>
      <c r="Y1103">
        <v>0.8858246506521863</v>
      </c>
      <c r="Z1103">
        <v>0.89225534785729133</v>
      </c>
      <c r="AA1103">
        <v>0.87542634844112022</v>
      </c>
      <c r="AB1103">
        <v>0.89421625539128147</v>
      </c>
      <c r="AC1103">
        <v>0.86960980979107649</v>
      </c>
      <c r="AD1103">
        <v>0.88539942411560346</v>
      </c>
      <c r="AE1103">
        <v>0.89467849165789826</v>
      </c>
      <c r="AF1103">
        <v>0</v>
      </c>
      <c r="AG1103">
        <v>0</v>
      </c>
      <c r="AH1103">
        <v>0.42431757496174199</v>
      </c>
      <c r="AI1103">
        <v>0.46548082918016476</v>
      </c>
      <c r="AJ1103">
        <v>0.41411423189962099</v>
      </c>
      <c r="AK1103">
        <v>0.46503116693149465</v>
      </c>
      <c r="AL1103">
        <v>0.44627754278773768</v>
      </c>
      <c r="AM1103">
        <v>0.44394975786011698</v>
      </c>
      <c r="AN1103">
        <v>0.35940926067149964</v>
      </c>
      <c r="AO1103">
        <v>0.46575188990812932</v>
      </c>
      <c r="AP1103">
        <v>0</v>
      </c>
      <c r="AQ1103">
        <v>0</v>
      </c>
      <c r="AR1103">
        <v>1.1969460075751048E-3</v>
      </c>
      <c r="AS1103">
        <v>4.994160144673832E-3</v>
      </c>
      <c r="AT1103">
        <v>5.4211933680231661E-3</v>
      </c>
      <c r="AU1103">
        <v>2.4640347952922096E-3</v>
      </c>
      <c r="AV1103">
        <v>2.3468915175349336E-3</v>
      </c>
      <c r="AW1103">
        <v>3.7518501418212151E-3</v>
      </c>
      <c r="AX1103">
        <v>6.2473121729517253E-4</v>
      </c>
      <c r="AY1103">
        <v>6.3562231693405058E-4</v>
      </c>
      <c r="AZ1103">
        <v>0</v>
      </c>
      <c r="BA1103">
        <v>0</v>
      </c>
      <c r="BB1103">
        <v>6.6643295169688976E-2</v>
      </c>
      <c r="BC1103">
        <v>0.14102926548443198</v>
      </c>
      <c r="BD1103">
        <v>0</v>
      </c>
      <c r="BE1103">
        <v>81454.271414141796</v>
      </c>
      <c r="BF1103">
        <v>18.927687052137038</v>
      </c>
      <c r="BG1103">
        <v>83292.940505050763</v>
      </c>
      <c r="BH1103">
        <v>18.843267573848433</v>
      </c>
      <c r="BI1103">
        <v>-119.61080808081103</v>
      </c>
      <c r="BJ1103">
        <v>0.21466855665293849</v>
      </c>
    </row>
    <row r="1104" spans="3:62" x14ac:dyDescent="0.2">
      <c r="C1104" s="121">
        <v>81748.571313131702</v>
      </c>
      <c r="D1104">
        <v>19.013092197281829</v>
      </c>
      <c r="E1104" s="121">
        <v>83594.854040404301</v>
      </c>
      <c r="F1104" s="121">
        <v>18.928406309513974</v>
      </c>
      <c r="G1104" s="121">
        <v>-84.146464646467592</v>
      </c>
      <c r="H1104" s="121">
        <v>0.21736535095884865</v>
      </c>
      <c r="R1104">
        <v>489.90254442567556</v>
      </c>
      <c r="S1104">
        <v>77.030924336884922</v>
      </c>
      <c r="T1104">
        <v>317.13277094565427</v>
      </c>
      <c r="U1104">
        <v>118.84093632762018</v>
      </c>
      <c r="V1104">
        <v>0</v>
      </c>
      <c r="W1104">
        <v>0</v>
      </c>
      <c r="X1104">
        <v>0.90094709766196845</v>
      </c>
      <c r="Y1104">
        <v>0.89327012516267446</v>
      </c>
      <c r="Z1104">
        <v>0.89929544541466933</v>
      </c>
      <c r="AA1104">
        <v>0.88287750561040734</v>
      </c>
      <c r="AB1104">
        <v>0.90088831151995818</v>
      </c>
      <c r="AC1104">
        <v>0.87808900842974102</v>
      </c>
      <c r="AD1104">
        <v>0.89262334786247699</v>
      </c>
      <c r="AE1104">
        <v>0.90138368760073484</v>
      </c>
      <c r="AF1104">
        <v>0</v>
      </c>
      <c r="AG1104">
        <v>0</v>
      </c>
      <c r="AH1104">
        <v>0.42929247569062601</v>
      </c>
      <c r="AI1104">
        <v>0.47094486518350187</v>
      </c>
      <c r="AJ1104">
        <v>0.41897376362635463</v>
      </c>
      <c r="AK1104">
        <v>0.47047436936533105</v>
      </c>
      <c r="AL1104">
        <v>0.45146551924421285</v>
      </c>
      <c r="AM1104">
        <v>0.44915166946266855</v>
      </c>
      <c r="AN1104">
        <v>0.36362193914206964</v>
      </c>
      <c r="AO1104">
        <v>0.47121370121527739</v>
      </c>
      <c r="AP1104">
        <v>0</v>
      </c>
      <c r="AQ1104">
        <v>0</v>
      </c>
      <c r="AR1104">
        <v>1.2037643943644814E-3</v>
      </c>
      <c r="AS1104">
        <v>5.0070926139025012E-3</v>
      </c>
      <c r="AT1104">
        <v>5.4341775176163362E-3</v>
      </c>
      <c r="AU1104">
        <v>2.4739106168790805E-3</v>
      </c>
      <c r="AV1104">
        <v>2.3553629703820722E-3</v>
      </c>
      <c r="AW1104">
        <v>3.7624184804553326E-3</v>
      </c>
      <c r="AX1104">
        <v>6.2921176274260678E-4</v>
      </c>
      <c r="AY1104">
        <v>6.3980234157033134E-4</v>
      </c>
      <c r="AZ1104">
        <v>0</v>
      </c>
      <c r="BA1104">
        <v>0</v>
      </c>
      <c r="BB1104">
        <v>6.7014147906334753E-2</v>
      </c>
      <c r="BC1104">
        <v>0.14264703542003829</v>
      </c>
      <c r="BD1104">
        <v>0</v>
      </c>
      <c r="BE1104">
        <v>81748.571313131702</v>
      </c>
      <c r="BF1104">
        <v>19.013092197281829</v>
      </c>
      <c r="BG1104">
        <v>83594.854040404301</v>
      </c>
      <c r="BH1104">
        <v>18.928406309513974</v>
      </c>
      <c r="BI1104">
        <v>-84.146464646467592</v>
      </c>
      <c r="BJ1104">
        <v>0.21736535095884865</v>
      </c>
    </row>
    <row r="1105" spans="3:62" x14ac:dyDescent="0.2">
      <c r="C1105" s="121">
        <v>82042.871212121609</v>
      </c>
      <c r="D1105">
        <v>19.098497342426619</v>
      </c>
      <c r="E1105" s="121">
        <v>83896.76757575784</v>
      </c>
      <c r="F1105" s="121">
        <v>19.013545045179516</v>
      </c>
      <c r="G1105" s="121">
        <v>-48.682121212124159</v>
      </c>
      <c r="H1105" s="121">
        <v>0.22006214526475881</v>
      </c>
      <c r="R1105">
        <v>496.31295807176843</v>
      </c>
      <c r="S1105">
        <v>77.421873189784648</v>
      </c>
      <c r="T1105">
        <v>318.75000735209949</v>
      </c>
      <c r="U1105">
        <v>119.50245287519287</v>
      </c>
      <c r="V1105">
        <v>0</v>
      </c>
      <c r="W1105">
        <v>0</v>
      </c>
      <c r="X1105">
        <v>0.90746055633919798</v>
      </c>
      <c r="Y1105">
        <v>0.90071559967316261</v>
      </c>
      <c r="Z1105">
        <v>0.90633554297204733</v>
      </c>
      <c r="AA1105">
        <v>0.89032866277969447</v>
      </c>
      <c r="AB1105">
        <v>0.9075603676486349</v>
      </c>
      <c r="AC1105">
        <v>0.88656820706840556</v>
      </c>
      <c r="AD1105">
        <v>0.89984727160935052</v>
      </c>
      <c r="AE1105">
        <v>0.90808888354357142</v>
      </c>
      <c r="AF1105">
        <v>0</v>
      </c>
      <c r="AG1105">
        <v>0</v>
      </c>
      <c r="AH1105">
        <v>0.43426737641951002</v>
      </c>
      <c r="AI1105">
        <v>0.47640890118683898</v>
      </c>
      <c r="AJ1105">
        <v>0.42383329535308828</v>
      </c>
      <c r="AK1105">
        <v>0.47591757179916744</v>
      </c>
      <c r="AL1105">
        <v>0.45665349570068803</v>
      </c>
      <c r="AM1105">
        <v>0.45435358106522011</v>
      </c>
      <c r="AN1105">
        <v>0.36783461761263964</v>
      </c>
      <c r="AO1105">
        <v>0.47667551252242546</v>
      </c>
      <c r="AP1105">
        <v>0</v>
      </c>
      <c r="AQ1105">
        <v>0</v>
      </c>
      <c r="AR1105">
        <v>1.2105827811538579E-3</v>
      </c>
      <c r="AS1105">
        <v>5.0200250831311704E-3</v>
      </c>
      <c r="AT1105">
        <v>5.4471616672095062E-3</v>
      </c>
      <c r="AU1105">
        <v>2.4837864384659515E-3</v>
      </c>
      <c r="AV1105">
        <v>2.3638344232292108E-3</v>
      </c>
      <c r="AW1105">
        <v>3.7729868190894502E-3</v>
      </c>
      <c r="AX1105">
        <v>6.3369230819004102E-4</v>
      </c>
      <c r="AY1105">
        <v>6.439823662066121E-4</v>
      </c>
      <c r="AZ1105">
        <v>0</v>
      </c>
      <c r="BA1105">
        <v>0</v>
      </c>
      <c r="BB1105">
        <v>6.738500064298053E-2</v>
      </c>
      <c r="BC1105">
        <v>0.14426480535564459</v>
      </c>
      <c r="BD1105">
        <v>0</v>
      </c>
      <c r="BE1105">
        <v>82042.871212121609</v>
      </c>
      <c r="BF1105">
        <v>19.098497342426619</v>
      </c>
      <c r="BG1105">
        <v>83896.76757575784</v>
      </c>
      <c r="BH1105">
        <v>19.013545045179516</v>
      </c>
      <c r="BI1105">
        <v>-48.682121212124159</v>
      </c>
      <c r="BJ1105">
        <v>0.22006214526475881</v>
      </c>
    </row>
    <row r="1106" spans="3:62" x14ac:dyDescent="0.2">
      <c r="C1106" s="121">
        <v>82337.171111111515</v>
      </c>
      <c r="D1106">
        <v>19.183902487571409</v>
      </c>
      <c r="E1106" s="121">
        <v>84198.681111111378</v>
      </c>
      <c r="F1106" s="121">
        <v>19.098683780845057</v>
      </c>
      <c r="G1106" s="121">
        <v>-13.217777777780725</v>
      </c>
      <c r="H1106" s="121">
        <v>0.22275893957066897</v>
      </c>
      <c r="R1106">
        <v>502.72337171786131</v>
      </c>
      <c r="S1106">
        <v>77.812822042684374</v>
      </c>
      <c r="T1106">
        <v>320.3672437585447</v>
      </c>
      <c r="U1106">
        <v>120.16396942276556</v>
      </c>
      <c r="V1106">
        <v>0</v>
      </c>
      <c r="W1106">
        <v>0</v>
      </c>
      <c r="X1106">
        <v>0.9139740150164275</v>
      </c>
      <c r="Y1106">
        <v>0.90816107418365077</v>
      </c>
      <c r="Z1106">
        <v>0.91337564052942533</v>
      </c>
      <c r="AA1106">
        <v>0.89777981994898159</v>
      </c>
      <c r="AB1106">
        <v>0.91423242377731162</v>
      </c>
      <c r="AC1106">
        <v>0.89504740570707009</v>
      </c>
      <c r="AD1106">
        <v>0.90707119535622405</v>
      </c>
      <c r="AE1106">
        <v>0.91479407948640801</v>
      </c>
      <c r="AF1106">
        <v>0</v>
      </c>
      <c r="AG1106">
        <v>0</v>
      </c>
      <c r="AH1106">
        <v>0.43924227714839403</v>
      </c>
      <c r="AI1106">
        <v>0.4818729371901761</v>
      </c>
      <c r="AJ1106">
        <v>0.42869282707982193</v>
      </c>
      <c r="AK1106">
        <v>0.48136077423300383</v>
      </c>
      <c r="AL1106">
        <v>0.4618414721571632</v>
      </c>
      <c r="AM1106">
        <v>0.45955549266777168</v>
      </c>
      <c r="AN1106">
        <v>0.37204729608320963</v>
      </c>
      <c r="AO1106">
        <v>0.48213732382957353</v>
      </c>
      <c r="AP1106">
        <v>0</v>
      </c>
      <c r="AQ1106">
        <v>0</v>
      </c>
      <c r="AR1106">
        <v>1.2174011679432345E-3</v>
      </c>
      <c r="AS1106">
        <v>5.0329575523598395E-3</v>
      </c>
      <c r="AT1106">
        <v>5.4601458168026763E-3</v>
      </c>
      <c r="AU1106">
        <v>2.4936622600528224E-3</v>
      </c>
      <c r="AV1106">
        <v>2.3723058760763494E-3</v>
      </c>
      <c r="AW1106">
        <v>3.7835551577235678E-3</v>
      </c>
      <c r="AX1106">
        <v>6.3817285363747527E-4</v>
      </c>
      <c r="AY1106">
        <v>6.4816239084289286E-4</v>
      </c>
      <c r="AZ1106">
        <v>0</v>
      </c>
      <c r="BA1106">
        <v>0</v>
      </c>
      <c r="BB1106">
        <v>6.7755853379626307E-2</v>
      </c>
      <c r="BC1106">
        <v>0.1458825752912509</v>
      </c>
      <c r="BD1106">
        <v>0</v>
      </c>
      <c r="BE1106">
        <v>82337.171111111515</v>
      </c>
      <c r="BF1106">
        <v>19.183902487571409</v>
      </c>
      <c r="BG1106">
        <v>84198.681111111378</v>
      </c>
      <c r="BH1106">
        <v>19.098683780845057</v>
      </c>
      <c r="BI1106">
        <v>-13.217777777780725</v>
      </c>
      <c r="BJ1106">
        <v>0.22275893957066897</v>
      </c>
    </row>
    <row r="1107" spans="3:62" x14ac:dyDescent="0.2">
      <c r="C1107" s="121">
        <v>82631.471010101421</v>
      </c>
      <c r="D1107">
        <v>19.269307632716199</v>
      </c>
      <c r="E1107" s="121">
        <v>84500.594646464917</v>
      </c>
      <c r="F1107" s="121">
        <v>19.183822516510599</v>
      </c>
      <c r="G1107" s="121">
        <v>22.246565656562709</v>
      </c>
      <c r="H1107" s="121">
        <v>0.22545573387657913</v>
      </c>
      <c r="R1107">
        <v>509.13378536395419</v>
      </c>
      <c r="S1107">
        <v>78.2037708955841</v>
      </c>
      <c r="T1107">
        <v>321.98448016498992</v>
      </c>
      <c r="U1107">
        <v>120.82548597033825</v>
      </c>
      <c r="V1107">
        <v>0</v>
      </c>
      <c r="W1107">
        <v>0</v>
      </c>
      <c r="X1107">
        <v>0.92048747369365702</v>
      </c>
      <c r="Y1107">
        <v>0.91560654869413893</v>
      </c>
      <c r="Z1107">
        <v>0.92041573808680333</v>
      </c>
      <c r="AA1107">
        <v>0.90523097711826872</v>
      </c>
      <c r="AB1107">
        <v>0.92090447990598834</v>
      </c>
      <c r="AC1107">
        <v>0.90352660434573462</v>
      </c>
      <c r="AD1107">
        <v>0.91429511910309758</v>
      </c>
      <c r="AE1107">
        <v>0.92149927542924459</v>
      </c>
      <c r="AF1107">
        <v>0</v>
      </c>
      <c r="AG1107">
        <v>0</v>
      </c>
      <c r="AH1107">
        <v>0.44421717787727805</v>
      </c>
      <c r="AI1107">
        <v>0.48733697319351321</v>
      </c>
      <c r="AJ1107">
        <v>0.43355235880655557</v>
      </c>
      <c r="AK1107">
        <v>0.48680397666684022</v>
      </c>
      <c r="AL1107">
        <v>0.46702944861363838</v>
      </c>
      <c r="AM1107">
        <v>0.46475740427032325</v>
      </c>
      <c r="AN1107">
        <v>0.37625997455377963</v>
      </c>
      <c r="AO1107">
        <v>0.4875991351367216</v>
      </c>
      <c r="AP1107">
        <v>0</v>
      </c>
      <c r="AQ1107">
        <v>0</v>
      </c>
      <c r="AR1107">
        <v>1.2242195547326111E-3</v>
      </c>
      <c r="AS1107">
        <v>5.0458900215885087E-3</v>
      </c>
      <c r="AT1107">
        <v>5.4731299663958463E-3</v>
      </c>
      <c r="AU1107">
        <v>2.5035380816396933E-3</v>
      </c>
      <c r="AV1107">
        <v>2.380777328923488E-3</v>
      </c>
      <c r="AW1107">
        <v>3.7941234963576854E-3</v>
      </c>
      <c r="AX1107">
        <v>6.4265339908490952E-4</v>
      </c>
      <c r="AY1107">
        <v>6.5234241547917362E-4</v>
      </c>
      <c r="AZ1107">
        <v>0</v>
      </c>
      <c r="BA1107">
        <v>0</v>
      </c>
      <c r="BB1107">
        <v>6.8126706116272084E-2</v>
      </c>
      <c r="BC1107">
        <v>0.1475003452268572</v>
      </c>
      <c r="BD1107">
        <v>0</v>
      </c>
      <c r="BE1107">
        <v>82631.471010101421</v>
      </c>
      <c r="BF1107">
        <v>19.269307632716199</v>
      </c>
      <c r="BG1107">
        <v>84500.594646464917</v>
      </c>
      <c r="BH1107">
        <v>19.183822516510599</v>
      </c>
      <c r="BI1107">
        <v>22.246565656562709</v>
      </c>
      <c r="BJ1107">
        <v>0.22545573387657913</v>
      </c>
    </row>
    <row r="1108" spans="3:62" x14ac:dyDescent="0.2">
      <c r="C1108" s="121">
        <v>82925.770909091327</v>
      </c>
      <c r="D1108">
        <v>19.354712777860989</v>
      </c>
      <c r="E1108" s="121">
        <v>84802.508181818455</v>
      </c>
      <c r="F1108" s="121">
        <v>19.26896125217614</v>
      </c>
      <c r="G1108" s="121">
        <v>57.710909090906142</v>
      </c>
      <c r="H1108" s="121">
        <v>0.22815252818248929</v>
      </c>
      <c r="R1108">
        <v>515.54419901004701</v>
      </c>
      <c r="S1108">
        <v>78.594719748483826</v>
      </c>
      <c r="T1108">
        <v>323.60171657143513</v>
      </c>
      <c r="U1108">
        <v>121.48700251791094</v>
      </c>
      <c r="V1108">
        <v>0</v>
      </c>
      <c r="W1108">
        <v>0</v>
      </c>
      <c r="X1108">
        <v>0.92700093237088654</v>
      </c>
      <c r="Y1108">
        <v>0.92305202320462709</v>
      </c>
      <c r="Z1108">
        <v>0.92745583564418133</v>
      </c>
      <c r="AA1108">
        <v>0.91268213428755585</v>
      </c>
      <c r="AB1108">
        <v>0.92757653603466506</v>
      </c>
      <c r="AC1108">
        <v>0.91200580298439915</v>
      </c>
      <c r="AD1108">
        <v>0.9215190428499711</v>
      </c>
      <c r="AE1108">
        <v>0.92820447137208117</v>
      </c>
      <c r="AF1108">
        <v>0</v>
      </c>
      <c r="AG1108">
        <v>0</v>
      </c>
      <c r="AH1108">
        <v>0.44919207860616206</v>
      </c>
      <c r="AI1108">
        <v>0.49280100919685033</v>
      </c>
      <c r="AJ1108">
        <v>0.43841189053328922</v>
      </c>
      <c r="AK1108">
        <v>0.49224717910067661</v>
      </c>
      <c r="AL1108">
        <v>0.47221742507011355</v>
      </c>
      <c r="AM1108">
        <v>0.46995931587287482</v>
      </c>
      <c r="AN1108">
        <v>0.38047265302434963</v>
      </c>
      <c r="AO1108">
        <v>0.49306094644386966</v>
      </c>
      <c r="AP1108">
        <v>0</v>
      </c>
      <c r="AQ1108">
        <v>0</v>
      </c>
      <c r="AR1108">
        <v>1.2310379415219877E-3</v>
      </c>
      <c r="AS1108">
        <v>5.0588224908171778E-3</v>
      </c>
      <c r="AT1108">
        <v>5.4861141159890164E-3</v>
      </c>
      <c r="AU1108">
        <v>2.5134139032265642E-3</v>
      </c>
      <c r="AV1108">
        <v>2.3892487817706266E-3</v>
      </c>
      <c r="AW1108">
        <v>3.8046918349918029E-3</v>
      </c>
      <c r="AX1108">
        <v>6.4713394453234376E-4</v>
      </c>
      <c r="AY1108">
        <v>6.5652244011545438E-4</v>
      </c>
      <c r="AZ1108">
        <v>0</v>
      </c>
      <c r="BA1108">
        <v>0</v>
      </c>
      <c r="BB1108">
        <v>6.8497558852917861E-2</v>
      </c>
      <c r="BC1108">
        <v>0.14911811516246351</v>
      </c>
      <c r="BD1108">
        <v>0</v>
      </c>
      <c r="BE1108">
        <v>82925.770909091327</v>
      </c>
      <c r="BF1108">
        <v>19.354712777860989</v>
      </c>
      <c r="BG1108">
        <v>84802.508181818455</v>
      </c>
      <c r="BH1108">
        <v>19.26896125217614</v>
      </c>
      <c r="BI1108">
        <v>57.710909090906142</v>
      </c>
      <c r="BJ1108">
        <v>0.22815252818248929</v>
      </c>
    </row>
    <row r="1109" spans="3:62" x14ac:dyDescent="0.2">
      <c r="C1109" s="121">
        <v>83220.070808081233</v>
      </c>
      <c r="D1109">
        <v>19.440117923005779</v>
      </c>
      <c r="E1109" s="121">
        <v>85104.421717171994</v>
      </c>
      <c r="F1109" s="121">
        <v>19.354099987841682</v>
      </c>
      <c r="G1109" s="121">
        <v>93.175252525249576</v>
      </c>
      <c r="H1109" s="121">
        <v>0.23084932248839946</v>
      </c>
      <c r="R1109">
        <v>521.95461265613983</v>
      </c>
      <c r="S1109">
        <v>78.985668601383551</v>
      </c>
      <c r="T1109">
        <v>325.21895297788035</v>
      </c>
      <c r="U1109">
        <v>122.14851906548363</v>
      </c>
      <c r="V1109">
        <v>0</v>
      </c>
      <c r="W1109">
        <v>0</v>
      </c>
      <c r="X1109">
        <v>0.93351439104811607</v>
      </c>
      <c r="Y1109">
        <v>0.93049749771511525</v>
      </c>
      <c r="Z1109">
        <v>0.93449593320155933</v>
      </c>
      <c r="AA1109">
        <v>0.92013329145684297</v>
      </c>
      <c r="AB1109">
        <v>0.93424859216334177</v>
      </c>
      <c r="AC1109">
        <v>0.92048500162306368</v>
      </c>
      <c r="AD1109">
        <v>0.92874296659684463</v>
      </c>
      <c r="AE1109">
        <v>0.93490966731491776</v>
      </c>
      <c r="AF1109">
        <v>0</v>
      </c>
      <c r="AG1109">
        <v>0</v>
      </c>
      <c r="AH1109">
        <v>0.45416697933504607</v>
      </c>
      <c r="AI1109">
        <v>0.49826504520018744</v>
      </c>
      <c r="AJ1109">
        <v>0.44327142226002286</v>
      </c>
      <c r="AK1109">
        <v>0.497690381534513</v>
      </c>
      <c r="AL1109">
        <v>0.47740540152658872</v>
      </c>
      <c r="AM1109">
        <v>0.47516122747542638</v>
      </c>
      <c r="AN1109">
        <v>0.38468533149491962</v>
      </c>
      <c r="AO1109">
        <v>0.49852275775101773</v>
      </c>
      <c r="AP1109">
        <v>0</v>
      </c>
      <c r="AQ1109">
        <v>0</v>
      </c>
      <c r="AR1109">
        <v>1.2378563283113643E-3</v>
      </c>
      <c r="AS1109">
        <v>5.071754960045847E-3</v>
      </c>
      <c r="AT1109">
        <v>5.4990982655821865E-3</v>
      </c>
      <c r="AU1109">
        <v>2.5232897248134351E-3</v>
      </c>
      <c r="AV1109">
        <v>2.3977202346177652E-3</v>
      </c>
      <c r="AW1109">
        <v>3.8152601736259205E-3</v>
      </c>
      <c r="AX1109">
        <v>6.5161448997977801E-4</v>
      </c>
      <c r="AY1109">
        <v>6.6070246475173513E-4</v>
      </c>
      <c r="AZ1109">
        <v>0</v>
      </c>
      <c r="BA1109">
        <v>0</v>
      </c>
      <c r="BB1109">
        <v>6.8868411589563638E-2</v>
      </c>
      <c r="BC1109">
        <v>0.15073588509806982</v>
      </c>
      <c r="BD1109">
        <v>0</v>
      </c>
      <c r="BE1109">
        <v>83220.070808081233</v>
      </c>
      <c r="BF1109">
        <v>19.440117923005779</v>
      </c>
      <c r="BG1109">
        <v>85104.421717171994</v>
      </c>
      <c r="BH1109">
        <v>19.354099987841682</v>
      </c>
      <c r="BI1109">
        <v>93.175252525249576</v>
      </c>
      <c r="BJ1109">
        <v>0.23084932248839946</v>
      </c>
    </row>
    <row r="1110" spans="3:62" x14ac:dyDescent="0.2">
      <c r="C1110" s="121">
        <v>83514.370707071139</v>
      </c>
      <c r="D1110">
        <v>19.525523068150569</v>
      </c>
      <c r="E1110" s="121">
        <v>85406.335252525532</v>
      </c>
      <c r="F1110" s="121">
        <v>19.439238723507223</v>
      </c>
      <c r="G1110" s="121">
        <v>128.63959595959301</v>
      </c>
      <c r="H1110" s="121">
        <v>0.23354611679430962</v>
      </c>
      <c r="R1110">
        <v>528.36502630223265</v>
      </c>
      <c r="S1110">
        <v>79.376617454283277</v>
      </c>
      <c r="T1110">
        <v>326.83618938432556</v>
      </c>
      <c r="U1110">
        <v>122.81003561305631</v>
      </c>
      <c r="V1110">
        <v>0</v>
      </c>
      <c r="W1110">
        <v>0</v>
      </c>
      <c r="X1110">
        <v>0.94002784972534559</v>
      </c>
      <c r="Y1110">
        <v>0.93794297222560341</v>
      </c>
      <c r="Z1110">
        <v>0.94153603075893733</v>
      </c>
      <c r="AA1110">
        <v>0.9275844486261301</v>
      </c>
      <c r="AB1110">
        <v>0.94092064829201849</v>
      </c>
      <c r="AC1110">
        <v>0.92896420026172821</v>
      </c>
      <c r="AD1110">
        <v>0.93596689034371816</v>
      </c>
      <c r="AE1110">
        <v>0.94161486325775434</v>
      </c>
      <c r="AF1110">
        <v>0</v>
      </c>
      <c r="AG1110">
        <v>0</v>
      </c>
      <c r="AH1110">
        <v>0.45914188006393009</v>
      </c>
      <c r="AI1110">
        <v>0.50372908120352455</v>
      </c>
      <c r="AJ1110">
        <v>0.44813095398675651</v>
      </c>
      <c r="AK1110">
        <v>0.5031335839683494</v>
      </c>
      <c r="AL1110">
        <v>0.4825933779830639</v>
      </c>
      <c r="AM1110">
        <v>0.48036313907797795</v>
      </c>
      <c r="AN1110">
        <v>0.38889800996548962</v>
      </c>
      <c r="AO1110">
        <v>0.5039845690581658</v>
      </c>
      <c r="AP1110">
        <v>0</v>
      </c>
      <c r="AQ1110">
        <v>0</v>
      </c>
      <c r="AR1110">
        <v>1.2446747151007409E-3</v>
      </c>
      <c r="AS1110">
        <v>5.0846874292745162E-3</v>
      </c>
      <c r="AT1110">
        <v>5.5120824151753565E-3</v>
      </c>
      <c r="AU1110">
        <v>2.5331655464003061E-3</v>
      </c>
      <c r="AV1110">
        <v>2.4061916874649038E-3</v>
      </c>
      <c r="AW1110">
        <v>3.8258285122600381E-3</v>
      </c>
      <c r="AX1110">
        <v>6.5609503542721226E-4</v>
      </c>
      <c r="AY1110">
        <v>6.6488248938801589E-4</v>
      </c>
      <c r="AZ1110">
        <v>0</v>
      </c>
      <c r="BA1110">
        <v>0</v>
      </c>
      <c r="BB1110">
        <v>6.9239264326209415E-2</v>
      </c>
      <c r="BC1110">
        <v>0.15235365503367612</v>
      </c>
      <c r="BD1110">
        <v>0</v>
      </c>
      <c r="BE1110">
        <v>83514.370707071139</v>
      </c>
      <c r="BF1110">
        <v>19.525523068150569</v>
      </c>
      <c r="BG1110">
        <v>85406.335252525532</v>
      </c>
      <c r="BH1110">
        <v>19.439238723507223</v>
      </c>
      <c r="BI1110">
        <v>128.63959595959301</v>
      </c>
      <c r="BJ1110">
        <v>0.23354611679430962</v>
      </c>
    </row>
    <row r="1111" spans="3:62" x14ac:dyDescent="0.2">
      <c r="C1111" s="121">
        <v>83808.670606061045</v>
      </c>
      <c r="D1111">
        <v>19.61092821329536</v>
      </c>
      <c r="E1111" s="121">
        <v>85708.248787879071</v>
      </c>
      <c r="F1111" s="121">
        <v>19.524377459172765</v>
      </c>
      <c r="G1111" s="121">
        <v>164.10393939393646</v>
      </c>
      <c r="H1111" s="121">
        <v>0.23624291110021978</v>
      </c>
      <c r="R1111">
        <v>534.77543994832547</v>
      </c>
      <c r="S1111">
        <v>79.767566307183003</v>
      </c>
      <c r="T1111">
        <v>328.45342579077078</v>
      </c>
      <c r="U1111">
        <v>123.471552160629</v>
      </c>
      <c r="V1111">
        <v>0</v>
      </c>
      <c r="W1111">
        <v>0</v>
      </c>
      <c r="X1111">
        <v>0.94654130840257511</v>
      </c>
      <c r="Y1111">
        <v>0.94538844673609157</v>
      </c>
      <c r="Z1111">
        <v>0.94857612831631533</v>
      </c>
      <c r="AA1111">
        <v>0.93503560579541722</v>
      </c>
      <c r="AB1111">
        <v>0.94759270442069521</v>
      </c>
      <c r="AC1111">
        <v>0.93744339890039274</v>
      </c>
      <c r="AD1111">
        <v>0.94319081409059169</v>
      </c>
      <c r="AE1111">
        <v>0.94832005920059093</v>
      </c>
      <c r="AF1111">
        <v>0</v>
      </c>
      <c r="AG1111">
        <v>0</v>
      </c>
      <c r="AH1111">
        <v>0.4641167807928141</v>
      </c>
      <c r="AI1111">
        <v>0.50919311720686167</v>
      </c>
      <c r="AJ1111">
        <v>0.45299048571349015</v>
      </c>
      <c r="AK1111">
        <v>0.50857678640218573</v>
      </c>
      <c r="AL1111">
        <v>0.48778135443953907</v>
      </c>
      <c r="AM1111">
        <v>0.48556505068052952</v>
      </c>
      <c r="AN1111">
        <v>0.39311068843605962</v>
      </c>
      <c r="AO1111">
        <v>0.50944638036531387</v>
      </c>
      <c r="AP1111">
        <v>0</v>
      </c>
      <c r="AQ1111">
        <v>0</v>
      </c>
      <c r="AR1111">
        <v>1.2514931018901174E-3</v>
      </c>
      <c r="AS1111">
        <v>5.0976198985031853E-3</v>
      </c>
      <c r="AT1111">
        <v>5.5250665647685266E-3</v>
      </c>
      <c r="AU1111">
        <v>2.543041367987177E-3</v>
      </c>
      <c r="AV1111">
        <v>2.4146631403120424E-3</v>
      </c>
      <c r="AW1111">
        <v>3.8363968508941556E-3</v>
      </c>
      <c r="AX1111">
        <v>6.605755808746465E-4</v>
      </c>
      <c r="AY1111">
        <v>6.6906251402429665E-4</v>
      </c>
      <c r="AZ1111">
        <v>0</v>
      </c>
      <c r="BA1111">
        <v>0</v>
      </c>
      <c r="BB1111">
        <v>6.9610117062855192E-2</v>
      </c>
      <c r="BC1111">
        <v>0.15397142496928243</v>
      </c>
      <c r="BD1111">
        <v>0</v>
      </c>
      <c r="BE1111">
        <v>83808.670606061045</v>
      </c>
      <c r="BF1111">
        <v>19.61092821329536</v>
      </c>
      <c r="BG1111">
        <v>85708.248787879071</v>
      </c>
      <c r="BH1111">
        <v>19.524377459172765</v>
      </c>
      <c r="BI1111">
        <v>164.10393939393646</v>
      </c>
      <c r="BJ1111">
        <v>0.23624291110021978</v>
      </c>
    </row>
    <row r="1112" spans="3:62" x14ac:dyDescent="0.2">
      <c r="C1112" s="121">
        <v>84102.970505050951</v>
      </c>
      <c r="D1112">
        <v>19.69633335844015</v>
      </c>
      <c r="E1112" s="121">
        <v>86010.162323232609</v>
      </c>
      <c r="F1112" s="121">
        <v>19.609516194838307</v>
      </c>
      <c r="G1112" s="121">
        <v>199.56828282827991</v>
      </c>
      <c r="H1112" s="121">
        <v>0.23893970540612994</v>
      </c>
      <c r="R1112">
        <v>541.18585359441829</v>
      </c>
      <c r="S1112">
        <v>80.158515160082729</v>
      </c>
      <c r="T1112">
        <v>330.070662197216</v>
      </c>
      <c r="U1112">
        <v>124.13306870820169</v>
      </c>
      <c r="V1112">
        <v>0</v>
      </c>
      <c r="W1112">
        <v>0</v>
      </c>
      <c r="X1112">
        <v>0.95305476707980463</v>
      </c>
      <c r="Y1112">
        <v>0.95283392124657973</v>
      </c>
      <c r="Z1112">
        <v>0.95561622587369333</v>
      </c>
      <c r="AA1112">
        <v>0.94248676296470435</v>
      </c>
      <c r="AB1112">
        <v>0.95426476054937193</v>
      </c>
      <c r="AC1112">
        <v>0.94592259753905727</v>
      </c>
      <c r="AD1112">
        <v>0.95041473783746522</v>
      </c>
      <c r="AE1112">
        <v>0.95502525514342751</v>
      </c>
      <c r="AF1112">
        <v>0</v>
      </c>
      <c r="AG1112">
        <v>0</v>
      </c>
      <c r="AH1112">
        <v>0.46909168152169811</v>
      </c>
      <c r="AI1112">
        <v>0.51465715321019878</v>
      </c>
      <c r="AJ1112">
        <v>0.4578500174402238</v>
      </c>
      <c r="AK1112">
        <v>0.51401998883602207</v>
      </c>
      <c r="AL1112">
        <v>0.49296933089601425</v>
      </c>
      <c r="AM1112">
        <v>0.49076696228308109</v>
      </c>
      <c r="AN1112">
        <v>0.39732336690662962</v>
      </c>
      <c r="AO1112">
        <v>0.51490819167246193</v>
      </c>
      <c r="AP1112">
        <v>0</v>
      </c>
      <c r="AQ1112">
        <v>0</v>
      </c>
      <c r="AR1112">
        <v>1.258311488679494E-3</v>
      </c>
      <c r="AS1112">
        <v>5.1105523677318545E-3</v>
      </c>
      <c r="AT1112">
        <v>5.5380507143616966E-3</v>
      </c>
      <c r="AU1112">
        <v>2.5529171895740479E-3</v>
      </c>
      <c r="AV1112">
        <v>2.423134593159181E-3</v>
      </c>
      <c r="AW1112">
        <v>3.8469651895282732E-3</v>
      </c>
      <c r="AX1112">
        <v>6.6505612632208075E-4</v>
      </c>
      <c r="AY1112">
        <v>6.7324253866057741E-4</v>
      </c>
      <c r="AZ1112">
        <v>0</v>
      </c>
      <c r="BA1112">
        <v>0</v>
      </c>
      <c r="BB1112">
        <v>6.9980969799500969E-2</v>
      </c>
      <c r="BC1112">
        <v>0.15558919490488873</v>
      </c>
      <c r="BD1112">
        <v>0</v>
      </c>
      <c r="BE1112">
        <v>84102.970505050951</v>
      </c>
      <c r="BF1112">
        <v>19.69633335844015</v>
      </c>
      <c r="BG1112">
        <v>86010.162323232609</v>
      </c>
      <c r="BH1112">
        <v>19.609516194838307</v>
      </c>
      <c r="BI1112">
        <v>199.56828282827991</v>
      </c>
      <c r="BJ1112">
        <v>0.23893970540612994</v>
      </c>
    </row>
    <row r="1113" spans="3:62" x14ac:dyDescent="0.2">
      <c r="C1113" s="121">
        <v>84397.270404040857</v>
      </c>
      <c r="D1113">
        <v>19.78173850358494</v>
      </c>
      <c r="E1113" s="121">
        <v>86312.075858586148</v>
      </c>
      <c r="F1113" s="121">
        <v>19.694654930503848</v>
      </c>
      <c r="G1113" s="121">
        <v>235.03262626262335</v>
      </c>
      <c r="H1113" s="121">
        <v>0.2416364997120401</v>
      </c>
      <c r="R1113">
        <v>547.59626724051111</v>
      </c>
      <c r="S1113">
        <v>80.549464012982455</v>
      </c>
      <c r="T1113">
        <v>331.68789860366121</v>
      </c>
      <c r="U1113">
        <v>124.79458525577438</v>
      </c>
      <c r="V1113">
        <v>0</v>
      </c>
      <c r="W1113">
        <v>0</v>
      </c>
      <c r="X1113">
        <v>0.95956822575703415</v>
      </c>
      <c r="Y1113">
        <v>0.96027939575706789</v>
      </c>
      <c r="Z1113">
        <v>0.96265632343107133</v>
      </c>
      <c r="AA1113">
        <v>0.94993792013399148</v>
      </c>
      <c r="AB1113">
        <v>0.96093681667804864</v>
      </c>
      <c r="AC1113">
        <v>0.95440179617772181</v>
      </c>
      <c r="AD1113">
        <v>0.95763866158433875</v>
      </c>
      <c r="AE1113">
        <v>0.96173045108626409</v>
      </c>
      <c r="AF1113">
        <v>0</v>
      </c>
      <c r="AG1113">
        <v>0</v>
      </c>
      <c r="AH1113">
        <v>0.47406658225058212</v>
      </c>
      <c r="AI1113">
        <v>0.52012118921353589</v>
      </c>
      <c r="AJ1113">
        <v>0.46270954916695745</v>
      </c>
      <c r="AK1113">
        <v>0.5194631912698584</v>
      </c>
      <c r="AL1113">
        <v>0.49815730735248942</v>
      </c>
      <c r="AM1113">
        <v>0.49596887388563266</v>
      </c>
      <c r="AN1113">
        <v>0.40153604537719961</v>
      </c>
      <c r="AO1113">
        <v>0.52037000297961</v>
      </c>
      <c r="AP1113">
        <v>0</v>
      </c>
      <c r="AQ1113">
        <v>0</v>
      </c>
      <c r="AR1113">
        <v>1.2651298754688706E-3</v>
      </c>
      <c r="AS1113">
        <v>5.1234848369605237E-3</v>
      </c>
      <c r="AT1113">
        <v>5.5510348639548667E-3</v>
      </c>
      <c r="AU1113">
        <v>2.5627930111609188E-3</v>
      </c>
      <c r="AV1113">
        <v>2.4316060460063196E-3</v>
      </c>
      <c r="AW1113">
        <v>3.8575335281623908E-3</v>
      </c>
      <c r="AX1113">
        <v>6.69536671769515E-4</v>
      </c>
      <c r="AY1113">
        <v>6.7742256329685817E-4</v>
      </c>
      <c r="AZ1113">
        <v>0</v>
      </c>
      <c r="BA1113">
        <v>0</v>
      </c>
      <c r="BB1113">
        <v>7.0351822536146746E-2</v>
      </c>
      <c r="BC1113">
        <v>0.15720696484049504</v>
      </c>
      <c r="BD1113">
        <v>0</v>
      </c>
      <c r="BE1113">
        <v>84397.270404040857</v>
      </c>
      <c r="BF1113">
        <v>19.78173850358494</v>
      </c>
      <c r="BG1113">
        <v>86312.075858586148</v>
      </c>
      <c r="BH1113">
        <v>19.694654930503848</v>
      </c>
      <c r="BI1113">
        <v>235.03262626262335</v>
      </c>
      <c r="BJ1113">
        <v>0.2416364997120401</v>
      </c>
    </row>
    <row r="1114" spans="3:62" x14ac:dyDescent="0.2">
      <c r="C1114" s="121">
        <v>84691.570303030763</v>
      </c>
      <c r="D1114">
        <v>19.86714364872973</v>
      </c>
      <c r="E1114" s="121">
        <v>86613.989393939686</v>
      </c>
      <c r="F1114" s="121">
        <v>19.77979366616939</v>
      </c>
      <c r="G1114" s="121">
        <v>270.4969696969668</v>
      </c>
      <c r="H1114" s="121">
        <v>0.24433329401795026</v>
      </c>
      <c r="R1114">
        <v>554.00668088660393</v>
      </c>
      <c r="S1114">
        <v>80.94041286588218</v>
      </c>
      <c r="T1114">
        <v>333.30513501010643</v>
      </c>
      <c r="U1114">
        <v>125.45610180334707</v>
      </c>
      <c r="V1114">
        <v>0</v>
      </c>
      <c r="W1114">
        <v>0</v>
      </c>
      <c r="X1114">
        <v>0.96608168443426368</v>
      </c>
      <c r="Y1114">
        <v>0.96772487026755605</v>
      </c>
      <c r="Z1114">
        <v>0.96969642098844933</v>
      </c>
      <c r="AA1114">
        <v>0.9573890773032786</v>
      </c>
      <c r="AB1114">
        <v>0.96760887280672536</v>
      </c>
      <c r="AC1114">
        <v>0.96288099481638634</v>
      </c>
      <c r="AD1114">
        <v>0.96486258533121227</v>
      </c>
      <c r="AE1114">
        <v>0.96843564702910068</v>
      </c>
      <c r="AF1114">
        <v>0</v>
      </c>
      <c r="AG1114">
        <v>0</v>
      </c>
      <c r="AH1114">
        <v>0.47904148297946614</v>
      </c>
      <c r="AI1114">
        <v>0.52558522521687301</v>
      </c>
      <c r="AJ1114">
        <v>0.46756908089369109</v>
      </c>
      <c r="AK1114">
        <v>0.52490639370369474</v>
      </c>
      <c r="AL1114">
        <v>0.50334528380896459</v>
      </c>
      <c r="AM1114">
        <v>0.50117078548818417</v>
      </c>
      <c r="AN1114">
        <v>0.40574872384776961</v>
      </c>
      <c r="AO1114">
        <v>0.52583181428675807</v>
      </c>
      <c r="AP1114">
        <v>0</v>
      </c>
      <c r="AQ1114">
        <v>0</v>
      </c>
      <c r="AR1114">
        <v>1.2719482622582472E-3</v>
      </c>
      <c r="AS1114">
        <v>5.1364173061891928E-3</v>
      </c>
      <c r="AT1114">
        <v>5.5640190135480367E-3</v>
      </c>
      <c r="AU1114">
        <v>2.5726688327477897E-3</v>
      </c>
      <c r="AV1114">
        <v>2.4400774988534582E-3</v>
      </c>
      <c r="AW1114">
        <v>3.8681018667965084E-3</v>
      </c>
      <c r="AX1114">
        <v>6.7401721721694924E-4</v>
      </c>
      <c r="AY1114">
        <v>6.8160258793313892E-4</v>
      </c>
      <c r="AZ1114">
        <v>0</v>
      </c>
      <c r="BA1114">
        <v>0</v>
      </c>
      <c r="BB1114">
        <v>7.0722675272792523E-2</v>
      </c>
      <c r="BC1114">
        <v>0.15882473477610135</v>
      </c>
      <c r="BD1114">
        <v>0</v>
      </c>
      <c r="BE1114">
        <v>84691.570303030763</v>
      </c>
      <c r="BF1114">
        <v>19.86714364872973</v>
      </c>
      <c r="BG1114">
        <v>86613.989393939686</v>
      </c>
      <c r="BH1114">
        <v>19.77979366616939</v>
      </c>
      <c r="BI1114">
        <v>270.4969696969668</v>
      </c>
      <c r="BJ1114">
        <v>0.24433329401795026</v>
      </c>
    </row>
    <row r="1115" spans="3:62" x14ac:dyDescent="0.2">
      <c r="C1115" s="121">
        <v>84985.870202020669</v>
      </c>
      <c r="D1115">
        <v>19.95254879387452</v>
      </c>
      <c r="E1115" s="121">
        <v>86915.902929293225</v>
      </c>
      <c r="F1115" s="121">
        <v>19.864932401834931</v>
      </c>
      <c r="G1115" s="121">
        <v>305.96131313131025</v>
      </c>
      <c r="H1115" s="121">
        <v>0.24703008832386042</v>
      </c>
      <c r="R1115">
        <v>560.41709453269675</v>
      </c>
      <c r="S1115">
        <v>81.331361718781906</v>
      </c>
      <c r="T1115">
        <v>334.92237141655164</v>
      </c>
      <c r="U1115">
        <v>126.11761835091976</v>
      </c>
      <c r="V1115">
        <v>0</v>
      </c>
      <c r="W1115">
        <v>0</v>
      </c>
      <c r="X1115">
        <v>0.9725951431114932</v>
      </c>
      <c r="Y1115">
        <v>0.97517034477804421</v>
      </c>
      <c r="Z1115">
        <v>0.97673651854582733</v>
      </c>
      <c r="AA1115">
        <v>0.96484023447256573</v>
      </c>
      <c r="AB1115">
        <v>0.97428092893540208</v>
      </c>
      <c r="AC1115">
        <v>0.97136019345505087</v>
      </c>
      <c r="AD1115">
        <v>0.9720865090780858</v>
      </c>
      <c r="AE1115">
        <v>0.97514084297193726</v>
      </c>
      <c r="AF1115">
        <v>0</v>
      </c>
      <c r="AG1115">
        <v>0</v>
      </c>
      <c r="AH1115">
        <v>0.48401638370835015</v>
      </c>
      <c r="AI1115">
        <v>0.53104926122021012</v>
      </c>
      <c r="AJ1115">
        <v>0.47242861262042474</v>
      </c>
      <c r="AK1115">
        <v>0.53034959613753108</v>
      </c>
      <c r="AL1115">
        <v>0.50853326026543977</v>
      </c>
      <c r="AM1115">
        <v>0.50637269709073573</v>
      </c>
      <c r="AN1115">
        <v>0.40996140231833961</v>
      </c>
      <c r="AO1115">
        <v>0.53129362559390614</v>
      </c>
      <c r="AP1115">
        <v>0</v>
      </c>
      <c r="AQ1115">
        <v>0</v>
      </c>
      <c r="AR1115">
        <v>1.2787666490476238E-3</v>
      </c>
      <c r="AS1115">
        <v>5.149349775417862E-3</v>
      </c>
      <c r="AT1115">
        <v>5.5770031631412068E-3</v>
      </c>
      <c r="AU1115">
        <v>2.5825446543346607E-3</v>
      </c>
      <c r="AV1115">
        <v>2.4485489517005968E-3</v>
      </c>
      <c r="AW1115">
        <v>3.8786702054306259E-3</v>
      </c>
      <c r="AX1115">
        <v>6.7849776266438349E-4</v>
      </c>
      <c r="AY1115">
        <v>6.8578261256941968E-4</v>
      </c>
      <c r="AZ1115">
        <v>0</v>
      </c>
      <c r="BA1115">
        <v>0</v>
      </c>
      <c r="BB1115">
        <v>7.10935280094383E-2</v>
      </c>
      <c r="BC1115">
        <v>0.16044250471170765</v>
      </c>
      <c r="BD1115">
        <v>0</v>
      </c>
      <c r="BE1115">
        <v>84985.870202020669</v>
      </c>
      <c r="BF1115">
        <v>19.95254879387452</v>
      </c>
      <c r="BG1115">
        <v>86915.902929293225</v>
      </c>
      <c r="BH1115">
        <v>19.864932401834931</v>
      </c>
      <c r="BI1115">
        <v>305.96131313131025</v>
      </c>
      <c r="BJ1115">
        <v>0.24703008832386042</v>
      </c>
    </row>
    <row r="1116" spans="3:62" x14ac:dyDescent="0.2">
      <c r="C1116" s="121">
        <v>85280.170101010575</v>
      </c>
      <c r="D1116">
        <v>20.03795393901931</v>
      </c>
      <c r="E1116" s="121">
        <v>87217.816464646763</v>
      </c>
      <c r="F1116" s="121">
        <v>19.950071137500473</v>
      </c>
      <c r="G1116" s="121">
        <v>341.4256565656537</v>
      </c>
      <c r="H1116" s="121">
        <v>0.24972688262977058</v>
      </c>
      <c r="R1116">
        <v>566.82750817878957</v>
      </c>
      <c r="S1116">
        <v>81.722310571681632</v>
      </c>
      <c r="T1116">
        <v>336.53960782299686</v>
      </c>
      <c r="U1116">
        <v>126.77913489849244</v>
      </c>
      <c r="V1116">
        <v>0</v>
      </c>
      <c r="W1116">
        <v>0</v>
      </c>
      <c r="X1116">
        <v>0.97910860178872272</v>
      </c>
      <c r="Y1116">
        <v>0.98261581928853237</v>
      </c>
      <c r="Z1116">
        <v>0.98377661610320533</v>
      </c>
      <c r="AA1116">
        <v>0.97229139164185285</v>
      </c>
      <c r="AB1116">
        <v>0.9809529850640788</v>
      </c>
      <c r="AC1116">
        <v>0.9798393920937154</v>
      </c>
      <c r="AD1116">
        <v>0.97931043282495933</v>
      </c>
      <c r="AE1116">
        <v>0.98184603891477384</v>
      </c>
      <c r="AF1116">
        <v>0</v>
      </c>
      <c r="AG1116">
        <v>0</v>
      </c>
      <c r="AH1116">
        <v>0.48899128443723416</v>
      </c>
      <c r="AI1116">
        <v>0.53651329722354724</v>
      </c>
      <c r="AJ1116">
        <v>0.47728814434715838</v>
      </c>
      <c r="AK1116">
        <v>0.53579279857136741</v>
      </c>
      <c r="AL1116">
        <v>0.51372123672191494</v>
      </c>
      <c r="AM1116">
        <v>0.5115746086932873</v>
      </c>
      <c r="AN1116">
        <v>0.4141740807889096</v>
      </c>
      <c r="AO1116">
        <v>0.53675543690105421</v>
      </c>
      <c r="AP1116">
        <v>0</v>
      </c>
      <c r="AQ1116">
        <v>0</v>
      </c>
      <c r="AR1116">
        <v>1.2855850358370004E-3</v>
      </c>
      <c r="AS1116">
        <v>5.1622822446465311E-3</v>
      </c>
      <c r="AT1116">
        <v>5.5899873127343768E-3</v>
      </c>
      <c r="AU1116">
        <v>2.5924204759215316E-3</v>
      </c>
      <c r="AV1116">
        <v>2.4570204045477355E-3</v>
      </c>
      <c r="AW1116">
        <v>3.8892385440647435E-3</v>
      </c>
      <c r="AX1116">
        <v>6.8297830811181774E-4</v>
      </c>
      <c r="AY1116">
        <v>6.8996263720570044E-4</v>
      </c>
      <c r="AZ1116">
        <v>0</v>
      </c>
      <c r="BA1116">
        <v>0</v>
      </c>
      <c r="BB1116">
        <v>7.1464380746084077E-2</v>
      </c>
      <c r="BC1116">
        <v>0.16206027464731396</v>
      </c>
      <c r="BD1116">
        <v>0</v>
      </c>
      <c r="BE1116">
        <v>85280.170101010575</v>
      </c>
      <c r="BF1116">
        <v>20.03795393901931</v>
      </c>
      <c r="BG1116">
        <v>87217.816464646763</v>
      </c>
      <c r="BH1116">
        <v>19.950071137500473</v>
      </c>
      <c r="BI1116">
        <v>341.4256565656537</v>
      </c>
      <c r="BJ1116">
        <v>0.24972688262977058</v>
      </c>
    </row>
    <row r="1117" spans="3:62" x14ac:dyDescent="0.2">
      <c r="C1117" s="121">
        <v>85574.470000000481</v>
      </c>
      <c r="D1117">
        <v>20.1233590841641</v>
      </c>
      <c r="E1117" s="121">
        <v>87519.730000000302</v>
      </c>
      <c r="F1117" s="121">
        <v>20.035209873166014</v>
      </c>
      <c r="G1117" s="121">
        <v>376.88999999999714</v>
      </c>
      <c r="H1117" s="121">
        <v>0.25242367693568074</v>
      </c>
      <c r="R1117">
        <v>573.23792182488239</v>
      </c>
      <c r="S1117">
        <v>82.113259424581358</v>
      </c>
      <c r="T1117">
        <v>338.15684422944207</v>
      </c>
      <c r="U1117">
        <v>127.44065144606513</v>
      </c>
      <c r="V1117">
        <v>0</v>
      </c>
      <c r="W1117">
        <v>0</v>
      </c>
      <c r="X1117">
        <v>0.98562206046595224</v>
      </c>
      <c r="Y1117">
        <v>0.99006129379902053</v>
      </c>
      <c r="Z1117">
        <v>0.99081671366058333</v>
      </c>
      <c r="AA1117">
        <v>0.97974254881113998</v>
      </c>
      <c r="AB1117">
        <v>0.98762504119275552</v>
      </c>
      <c r="AC1117">
        <v>0.98831859073237993</v>
      </c>
      <c r="AD1117">
        <v>0.98653435657183286</v>
      </c>
      <c r="AE1117">
        <v>0.98855123485761043</v>
      </c>
      <c r="AF1117">
        <v>0</v>
      </c>
      <c r="AG1117">
        <v>0</v>
      </c>
      <c r="AH1117">
        <v>0.49396618516611818</v>
      </c>
      <c r="AI1117">
        <v>0.54197733322688435</v>
      </c>
      <c r="AJ1117">
        <v>0.48214767607389203</v>
      </c>
      <c r="AK1117">
        <v>0.54123600100520375</v>
      </c>
      <c r="AL1117">
        <v>0.51890921317839012</v>
      </c>
      <c r="AM1117">
        <v>0.51677652029583887</v>
      </c>
      <c r="AN1117">
        <v>0.4183867592594796</v>
      </c>
      <c r="AO1117">
        <v>0.54221724820820227</v>
      </c>
      <c r="AP1117">
        <v>0</v>
      </c>
      <c r="AQ1117">
        <v>0</v>
      </c>
      <c r="AR1117">
        <v>1.2924034226263769E-3</v>
      </c>
      <c r="AS1117">
        <v>5.1752147138752003E-3</v>
      </c>
      <c r="AT1117">
        <v>5.6029714623275469E-3</v>
      </c>
      <c r="AU1117">
        <v>2.6022962975084025E-3</v>
      </c>
      <c r="AV1117">
        <v>2.4654918573948741E-3</v>
      </c>
      <c r="AW1117">
        <v>3.8998068826988611E-3</v>
      </c>
      <c r="AX1117">
        <v>6.8745885355925198E-4</v>
      </c>
      <c r="AY1117">
        <v>6.941426618419812E-4</v>
      </c>
      <c r="AZ1117">
        <v>0</v>
      </c>
      <c r="BA1117">
        <v>0</v>
      </c>
      <c r="BB1117">
        <v>7.1835233482729854E-2</v>
      </c>
      <c r="BC1117">
        <v>0.16367804458292026</v>
      </c>
      <c r="BD1117">
        <v>0</v>
      </c>
      <c r="BE1117">
        <v>85574.470000000481</v>
      </c>
      <c r="BF1117">
        <v>20.1233590841641</v>
      </c>
      <c r="BG1117">
        <v>87519.730000000302</v>
      </c>
      <c r="BH1117">
        <v>20.035209873166014</v>
      </c>
      <c r="BI1117">
        <v>376.88999999999714</v>
      </c>
      <c r="BJ1117">
        <v>0.25242367693568074</v>
      </c>
    </row>
    <row r="1118" spans="3:62" x14ac:dyDescent="0.2">
      <c r="C1118" s="121"/>
      <c r="E1118" s="121"/>
      <c r="F1118" s="121"/>
      <c r="G1118" s="121"/>
      <c r="H1118" s="121"/>
    </row>
    <row r="1119" spans="3:62" x14ac:dyDescent="0.2">
      <c r="C1119" s="121"/>
      <c r="E1119" s="121"/>
      <c r="F1119" s="121"/>
      <c r="G1119" s="121"/>
      <c r="H1119" s="121"/>
    </row>
    <row r="1120" spans="3:62" x14ac:dyDescent="0.2">
      <c r="C1120" s="121">
        <v>1</v>
      </c>
      <c r="D1120" s="121">
        <v>1</v>
      </c>
      <c r="E1120" s="121">
        <v>1</v>
      </c>
      <c r="F1120" s="121">
        <v>1</v>
      </c>
      <c r="G1120" s="121">
        <v>1</v>
      </c>
      <c r="H1120" s="121">
        <v>0</v>
      </c>
      <c r="R1120">
        <v>1</v>
      </c>
      <c r="S1120">
        <v>1</v>
      </c>
      <c r="T1120">
        <v>1</v>
      </c>
      <c r="U1120">
        <v>1</v>
      </c>
      <c r="V1120">
        <v>0</v>
      </c>
      <c r="W1120">
        <v>0</v>
      </c>
      <c r="X1120">
        <v>1</v>
      </c>
      <c r="Y1120">
        <v>1</v>
      </c>
      <c r="Z1120">
        <v>1</v>
      </c>
      <c r="AA1120">
        <v>1</v>
      </c>
      <c r="AB1120">
        <v>1</v>
      </c>
      <c r="AC1120">
        <v>1</v>
      </c>
      <c r="AD1120">
        <v>1</v>
      </c>
      <c r="AE1120">
        <v>1</v>
      </c>
      <c r="AF1120">
        <v>0</v>
      </c>
      <c r="AG1120">
        <v>0</v>
      </c>
      <c r="AH1120">
        <v>1</v>
      </c>
      <c r="AI1120">
        <v>1</v>
      </c>
      <c r="AJ1120">
        <v>1</v>
      </c>
      <c r="AK1120">
        <v>1</v>
      </c>
      <c r="AL1120">
        <v>1</v>
      </c>
      <c r="AM1120">
        <v>1</v>
      </c>
      <c r="AN1120">
        <v>1</v>
      </c>
      <c r="AO1120">
        <v>1</v>
      </c>
      <c r="AP1120">
        <v>0</v>
      </c>
      <c r="AQ1120">
        <v>0</v>
      </c>
      <c r="AR1120">
        <v>1</v>
      </c>
      <c r="AS1120">
        <v>1</v>
      </c>
      <c r="AT1120">
        <v>1</v>
      </c>
      <c r="AU1120">
        <v>1</v>
      </c>
      <c r="AV1120">
        <v>1</v>
      </c>
      <c r="AW1120">
        <v>1</v>
      </c>
      <c r="AX1120">
        <v>1</v>
      </c>
      <c r="AY1120">
        <v>1</v>
      </c>
      <c r="AZ1120">
        <v>0</v>
      </c>
      <c r="BA1120">
        <v>0</v>
      </c>
      <c r="BB1120">
        <v>1</v>
      </c>
      <c r="BC1120">
        <v>1</v>
      </c>
      <c r="BD1120">
        <v>0</v>
      </c>
      <c r="BE1120">
        <v>1</v>
      </c>
      <c r="BF1120">
        <v>1</v>
      </c>
      <c r="BG1120">
        <v>1</v>
      </c>
      <c r="BH1120">
        <v>1</v>
      </c>
      <c r="BI1120">
        <v>1</v>
      </c>
      <c r="BJ1120">
        <v>1</v>
      </c>
    </row>
    <row r="1121" spans="3:62" x14ac:dyDescent="0.2">
      <c r="C1121" s="121">
        <v>1</v>
      </c>
      <c r="D1121" s="121">
        <v>0</v>
      </c>
      <c r="E1121" s="121">
        <v>0</v>
      </c>
      <c r="F1121" s="121">
        <v>0</v>
      </c>
      <c r="G1121" s="121">
        <v>0</v>
      </c>
      <c r="H1121" s="121">
        <v>1</v>
      </c>
      <c r="R1121">
        <v>0</v>
      </c>
      <c r="S1121">
        <v>0</v>
      </c>
      <c r="T1121">
        <v>1</v>
      </c>
      <c r="U1121">
        <v>0</v>
      </c>
      <c r="V1121">
        <v>0</v>
      </c>
      <c r="W1121">
        <v>0</v>
      </c>
      <c r="X1121">
        <v>1</v>
      </c>
      <c r="Y1121">
        <v>0</v>
      </c>
      <c r="Z1121">
        <v>0</v>
      </c>
      <c r="AA1121">
        <v>0</v>
      </c>
      <c r="AB1121">
        <v>0</v>
      </c>
      <c r="AC1121">
        <v>0</v>
      </c>
      <c r="AD1121">
        <v>0</v>
      </c>
      <c r="AE1121">
        <v>0</v>
      </c>
      <c r="AF1121">
        <v>0</v>
      </c>
      <c r="AG1121">
        <v>0</v>
      </c>
      <c r="AH1121">
        <v>11</v>
      </c>
      <c r="AI1121">
        <v>8</v>
      </c>
      <c r="AJ1121">
        <v>1</v>
      </c>
      <c r="AK1121">
        <v>7</v>
      </c>
      <c r="AL1121">
        <v>8</v>
      </c>
      <c r="AM1121">
        <v>5</v>
      </c>
      <c r="AN1121">
        <v>2</v>
      </c>
      <c r="AO1121">
        <v>5</v>
      </c>
      <c r="AP1121">
        <v>0</v>
      </c>
      <c r="AQ1121">
        <v>0</v>
      </c>
      <c r="AR1121">
        <v>1</v>
      </c>
      <c r="AS1121">
        <v>0</v>
      </c>
      <c r="AT1121">
        <v>1</v>
      </c>
      <c r="AU1121">
        <v>0</v>
      </c>
      <c r="AV1121">
        <v>0</v>
      </c>
      <c r="AW1121">
        <v>0</v>
      </c>
      <c r="AX1121">
        <v>0</v>
      </c>
      <c r="AY1121">
        <v>1</v>
      </c>
      <c r="AZ1121">
        <v>0</v>
      </c>
      <c r="BA1121">
        <v>0</v>
      </c>
      <c r="BB1121">
        <v>2</v>
      </c>
      <c r="BC1121">
        <v>0</v>
      </c>
      <c r="BD1121">
        <v>0</v>
      </c>
      <c r="BE1121">
        <v>1</v>
      </c>
      <c r="BF1121">
        <v>0</v>
      </c>
      <c r="BG1121">
        <v>0</v>
      </c>
      <c r="BH1121">
        <v>0</v>
      </c>
      <c r="BI1121">
        <v>0</v>
      </c>
      <c r="BJ1121">
        <v>0</v>
      </c>
    </row>
    <row r="1122" spans="3:62" x14ac:dyDescent="0.2">
      <c r="C1122" s="121">
        <v>0</v>
      </c>
      <c r="D1122" s="121">
        <v>0</v>
      </c>
      <c r="E1122" s="121">
        <v>1</v>
      </c>
      <c r="F1122" s="121">
        <v>0</v>
      </c>
      <c r="G1122" s="121">
        <v>1</v>
      </c>
      <c r="H1122" s="121">
        <v>0</v>
      </c>
      <c r="R1122">
        <v>0</v>
      </c>
      <c r="S1122">
        <v>0</v>
      </c>
      <c r="T1122">
        <v>2</v>
      </c>
      <c r="U1122">
        <v>0</v>
      </c>
      <c r="V1122">
        <v>0</v>
      </c>
      <c r="W1122">
        <v>0</v>
      </c>
      <c r="X1122">
        <v>0</v>
      </c>
      <c r="Y1122">
        <v>0</v>
      </c>
      <c r="Z1122">
        <v>0</v>
      </c>
      <c r="AA1122">
        <v>0</v>
      </c>
      <c r="AB1122">
        <v>0</v>
      </c>
      <c r="AC1122">
        <v>0</v>
      </c>
      <c r="AD1122">
        <v>0</v>
      </c>
      <c r="AE1122">
        <v>0</v>
      </c>
      <c r="AF1122">
        <v>0</v>
      </c>
      <c r="AG1122">
        <v>0</v>
      </c>
      <c r="AH1122">
        <v>12</v>
      </c>
      <c r="AI1122">
        <v>14</v>
      </c>
      <c r="AJ1122">
        <v>11</v>
      </c>
      <c r="AK1122">
        <v>14</v>
      </c>
      <c r="AL1122">
        <v>12</v>
      </c>
      <c r="AM1122">
        <v>15</v>
      </c>
      <c r="AN1122">
        <v>8</v>
      </c>
      <c r="AO1122">
        <v>13</v>
      </c>
      <c r="AP1122">
        <v>0</v>
      </c>
      <c r="AQ1122">
        <v>0</v>
      </c>
      <c r="AR1122">
        <v>0</v>
      </c>
      <c r="AS1122">
        <v>0</v>
      </c>
      <c r="AT1122">
        <v>1</v>
      </c>
      <c r="AU1122">
        <v>0</v>
      </c>
      <c r="AV1122">
        <v>1</v>
      </c>
      <c r="AW1122">
        <v>0</v>
      </c>
      <c r="AX1122">
        <v>2</v>
      </c>
      <c r="AY1122">
        <v>1</v>
      </c>
      <c r="AZ1122">
        <v>0</v>
      </c>
      <c r="BA1122">
        <v>0</v>
      </c>
      <c r="BB1122">
        <v>1</v>
      </c>
      <c r="BC1122">
        <v>2</v>
      </c>
      <c r="BD1122">
        <v>0</v>
      </c>
      <c r="BE1122">
        <v>0</v>
      </c>
      <c r="BF1122">
        <v>0</v>
      </c>
      <c r="BG1122">
        <v>1</v>
      </c>
      <c r="BH1122">
        <v>0</v>
      </c>
      <c r="BI1122">
        <v>1</v>
      </c>
      <c r="BJ1122">
        <v>0</v>
      </c>
    </row>
    <row r="1123" spans="3:62" x14ac:dyDescent="0.2">
      <c r="C1123" s="121">
        <v>0</v>
      </c>
      <c r="D1123" s="121">
        <v>0</v>
      </c>
      <c r="E1123" s="121">
        <v>0</v>
      </c>
      <c r="F1123" s="121">
        <v>0</v>
      </c>
      <c r="G1123" s="121">
        <v>0</v>
      </c>
      <c r="H1123" s="121">
        <v>0</v>
      </c>
      <c r="R1123">
        <v>1</v>
      </c>
      <c r="S1123">
        <v>0</v>
      </c>
      <c r="T1123">
        <v>2</v>
      </c>
      <c r="U1123">
        <v>0</v>
      </c>
      <c r="V1123">
        <v>0</v>
      </c>
      <c r="W1123">
        <v>0</v>
      </c>
      <c r="X1123">
        <v>0</v>
      </c>
      <c r="Y1123">
        <v>1</v>
      </c>
      <c r="Z1123">
        <v>0</v>
      </c>
      <c r="AA1123">
        <v>0</v>
      </c>
      <c r="AB1123">
        <v>1</v>
      </c>
      <c r="AC1123">
        <v>0</v>
      </c>
      <c r="AD1123">
        <v>0</v>
      </c>
      <c r="AE1123">
        <v>0</v>
      </c>
      <c r="AF1123">
        <v>0</v>
      </c>
      <c r="AG1123">
        <v>0</v>
      </c>
      <c r="AH1123">
        <v>11</v>
      </c>
      <c r="AI1123">
        <v>13</v>
      </c>
      <c r="AJ1123">
        <v>11</v>
      </c>
      <c r="AK1123">
        <v>16</v>
      </c>
      <c r="AL1123">
        <v>18</v>
      </c>
      <c r="AM1123">
        <v>14</v>
      </c>
      <c r="AN1123">
        <v>13</v>
      </c>
      <c r="AO1123">
        <v>19</v>
      </c>
      <c r="AP1123">
        <v>0</v>
      </c>
      <c r="AQ1123">
        <v>0</v>
      </c>
      <c r="AR1123">
        <v>1</v>
      </c>
      <c r="AS1123">
        <v>1</v>
      </c>
      <c r="AT1123">
        <v>2</v>
      </c>
      <c r="AU1123">
        <v>1</v>
      </c>
      <c r="AV1123">
        <v>2</v>
      </c>
      <c r="AW1123">
        <v>0</v>
      </c>
      <c r="AX1123">
        <v>2</v>
      </c>
      <c r="AY1123">
        <v>1</v>
      </c>
      <c r="AZ1123">
        <v>0</v>
      </c>
      <c r="BA1123">
        <v>0</v>
      </c>
      <c r="BB1123">
        <v>0</v>
      </c>
      <c r="BC1123">
        <v>0</v>
      </c>
      <c r="BD1123">
        <v>0</v>
      </c>
      <c r="BE1123">
        <v>0</v>
      </c>
      <c r="BF1123">
        <v>0</v>
      </c>
      <c r="BG1123">
        <v>0</v>
      </c>
      <c r="BH1123">
        <v>0</v>
      </c>
      <c r="BI1123">
        <v>0</v>
      </c>
      <c r="BJ1123">
        <v>0</v>
      </c>
    </row>
    <row r="1124" spans="3:62" x14ac:dyDescent="0.2">
      <c r="C1124" s="121">
        <v>1</v>
      </c>
      <c r="D1124" s="121">
        <v>0</v>
      </c>
      <c r="E1124" s="121">
        <v>1</v>
      </c>
      <c r="F1124" s="121">
        <v>0</v>
      </c>
      <c r="G1124" s="121">
        <v>0</v>
      </c>
      <c r="H1124" s="121">
        <v>0</v>
      </c>
      <c r="R1124">
        <v>0</v>
      </c>
      <c r="S1124">
        <v>0</v>
      </c>
      <c r="T1124">
        <v>0</v>
      </c>
      <c r="U1124">
        <v>0</v>
      </c>
      <c r="V1124">
        <v>0</v>
      </c>
      <c r="W1124">
        <v>0</v>
      </c>
      <c r="X1124">
        <v>1</v>
      </c>
      <c r="Y1124">
        <v>0</v>
      </c>
      <c r="Z1124">
        <v>2</v>
      </c>
      <c r="AA1124">
        <v>0</v>
      </c>
      <c r="AB1124">
        <v>1</v>
      </c>
      <c r="AC1124">
        <v>0</v>
      </c>
      <c r="AD1124">
        <v>0</v>
      </c>
      <c r="AE1124">
        <v>0</v>
      </c>
      <c r="AF1124">
        <v>0</v>
      </c>
      <c r="AG1124">
        <v>0</v>
      </c>
      <c r="AH1124">
        <v>16</v>
      </c>
      <c r="AI1124">
        <v>14</v>
      </c>
      <c r="AJ1124">
        <v>14</v>
      </c>
      <c r="AK1124">
        <v>24</v>
      </c>
      <c r="AL1124">
        <v>22</v>
      </c>
      <c r="AM1124">
        <v>15</v>
      </c>
      <c r="AN1124">
        <v>8</v>
      </c>
      <c r="AO1124">
        <v>22</v>
      </c>
      <c r="AP1124">
        <v>0</v>
      </c>
      <c r="AQ1124">
        <v>0</v>
      </c>
      <c r="AR1124">
        <v>0</v>
      </c>
      <c r="AS1124">
        <v>1</v>
      </c>
      <c r="AT1124">
        <v>0</v>
      </c>
      <c r="AU1124">
        <v>0</v>
      </c>
      <c r="AV1124">
        <v>1</v>
      </c>
      <c r="AW1124">
        <v>0</v>
      </c>
      <c r="AX1124">
        <v>2</v>
      </c>
      <c r="AY1124">
        <v>3</v>
      </c>
      <c r="AZ1124">
        <v>0</v>
      </c>
      <c r="BA1124">
        <v>0</v>
      </c>
      <c r="BB1124">
        <v>0</v>
      </c>
      <c r="BC1124">
        <v>5</v>
      </c>
      <c r="BD1124">
        <v>0</v>
      </c>
      <c r="BE1124">
        <v>1</v>
      </c>
      <c r="BF1124">
        <v>0</v>
      </c>
      <c r="BG1124">
        <v>1</v>
      </c>
      <c r="BH1124">
        <v>0</v>
      </c>
      <c r="BI1124">
        <v>0</v>
      </c>
      <c r="BJ1124">
        <v>0</v>
      </c>
    </row>
    <row r="1125" spans="3:62" x14ac:dyDescent="0.2">
      <c r="C1125" s="121">
        <v>1</v>
      </c>
      <c r="D1125" s="121">
        <v>1</v>
      </c>
      <c r="E1125" s="121">
        <v>1</v>
      </c>
      <c r="F1125" s="121">
        <v>1</v>
      </c>
      <c r="G1125" s="121">
        <v>1</v>
      </c>
      <c r="H1125" s="121">
        <v>0</v>
      </c>
      <c r="R1125">
        <v>0</v>
      </c>
      <c r="S1125">
        <v>0</v>
      </c>
      <c r="T1125">
        <v>0</v>
      </c>
      <c r="U1125">
        <v>1</v>
      </c>
      <c r="V1125">
        <v>0</v>
      </c>
      <c r="W1125">
        <v>0</v>
      </c>
      <c r="X1125">
        <v>0</v>
      </c>
      <c r="Y1125">
        <v>0</v>
      </c>
      <c r="Z1125">
        <v>0</v>
      </c>
      <c r="AA1125">
        <v>0</v>
      </c>
      <c r="AB1125">
        <v>0</v>
      </c>
      <c r="AC1125">
        <v>0</v>
      </c>
      <c r="AD1125">
        <v>1</v>
      </c>
      <c r="AE1125">
        <v>0</v>
      </c>
      <c r="AF1125">
        <v>0</v>
      </c>
      <c r="AG1125">
        <v>0</v>
      </c>
      <c r="AH1125">
        <v>12</v>
      </c>
      <c r="AI1125">
        <v>24</v>
      </c>
      <c r="AJ1125">
        <v>30</v>
      </c>
      <c r="AK1125">
        <v>14</v>
      </c>
      <c r="AL1125">
        <v>20</v>
      </c>
      <c r="AM1125">
        <v>29</v>
      </c>
      <c r="AN1125">
        <v>11</v>
      </c>
      <c r="AO1125">
        <v>18</v>
      </c>
      <c r="AP1125">
        <v>0</v>
      </c>
      <c r="AQ1125">
        <v>0</v>
      </c>
      <c r="AR1125">
        <v>1</v>
      </c>
      <c r="AS1125">
        <v>0</v>
      </c>
      <c r="AT1125">
        <v>0</v>
      </c>
      <c r="AU1125">
        <v>2</v>
      </c>
      <c r="AV1125">
        <v>1</v>
      </c>
      <c r="AW1125">
        <v>0</v>
      </c>
      <c r="AX1125">
        <v>1</v>
      </c>
      <c r="AY1125">
        <v>0</v>
      </c>
      <c r="AZ1125">
        <v>0</v>
      </c>
      <c r="BA1125">
        <v>0</v>
      </c>
      <c r="BB1125">
        <v>0</v>
      </c>
      <c r="BC1125">
        <v>6</v>
      </c>
      <c r="BD1125">
        <v>0</v>
      </c>
      <c r="BE1125">
        <v>1</v>
      </c>
      <c r="BF1125">
        <v>1</v>
      </c>
      <c r="BG1125">
        <v>1</v>
      </c>
      <c r="BH1125">
        <v>1</v>
      </c>
      <c r="BI1125">
        <v>1</v>
      </c>
      <c r="BJ1125">
        <v>0</v>
      </c>
    </row>
    <row r="1126" spans="3:62" x14ac:dyDescent="0.2">
      <c r="C1126" s="121">
        <v>1</v>
      </c>
      <c r="D1126" s="121">
        <v>0</v>
      </c>
      <c r="E1126" s="121">
        <v>0</v>
      </c>
      <c r="F1126" s="121">
        <v>0</v>
      </c>
      <c r="G1126" s="121">
        <v>1</v>
      </c>
      <c r="H1126" s="121">
        <v>0</v>
      </c>
      <c r="R1126">
        <v>1</v>
      </c>
      <c r="S1126">
        <v>1</v>
      </c>
      <c r="T1126">
        <v>2</v>
      </c>
      <c r="U1126">
        <v>1</v>
      </c>
      <c r="V1126">
        <v>0</v>
      </c>
      <c r="W1126">
        <v>0</v>
      </c>
      <c r="X1126">
        <v>0</v>
      </c>
      <c r="Y1126">
        <v>1</v>
      </c>
      <c r="Z1126">
        <v>1</v>
      </c>
      <c r="AA1126">
        <v>0</v>
      </c>
      <c r="AB1126">
        <v>2</v>
      </c>
      <c r="AC1126">
        <v>0</v>
      </c>
      <c r="AD1126">
        <v>0</v>
      </c>
      <c r="AE1126">
        <v>1</v>
      </c>
      <c r="AF1126">
        <v>0</v>
      </c>
      <c r="AG1126">
        <v>0</v>
      </c>
      <c r="AH1126">
        <v>20</v>
      </c>
      <c r="AI1126">
        <v>35</v>
      </c>
      <c r="AJ1126">
        <v>16</v>
      </c>
      <c r="AK1126">
        <v>23</v>
      </c>
      <c r="AL1126">
        <v>25</v>
      </c>
      <c r="AM1126">
        <v>30</v>
      </c>
      <c r="AN1126">
        <v>21</v>
      </c>
      <c r="AO1126">
        <v>28</v>
      </c>
      <c r="AP1126">
        <v>0</v>
      </c>
      <c r="AQ1126">
        <v>0</v>
      </c>
      <c r="AR1126">
        <v>0</v>
      </c>
      <c r="AS1126">
        <v>0</v>
      </c>
      <c r="AT1126">
        <v>1</v>
      </c>
      <c r="AU1126">
        <v>2</v>
      </c>
      <c r="AV1126">
        <v>3</v>
      </c>
      <c r="AW1126">
        <v>0</v>
      </c>
      <c r="AX1126">
        <v>0</v>
      </c>
      <c r="AY1126">
        <v>0</v>
      </c>
      <c r="AZ1126">
        <v>0</v>
      </c>
      <c r="BA1126">
        <v>0</v>
      </c>
      <c r="BB1126">
        <v>2</v>
      </c>
      <c r="BC1126">
        <v>5</v>
      </c>
      <c r="BD1126">
        <v>0</v>
      </c>
      <c r="BE1126">
        <v>1</v>
      </c>
      <c r="BF1126">
        <v>0</v>
      </c>
      <c r="BG1126">
        <v>0</v>
      </c>
      <c r="BH1126">
        <v>0</v>
      </c>
      <c r="BI1126">
        <v>1</v>
      </c>
      <c r="BJ1126">
        <v>0</v>
      </c>
    </row>
    <row r="1127" spans="3:62" x14ac:dyDescent="0.2">
      <c r="C1127" s="121">
        <v>1</v>
      </c>
      <c r="D1127" s="121">
        <v>1</v>
      </c>
      <c r="E1127" s="121">
        <v>2</v>
      </c>
      <c r="F1127" s="121">
        <v>1</v>
      </c>
      <c r="G1127" s="121">
        <v>1</v>
      </c>
      <c r="H1127" s="121">
        <v>1</v>
      </c>
      <c r="R1127">
        <v>1</v>
      </c>
      <c r="S1127">
        <v>1</v>
      </c>
      <c r="T1127">
        <v>3</v>
      </c>
      <c r="U1127">
        <v>4</v>
      </c>
      <c r="V1127">
        <v>0</v>
      </c>
      <c r="W1127">
        <v>0</v>
      </c>
      <c r="X1127">
        <v>0</v>
      </c>
      <c r="Y1127">
        <v>0</v>
      </c>
      <c r="Z1127">
        <v>1</v>
      </c>
      <c r="AA1127">
        <v>0</v>
      </c>
      <c r="AB1127">
        <v>0</v>
      </c>
      <c r="AC1127">
        <v>0</v>
      </c>
      <c r="AD1127">
        <v>0</v>
      </c>
      <c r="AE1127">
        <v>0</v>
      </c>
      <c r="AF1127">
        <v>0</v>
      </c>
      <c r="AG1127">
        <v>0</v>
      </c>
      <c r="AH1127">
        <v>21</v>
      </c>
      <c r="AI1127">
        <v>20</v>
      </c>
      <c r="AJ1127">
        <v>25</v>
      </c>
      <c r="AK1127">
        <v>28</v>
      </c>
      <c r="AL1127">
        <v>35</v>
      </c>
      <c r="AM1127">
        <v>31</v>
      </c>
      <c r="AN1127">
        <v>24</v>
      </c>
      <c r="AO1127">
        <v>28</v>
      </c>
      <c r="AP1127">
        <v>0</v>
      </c>
      <c r="AQ1127">
        <v>0</v>
      </c>
      <c r="AR1127">
        <v>2</v>
      </c>
      <c r="AS1127">
        <v>0</v>
      </c>
      <c r="AT1127">
        <v>2</v>
      </c>
      <c r="AU1127">
        <v>2</v>
      </c>
      <c r="AV1127">
        <v>1</v>
      </c>
      <c r="AW1127">
        <v>0</v>
      </c>
      <c r="AX1127">
        <v>3</v>
      </c>
      <c r="AY1127">
        <v>1</v>
      </c>
      <c r="AZ1127">
        <v>0</v>
      </c>
      <c r="BA1127">
        <v>0</v>
      </c>
      <c r="BB1127">
        <v>0</v>
      </c>
      <c r="BC1127">
        <v>3</v>
      </c>
      <c r="BD1127">
        <v>0</v>
      </c>
      <c r="BE1127">
        <v>1</v>
      </c>
      <c r="BF1127">
        <v>1</v>
      </c>
      <c r="BG1127">
        <v>2</v>
      </c>
      <c r="BH1127">
        <v>1</v>
      </c>
      <c r="BI1127">
        <v>1</v>
      </c>
      <c r="BJ1127">
        <v>1</v>
      </c>
    </row>
    <row r="1128" spans="3:62" x14ac:dyDescent="0.2">
      <c r="C1128" s="121">
        <v>1</v>
      </c>
      <c r="D1128" s="121">
        <v>0</v>
      </c>
      <c r="E1128" s="121">
        <v>1</v>
      </c>
      <c r="F1128" s="121">
        <v>0</v>
      </c>
      <c r="G1128" s="121">
        <v>1</v>
      </c>
      <c r="H1128" s="121">
        <v>0</v>
      </c>
      <c r="R1128">
        <v>1</v>
      </c>
      <c r="S1128">
        <v>1</v>
      </c>
      <c r="T1128">
        <v>1</v>
      </c>
      <c r="U1128">
        <v>2</v>
      </c>
      <c r="V1128">
        <v>0</v>
      </c>
      <c r="W1128">
        <v>0</v>
      </c>
      <c r="X1128">
        <v>0</v>
      </c>
      <c r="Y1128">
        <v>0</v>
      </c>
      <c r="Z1128">
        <v>0</v>
      </c>
      <c r="AA1128">
        <v>0</v>
      </c>
      <c r="AB1128">
        <v>2</v>
      </c>
      <c r="AC1128">
        <v>0</v>
      </c>
      <c r="AD1128">
        <v>0</v>
      </c>
      <c r="AE1128">
        <v>1</v>
      </c>
      <c r="AF1128">
        <v>0</v>
      </c>
      <c r="AG1128">
        <v>0</v>
      </c>
      <c r="AH1128">
        <v>18</v>
      </c>
      <c r="AI1128">
        <v>29</v>
      </c>
      <c r="AJ1128">
        <v>12</v>
      </c>
      <c r="AK1128">
        <v>28</v>
      </c>
      <c r="AL1128">
        <v>22</v>
      </c>
      <c r="AM1128">
        <v>24</v>
      </c>
      <c r="AN1128">
        <v>20</v>
      </c>
      <c r="AO1128">
        <v>22</v>
      </c>
      <c r="AP1128">
        <v>0</v>
      </c>
      <c r="AQ1128">
        <v>0</v>
      </c>
      <c r="AR1128">
        <v>2</v>
      </c>
      <c r="AS1128">
        <v>1</v>
      </c>
      <c r="AT1128">
        <v>0</v>
      </c>
      <c r="AU1128">
        <v>2</v>
      </c>
      <c r="AV1128">
        <v>1</v>
      </c>
      <c r="AW1128">
        <v>2</v>
      </c>
      <c r="AX1128">
        <v>5</v>
      </c>
      <c r="AY1128">
        <v>1</v>
      </c>
      <c r="AZ1128">
        <v>0</v>
      </c>
      <c r="BA1128">
        <v>0</v>
      </c>
      <c r="BB1128">
        <v>1</v>
      </c>
      <c r="BC1128">
        <v>9</v>
      </c>
      <c r="BD1128">
        <v>0</v>
      </c>
      <c r="BE1128">
        <v>1</v>
      </c>
      <c r="BF1128">
        <v>0</v>
      </c>
      <c r="BG1128">
        <v>1</v>
      </c>
      <c r="BH1128">
        <v>0</v>
      </c>
      <c r="BI1128">
        <v>1</v>
      </c>
      <c r="BJ1128">
        <v>0</v>
      </c>
    </row>
    <row r="1129" spans="3:62" x14ac:dyDescent="0.2">
      <c r="C1129" s="121">
        <v>2</v>
      </c>
      <c r="D1129" s="121">
        <v>0</v>
      </c>
      <c r="E1129" s="121">
        <v>1</v>
      </c>
      <c r="F1129" s="121">
        <v>1</v>
      </c>
      <c r="G1129" s="121">
        <v>2</v>
      </c>
      <c r="H1129" s="121">
        <v>1</v>
      </c>
      <c r="R1129">
        <v>1</v>
      </c>
      <c r="S1129">
        <v>1</v>
      </c>
      <c r="T1129">
        <v>2</v>
      </c>
      <c r="U1129">
        <v>0</v>
      </c>
      <c r="V1129">
        <v>0</v>
      </c>
      <c r="W1129">
        <v>0</v>
      </c>
      <c r="X1129">
        <v>2</v>
      </c>
      <c r="Y1129">
        <v>0</v>
      </c>
      <c r="Z1129">
        <v>1</v>
      </c>
      <c r="AA1129">
        <v>0</v>
      </c>
      <c r="AB1129">
        <v>1</v>
      </c>
      <c r="AC1129">
        <v>0</v>
      </c>
      <c r="AD1129">
        <v>0</v>
      </c>
      <c r="AE1129">
        <v>1</v>
      </c>
      <c r="AF1129">
        <v>0</v>
      </c>
      <c r="AG1129">
        <v>0</v>
      </c>
      <c r="AH1129">
        <v>17</v>
      </c>
      <c r="AI1129">
        <v>30</v>
      </c>
      <c r="AJ1129">
        <v>21</v>
      </c>
      <c r="AK1129">
        <v>19</v>
      </c>
      <c r="AL1129">
        <v>20</v>
      </c>
      <c r="AM1129">
        <v>24</v>
      </c>
      <c r="AN1129">
        <v>19</v>
      </c>
      <c r="AO1129">
        <v>24</v>
      </c>
      <c r="AP1129">
        <v>0</v>
      </c>
      <c r="AQ1129">
        <v>0</v>
      </c>
      <c r="AR1129">
        <v>2</v>
      </c>
      <c r="AS1129">
        <v>1</v>
      </c>
      <c r="AT1129">
        <v>1</v>
      </c>
      <c r="AU1129">
        <v>2</v>
      </c>
      <c r="AV1129">
        <v>5</v>
      </c>
      <c r="AW1129">
        <v>0</v>
      </c>
      <c r="AX1129">
        <v>2</v>
      </c>
      <c r="AY1129">
        <v>3</v>
      </c>
      <c r="AZ1129">
        <v>0</v>
      </c>
      <c r="BA1129">
        <v>0</v>
      </c>
      <c r="BB1129">
        <v>3</v>
      </c>
      <c r="BC1129">
        <v>11</v>
      </c>
      <c r="BD1129">
        <v>0</v>
      </c>
      <c r="BE1129">
        <v>2</v>
      </c>
      <c r="BF1129">
        <v>0</v>
      </c>
      <c r="BG1129">
        <v>1</v>
      </c>
      <c r="BH1129">
        <v>1</v>
      </c>
      <c r="BI1129">
        <v>2</v>
      </c>
      <c r="BJ1129">
        <v>1</v>
      </c>
    </row>
    <row r="1130" spans="3:62" x14ac:dyDescent="0.2">
      <c r="C1130" s="121">
        <v>0</v>
      </c>
      <c r="D1130" s="121">
        <v>1</v>
      </c>
      <c r="E1130" s="121">
        <v>1</v>
      </c>
      <c r="F1130" s="121">
        <v>0</v>
      </c>
      <c r="G1130" s="121">
        <v>1</v>
      </c>
      <c r="H1130" s="121">
        <v>0</v>
      </c>
      <c r="R1130">
        <v>1</v>
      </c>
      <c r="S1130">
        <v>0</v>
      </c>
      <c r="T1130">
        <v>2</v>
      </c>
      <c r="U1130">
        <v>0</v>
      </c>
      <c r="V1130">
        <v>0</v>
      </c>
      <c r="W1130">
        <v>0</v>
      </c>
      <c r="X1130">
        <v>1</v>
      </c>
      <c r="Y1130">
        <v>0</v>
      </c>
      <c r="Z1130">
        <v>1</v>
      </c>
      <c r="AA1130">
        <v>1</v>
      </c>
      <c r="AB1130">
        <v>2</v>
      </c>
      <c r="AC1130">
        <v>0</v>
      </c>
      <c r="AD1130">
        <v>0</v>
      </c>
      <c r="AE1130">
        <v>1</v>
      </c>
      <c r="AF1130">
        <v>0</v>
      </c>
      <c r="AG1130">
        <v>0</v>
      </c>
      <c r="AH1130">
        <v>36</v>
      </c>
      <c r="AI1130">
        <v>38</v>
      </c>
      <c r="AJ1130">
        <v>31</v>
      </c>
      <c r="AK1130">
        <v>43</v>
      </c>
      <c r="AL1130">
        <v>31</v>
      </c>
      <c r="AM1130">
        <v>29</v>
      </c>
      <c r="AN1130">
        <v>23</v>
      </c>
      <c r="AO1130">
        <v>20</v>
      </c>
      <c r="AP1130">
        <v>0</v>
      </c>
      <c r="AQ1130">
        <v>0</v>
      </c>
      <c r="AR1130">
        <v>3</v>
      </c>
      <c r="AS1130">
        <v>2</v>
      </c>
      <c r="AT1130">
        <v>0</v>
      </c>
      <c r="AU1130">
        <v>6</v>
      </c>
      <c r="AV1130">
        <v>5</v>
      </c>
      <c r="AW1130">
        <v>1</v>
      </c>
      <c r="AX1130">
        <v>11</v>
      </c>
      <c r="AY1130">
        <v>4</v>
      </c>
      <c r="AZ1130">
        <v>0</v>
      </c>
      <c r="BA1130">
        <v>0</v>
      </c>
      <c r="BB1130">
        <v>5</v>
      </c>
      <c r="BC1130">
        <v>9</v>
      </c>
      <c r="BD1130">
        <v>0</v>
      </c>
      <c r="BE1130">
        <v>0</v>
      </c>
      <c r="BF1130">
        <v>1</v>
      </c>
      <c r="BG1130">
        <v>1</v>
      </c>
      <c r="BH1130">
        <v>0</v>
      </c>
      <c r="BI1130">
        <v>1</v>
      </c>
      <c r="BJ1130">
        <v>0</v>
      </c>
    </row>
    <row r="1131" spans="3:62" x14ac:dyDescent="0.2">
      <c r="C1131" s="121">
        <v>0</v>
      </c>
      <c r="D1131" s="121">
        <v>0</v>
      </c>
      <c r="E1131" s="121">
        <v>0</v>
      </c>
      <c r="F1131" s="121">
        <v>0</v>
      </c>
      <c r="G1131" s="121">
        <v>0</v>
      </c>
      <c r="H1131" s="121">
        <v>1</v>
      </c>
      <c r="R1131">
        <v>2</v>
      </c>
      <c r="S1131">
        <v>3</v>
      </c>
      <c r="T1131">
        <v>3</v>
      </c>
      <c r="U1131">
        <v>0</v>
      </c>
      <c r="V1131">
        <v>0</v>
      </c>
      <c r="W1131">
        <v>0</v>
      </c>
      <c r="X1131">
        <v>1</v>
      </c>
      <c r="Y1131">
        <v>1</v>
      </c>
      <c r="Z1131">
        <v>2</v>
      </c>
      <c r="AA1131">
        <v>0</v>
      </c>
      <c r="AB1131">
        <v>0</v>
      </c>
      <c r="AC1131">
        <v>0</v>
      </c>
      <c r="AD1131">
        <v>2</v>
      </c>
      <c r="AE1131">
        <v>1</v>
      </c>
      <c r="AF1131">
        <v>0</v>
      </c>
      <c r="AG1131">
        <v>0</v>
      </c>
      <c r="AH1131">
        <v>24</v>
      </c>
      <c r="AI1131">
        <v>30</v>
      </c>
      <c r="AJ1131">
        <v>17</v>
      </c>
      <c r="AK1131">
        <v>35</v>
      </c>
      <c r="AL1131">
        <v>31</v>
      </c>
      <c r="AM1131">
        <v>25</v>
      </c>
      <c r="AN1131">
        <v>21</v>
      </c>
      <c r="AO1131">
        <v>23</v>
      </c>
      <c r="AP1131">
        <v>0</v>
      </c>
      <c r="AQ1131">
        <v>0</v>
      </c>
      <c r="AR1131">
        <v>0</v>
      </c>
      <c r="AS1131">
        <v>0</v>
      </c>
      <c r="AT1131">
        <v>0</v>
      </c>
      <c r="AU1131">
        <v>5</v>
      </c>
      <c r="AV1131">
        <v>1</v>
      </c>
      <c r="AW1131">
        <v>0</v>
      </c>
      <c r="AX1131">
        <v>9</v>
      </c>
      <c r="AY1131">
        <v>7</v>
      </c>
      <c r="AZ1131">
        <v>0</v>
      </c>
      <c r="BA1131">
        <v>0</v>
      </c>
      <c r="BB1131">
        <v>5</v>
      </c>
      <c r="BC1131">
        <v>13</v>
      </c>
      <c r="BD1131">
        <v>0</v>
      </c>
      <c r="BE1131">
        <v>0</v>
      </c>
      <c r="BF1131">
        <v>0</v>
      </c>
      <c r="BG1131">
        <v>0</v>
      </c>
      <c r="BH1131">
        <v>0</v>
      </c>
      <c r="BI1131">
        <v>0</v>
      </c>
      <c r="BJ1131">
        <v>1</v>
      </c>
    </row>
    <row r="1132" spans="3:62" x14ac:dyDescent="0.2">
      <c r="C1132" s="121">
        <v>0</v>
      </c>
      <c r="D1132" s="121">
        <v>2</v>
      </c>
      <c r="E1132" s="121">
        <v>2</v>
      </c>
      <c r="F1132" s="121">
        <v>2</v>
      </c>
      <c r="G1132" s="121">
        <v>0</v>
      </c>
      <c r="H1132" s="121">
        <v>0</v>
      </c>
      <c r="R1132">
        <v>1</v>
      </c>
      <c r="S1132">
        <v>4</v>
      </c>
      <c r="T1132">
        <v>4</v>
      </c>
      <c r="U1132">
        <v>2</v>
      </c>
      <c r="V1132">
        <v>0</v>
      </c>
      <c r="W1132">
        <v>0</v>
      </c>
      <c r="X1132">
        <v>0</v>
      </c>
      <c r="Y1132">
        <v>1</v>
      </c>
      <c r="Z1132">
        <v>2</v>
      </c>
      <c r="AA1132">
        <v>0</v>
      </c>
      <c r="AB1132">
        <v>1</v>
      </c>
      <c r="AC1132">
        <v>0</v>
      </c>
      <c r="AD1132">
        <v>0</v>
      </c>
      <c r="AE1132">
        <v>0</v>
      </c>
      <c r="AF1132">
        <v>0</v>
      </c>
      <c r="AG1132">
        <v>0</v>
      </c>
      <c r="AH1132">
        <v>31</v>
      </c>
      <c r="AI1132">
        <v>28</v>
      </c>
      <c r="AJ1132">
        <v>32</v>
      </c>
      <c r="AK1132">
        <v>28</v>
      </c>
      <c r="AL1132">
        <v>24</v>
      </c>
      <c r="AM1132">
        <v>34</v>
      </c>
      <c r="AN1132">
        <v>18</v>
      </c>
      <c r="AO1132">
        <v>42</v>
      </c>
      <c r="AP1132">
        <v>0</v>
      </c>
      <c r="AQ1132">
        <v>0</v>
      </c>
      <c r="AR1132">
        <v>5</v>
      </c>
      <c r="AS1132">
        <v>2</v>
      </c>
      <c r="AT1132">
        <v>4</v>
      </c>
      <c r="AU1132">
        <v>4</v>
      </c>
      <c r="AV1132">
        <v>3</v>
      </c>
      <c r="AW1132">
        <v>4</v>
      </c>
      <c r="AX1132">
        <v>7</v>
      </c>
      <c r="AY1132">
        <v>6</v>
      </c>
      <c r="AZ1132">
        <v>0</v>
      </c>
      <c r="BA1132">
        <v>0</v>
      </c>
      <c r="BB1132">
        <v>5</v>
      </c>
      <c r="BC1132">
        <v>22</v>
      </c>
      <c r="BD1132">
        <v>0</v>
      </c>
      <c r="BE1132">
        <v>0</v>
      </c>
      <c r="BF1132">
        <v>2</v>
      </c>
      <c r="BG1132">
        <v>2</v>
      </c>
      <c r="BH1132">
        <v>2</v>
      </c>
      <c r="BI1132">
        <v>0</v>
      </c>
      <c r="BJ1132">
        <v>0</v>
      </c>
    </row>
    <row r="1133" spans="3:62" x14ac:dyDescent="0.2">
      <c r="C1133" s="121">
        <v>2</v>
      </c>
      <c r="D1133" s="121">
        <v>1</v>
      </c>
      <c r="E1133" s="121">
        <v>0</v>
      </c>
      <c r="F1133" s="121">
        <v>0</v>
      </c>
      <c r="G1133" s="121">
        <v>5</v>
      </c>
      <c r="H1133" s="121">
        <v>2</v>
      </c>
      <c r="R1133">
        <v>2</v>
      </c>
      <c r="S1133">
        <v>2</v>
      </c>
      <c r="T1133">
        <v>4</v>
      </c>
      <c r="U1133">
        <v>0</v>
      </c>
      <c r="V1133">
        <v>0</v>
      </c>
      <c r="W1133">
        <v>0</v>
      </c>
      <c r="X1133">
        <v>3</v>
      </c>
      <c r="Y1133">
        <v>0</v>
      </c>
      <c r="Z1133">
        <v>0</v>
      </c>
      <c r="AA1133">
        <v>2</v>
      </c>
      <c r="AB1133">
        <v>1</v>
      </c>
      <c r="AC1133">
        <v>0</v>
      </c>
      <c r="AD1133">
        <v>0</v>
      </c>
      <c r="AE1133">
        <v>1</v>
      </c>
      <c r="AF1133">
        <v>0</v>
      </c>
      <c r="AG1133">
        <v>0</v>
      </c>
      <c r="AH1133">
        <v>36</v>
      </c>
      <c r="AI1133">
        <v>36</v>
      </c>
      <c r="AJ1133">
        <v>25</v>
      </c>
      <c r="AK1133">
        <v>43</v>
      </c>
      <c r="AL1133">
        <v>33</v>
      </c>
      <c r="AM1133">
        <v>25</v>
      </c>
      <c r="AN1133">
        <v>14</v>
      </c>
      <c r="AO1133">
        <v>31</v>
      </c>
      <c r="AP1133">
        <v>0</v>
      </c>
      <c r="AQ1133">
        <v>0</v>
      </c>
      <c r="AR1133">
        <v>5</v>
      </c>
      <c r="AS1133">
        <v>0</v>
      </c>
      <c r="AT1133">
        <v>1</v>
      </c>
      <c r="AU1133">
        <v>9</v>
      </c>
      <c r="AV1133">
        <v>6</v>
      </c>
      <c r="AW1133">
        <v>2</v>
      </c>
      <c r="AX1133">
        <v>7</v>
      </c>
      <c r="AY1133">
        <v>6</v>
      </c>
      <c r="AZ1133">
        <v>0</v>
      </c>
      <c r="BA1133">
        <v>0</v>
      </c>
      <c r="BB1133">
        <v>3</v>
      </c>
      <c r="BC1133">
        <v>30</v>
      </c>
      <c r="BD1133">
        <v>0</v>
      </c>
      <c r="BE1133">
        <v>2</v>
      </c>
      <c r="BF1133">
        <v>1</v>
      </c>
      <c r="BG1133">
        <v>0</v>
      </c>
      <c r="BH1133">
        <v>0</v>
      </c>
      <c r="BI1133">
        <v>5</v>
      </c>
      <c r="BJ1133">
        <v>2</v>
      </c>
    </row>
    <row r="1134" spans="3:62" x14ac:dyDescent="0.2">
      <c r="C1134" s="121">
        <v>2</v>
      </c>
      <c r="D1134" s="121">
        <v>1</v>
      </c>
      <c r="E1134" s="121">
        <v>3</v>
      </c>
      <c r="F1134" s="121">
        <v>2</v>
      </c>
      <c r="G1134" s="121">
        <v>1</v>
      </c>
      <c r="H1134" s="121">
        <v>2</v>
      </c>
      <c r="R1134">
        <v>1</v>
      </c>
      <c r="S1134">
        <v>2</v>
      </c>
      <c r="T1134">
        <v>4</v>
      </c>
      <c r="U1134">
        <v>1</v>
      </c>
      <c r="V1134">
        <v>0</v>
      </c>
      <c r="W1134">
        <v>0</v>
      </c>
      <c r="X1134">
        <v>3</v>
      </c>
      <c r="Y1134">
        <v>1</v>
      </c>
      <c r="Z1134">
        <v>2</v>
      </c>
      <c r="AA1134">
        <v>0</v>
      </c>
      <c r="AB1134">
        <v>0</v>
      </c>
      <c r="AC1134">
        <v>0</v>
      </c>
      <c r="AD1134">
        <v>0</v>
      </c>
      <c r="AE1134">
        <v>4</v>
      </c>
      <c r="AF1134">
        <v>0</v>
      </c>
      <c r="AG1134">
        <v>0</v>
      </c>
      <c r="AH1134">
        <v>25</v>
      </c>
      <c r="AI1134">
        <v>26</v>
      </c>
      <c r="AJ1134">
        <v>27</v>
      </c>
      <c r="AK1134">
        <v>34</v>
      </c>
      <c r="AL1134">
        <v>36</v>
      </c>
      <c r="AM1134">
        <v>30</v>
      </c>
      <c r="AN1134">
        <v>28</v>
      </c>
      <c r="AO1134">
        <v>28</v>
      </c>
      <c r="AP1134">
        <v>0</v>
      </c>
      <c r="AQ1134">
        <v>0</v>
      </c>
      <c r="AR1134">
        <v>5</v>
      </c>
      <c r="AS1134">
        <v>3</v>
      </c>
      <c r="AT1134">
        <v>3</v>
      </c>
      <c r="AU1134">
        <v>15</v>
      </c>
      <c r="AV1134">
        <v>8</v>
      </c>
      <c r="AW1134">
        <v>1</v>
      </c>
      <c r="AX1134">
        <v>6</v>
      </c>
      <c r="AY1134">
        <v>7</v>
      </c>
      <c r="AZ1134">
        <v>0</v>
      </c>
      <c r="BA1134">
        <v>0</v>
      </c>
      <c r="BB1134">
        <v>4</v>
      </c>
      <c r="BC1134">
        <v>21</v>
      </c>
      <c r="BD1134">
        <v>0</v>
      </c>
      <c r="BE1134">
        <v>2</v>
      </c>
      <c r="BF1134">
        <v>1</v>
      </c>
      <c r="BG1134">
        <v>3</v>
      </c>
      <c r="BH1134">
        <v>2</v>
      </c>
      <c r="BI1134">
        <v>1</v>
      </c>
      <c r="BJ1134">
        <v>2</v>
      </c>
    </row>
    <row r="1135" spans="3:62" x14ac:dyDescent="0.2">
      <c r="C1135" s="121">
        <v>2</v>
      </c>
      <c r="D1135" s="121">
        <v>0</v>
      </c>
      <c r="E1135" s="121">
        <v>1</v>
      </c>
      <c r="F1135" s="121">
        <v>0</v>
      </c>
      <c r="G1135" s="121">
        <v>6</v>
      </c>
      <c r="H1135" s="121">
        <v>0</v>
      </c>
      <c r="R1135">
        <v>3</v>
      </c>
      <c r="S1135">
        <v>2</v>
      </c>
      <c r="T1135">
        <v>5</v>
      </c>
      <c r="U1135">
        <v>2</v>
      </c>
      <c r="V1135">
        <v>0</v>
      </c>
      <c r="W1135">
        <v>0</v>
      </c>
      <c r="X1135">
        <v>0</v>
      </c>
      <c r="Y1135">
        <v>2</v>
      </c>
      <c r="Z1135">
        <v>2</v>
      </c>
      <c r="AA1135">
        <v>0</v>
      </c>
      <c r="AB1135">
        <v>2</v>
      </c>
      <c r="AC1135">
        <v>0</v>
      </c>
      <c r="AD1135">
        <v>1</v>
      </c>
      <c r="AE1135">
        <v>2</v>
      </c>
      <c r="AF1135">
        <v>0</v>
      </c>
      <c r="AG1135">
        <v>0</v>
      </c>
      <c r="AH1135">
        <v>34</v>
      </c>
      <c r="AI1135">
        <v>27</v>
      </c>
      <c r="AJ1135">
        <v>36</v>
      </c>
      <c r="AK1135">
        <v>37</v>
      </c>
      <c r="AL1135">
        <v>30</v>
      </c>
      <c r="AM1135">
        <v>26</v>
      </c>
      <c r="AN1135">
        <v>20</v>
      </c>
      <c r="AO1135">
        <v>23</v>
      </c>
      <c r="AP1135">
        <v>0</v>
      </c>
      <c r="AQ1135">
        <v>0</v>
      </c>
      <c r="AR1135">
        <v>5</v>
      </c>
      <c r="AS1135">
        <v>3</v>
      </c>
      <c r="AT1135">
        <v>5</v>
      </c>
      <c r="AU1135">
        <v>10</v>
      </c>
      <c r="AV1135">
        <v>8</v>
      </c>
      <c r="AW1135">
        <v>1</v>
      </c>
      <c r="AX1135">
        <v>12</v>
      </c>
      <c r="AY1135">
        <v>10</v>
      </c>
      <c r="AZ1135">
        <v>0</v>
      </c>
      <c r="BA1135">
        <v>0</v>
      </c>
      <c r="BB1135">
        <v>5</v>
      </c>
      <c r="BC1135">
        <v>28</v>
      </c>
      <c r="BD1135">
        <v>0</v>
      </c>
      <c r="BE1135">
        <v>2</v>
      </c>
      <c r="BF1135">
        <v>0</v>
      </c>
      <c r="BG1135">
        <v>1</v>
      </c>
      <c r="BH1135">
        <v>0</v>
      </c>
      <c r="BI1135">
        <v>6</v>
      </c>
      <c r="BJ1135">
        <v>0</v>
      </c>
    </row>
    <row r="1136" spans="3:62" x14ac:dyDescent="0.2">
      <c r="C1136" s="121">
        <v>4</v>
      </c>
      <c r="D1136" s="121">
        <v>0</v>
      </c>
      <c r="E1136" s="121">
        <v>3</v>
      </c>
      <c r="F1136" s="121">
        <v>1</v>
      </c>
      <c r="G1136" s="121">
        <v>7</v>
      </c>
      <c r="H1136" s="121">
        <v>1</v>
      </c>
      <c r="R1136">
        <v>3</v>
      </c>
      <c r="S1136">
        <v>3</v>
      </c>
      <c r="T1136">
        <v>5</v>
      </c>
      <c r="U1136">
        <v>0</v>
      </c>
      <c r="V1136">
        <v>0</v>
      </c>
      <c r="W1136">
        <v>0</v>
      </c>
      <c r="X1136">
        <v>2</v>
      </c>
      <c r="Y1136">
        <v>1</v>
      </c>
      <c r="Z1136">
        <v>1</v>
      </c>
      <c r="AA1136">
        <v>1</v>
      </c>
      <c r="AB1136">
        <v>1</v>
      </c>
      <c r="AC1136">
        <v>0</v>
      </c>
      <c r="AD1136">
        <v>1</v>
      </c>
      <c r="AE1136">
        <v>2</v>
      </c>
      <c r="AF1136">
        <v>0</v>
      </c>
      <c r="AG1136">
        <v>0</v>
      </c>
      <c r="AH1136">
        <v>36</v>
      </c>
      <c r="AI1136">
        <v>32</v>
      </c>
      <c r="AJ1136">
        <v>29</v>
      </c>
      <c r="AK1136">
        <v>33</v>
      </c>
      <c r="AL1136">
        <v>42</v>
      </c>
      <c r="AM1136">
        <v>30</v>
      </c>
      <c r="AN1136">
        <v>20</v>
      </c>
      <c r="AO1136">
        <v>30</v>
      </c>
      <c r="AP1136">
        <v>0</v>
      </c>
      <c r="AQ1136">
        <v>0</v>
      </c>
      <c r="AR1136">
        <v>5</v>
      </c>
      <c r="AS1136">
        <v>3</v>
      </c>
      <c r="AT1136">
        <v>4</v>
      </c>
      <c r="AU1136">
        <v>7</v>
      </c>
      <c r="AV1136">
        <v>6</v>
      </c>
      <c r="AW1136">
        <v>3</v>
      </c>
      <c r="AX1136">
        <v>10</v>
      </c>
      <c r="AY1136">
        <v>4</v>
      </c>
      <c r="AZ1136">
        <v>0</v>
      </c>
      <c r="BA1136">
        <v>0</v>
      </c>
      <c r="BB1136">
        <v>11</v>
      </c>
      <c r="BC1136">
        <v>31</v>
      </c>
      <c r="BD1136">
        <v>0</v>
      </c>
      <c r="BE1136">
        <v>4</v>
      </c>
      <c r="BF1136">
        <v>0</v>
      </c>
      <c r="BG1136">
        <v>3</v>
      </c>
      <c r="BH1136">
        <v>1</v>
      </c>
      <c r="BI1136">
        <v>7</v>
      </c>
      <c r="BJ1136">
        <v>1</v>
      </c>
    </row>
    <row r="1137" spans="3:62" x14ac:dyDescent="0.2">
      <c r="C1137" s="121">
        <v>4</v>
      </c>
      <c r="D1137" s="121">
        <v>1</v>
      </c>
      <c r="E1137" s="121">
        <v>7</v>
      </c>
      <c r="F1137" s="121">
        <v>1</v>
      </c>
      <c r="G1137" s="121">
        <v>8</v>
      </c>
      <c r="H1137" s="121">
        <v>4</v>
      </c>
      <c r="R1137">
        <v>5</v>
      </c>
      <c r="S1137">
        <v>3</v>
      </c>
      <c r="T1137">
        <v>12</v>
      </c>
      <c r="U1137">
        <v>4</v>
      </c>
      <c r="V1137">
        <v>0</v>
      </c>
      <c r="W1137">
        <v>0</v>
      </c>
      <c r="X1137">
        <v>4</v>
      </c>
      <c r="Y1137">
        <v>2</v>
      </c>
      <c r="Z1137">
        <v>2</v>
      </c>
      <c r="AA1137">
        <v>0</v>
      </c>
      <c r="AB1137">
        <v>3</v>
      </c>
      <c r="AC1137">
        <v>0</v>
      </c>
      <c r="AD1137">
        <v>1</v>
      </c>
      <c r="AE1137">
        <v>3</v>
      </c>
      <c r="AF1137">
        <v>0</v>
      </c>
      <c r="AG1137">
        <v>0</v>
      </c>
      <c r="AH1137">
        <v>32</v>
      </c>
      <c r="AI1137">
        <v>29</v>
      </c>
      <c r="AJ1137">
        <v>27</v>
      </c>
      <c r="AK1137">
        <v>22</v>
      </c>
      <c r="AL1137">
        <v>25</v>
      </c>
      <c r="AM1137">
        <v>29</v>
      </c>
      <c r="AN1137">
        <v>30</v>
      </c>
      <c r="AO1137">
        <v>22</v>
      </c>
      <c r="AP1137">
        <v>0</v>
      </c>
      <c r="AQ1137">
        <v>0</v>
      </c>
      <c r="AR1137">
        <v>9</v>
      </c>
      <c r="AS1137">
        <v>3</v>
      </c>
      <c r="AT1137">
        <v>3</v>
      </c>
      <c r="AU1137">
        <v>7</v>
      </c>
      <c r="AV1137">
        <v>6</v>
      </c>
      <c r="AW1137">
        <v>1</v>
      </c>
      <c r="AX1137">
        <v>15</v>
      </c>
      <c r="AY1137">
        <v>9</v>
      </c>
      <c r="AZ1137">
        <v>0</v>
      </c>
      <c r="BA1137">
        <v>0</v>
      </c>
      <c r="BB1137">
        <v>6</v>
      </c>
      <c r="BC1137">
        <v>25</v>
      </c>
      <c r="BD1137">
        <v>0</v>
      </c>
      <c r="BE1137">
        <v>4</v>
      </c>
      <c r="BF1137">
        <v>1</v>
      </c>
      <c r="BG1137">
        <v>7</v>
      </c>
      <c r="BH1137">
        <v>1</v>
      </c>
      <c r="BI1137">
        <v>8</v>
      </c>
      <c r="BJ1137">
        <v>4</v>
      </c>
    </row>
    <row r="1138" spans="3:62" x14ac:dyDescent="0.2">
      <c r="C1138" s="121">
        <v>12</v>
      </c>
      <c r="D1138" s="121">
        <v>2</v>
      </c>
      <c r="E1138" s="121">
        <v>6</v>
      </c>
      <c r="F1138" s="121">
        <v>1</v>
      </c>
      <c r="G1138" s="121">
        <v>7</v>
      </c>
      <c r="H1138" s="121">
        <v>2</v>
      </c>
      <c r="R1138">
        <v>9</v>
      </c>
      <c r="S1138">
        <v>3</v>
      </c>
      <c r="T1138">
        <v>8</v>
      </c>
      <c r="U1138">
        <v>1</v>
      </c>
      <c r="V1138">
        <v>0</v>
      </c>
      <c r="W1138">
        <v>0</v>
      </c>
      <c r="X1138">
        <v>1</v>
      </c>
      <c r="Y1138">
        <v>2</v>
      </c>
      <c r="Z1138">
        <v>3</v>
      </c>
      <c r="AA1138">
        <v>2</v>
      </c>
      <c r="AB1138">
        <v>4</v>
      </c>
      <c r="AC1138">
        <v>0</v>
      </c>
      <c r="AD1138">
        <v>1</v>
      </c>
      <c r="AE1138">
        <v>0</v>
      </c>
      <c r="AF1138">
        <v>0</v>
      </c>
      <c r="AG1138">
        <v>0</v>
      </c>
      <c r="AH1138">
        <v>22</v>
      </c>
      <c r="AI1138">
        <v>23</v>
      </c>
      <c r="AJ1138">
        <v>25</v>
      </c>
      <c r="AK1138">
        <v>26</v>
      </c>
      <c r="AL1138">
        <v>19</v>
      </c>
      <c r="AM1138">
        <v>34</v>
      </c>
      <c r="AN1138">
        <v>22</v>
      </c>
      <c r="AO1138">
        <v>31</v>
      </c>
      <c r="AP1138">
        <v>0</v>
      </c>
      <c r="AQ1138">
        <v>0</v>
      </c>
      <c r="AR1138">
        <v>10</v>
      </c>
      <c r="AS1138">
        <v>8</v>
      </c>
      <c r="AT1138">
        <v>8</v>
      </c>
      <c r="AU1138">
        <v>7</v>
      </c>
      <c r="AV1138">
        <v>5</v>
      </c>
      <c r="AW1138">
        <v>2</v>
      </c>
      <c r="AX1138">
        <v>16</v>
      </c>
      <c r="AY1138">
        <v>12</v>
      </c>
      <c r="AZ1138">
        <v>0</v>
      </c>
      <c r="BA1138">
        <v>0</v>
      </c>
      <c r="BB1138">
        <v>9</v>
      </c>
      <c r="BC1138">
        <v>35</v>
      </c>
      <c r="BD1138">
        <v>0</v>
      </c>
      <c r="BE1138">
        <v>12</v>
      </c>
      <c r="BF1138">
        <v>2</v>
      </c>
      <c r="BG1138">
        <v>6</v>
      </c>
      <c r="BH1138">
        <v>1</v>
      </c>
      <c r="BI1138">
        <v>7</v>
      </c>
      <c r="BJ1138">
        <v>2</v>
      </c>
    </row>
    <row r="1139" spans="3:62" x14ac:dyDescent="0.2">
      <c r="C1139" s="121">
        <v>2</v>
      </c>
      <c r="D1139" s="121">
        <v>3</v>
      </c>
      <c r="E1139" s="121">
        <v>4</v>
      </c>
      <c r="F1139" s="121">
        <v>5</v>
      </c>
      <c r="G1139" s="121">
        <v>7</v>
      </c>
      <c r="H1139" s="121">
        <v>1</v>
      </c>
      <c r="R1139">
        <v>3</v>
      </c>
      <c r="S1139">
        <v>4</v>
      </c>
      <c r="T1139">
        <v>4</v>
      </c>
      <c r="U1139">
        <v>3</v>
      </c>
      <c r="V1139">
        <v>0</v>
      </c>
      <c r="W1139">
        <v>0</v>
      </c>
      <c r="X1139">
        <v>3</v>
      </c>
      <c r="Y1139">
        <v>1</v>
      </c>
      <c r="Z1139">
        <v>0</v>
      </c>
      <c r="AA1139">
        <v>1</v>
      </c>
      <c r="AB1139">
        <v>4</v>
      </c>
      <c r="AC1139">
        <v>0</v>
      </c>
      <c r="AD1139">
        <v>1</v>
      </c>
      <c r="AE1139">
        <v>2</v>
      </c>
      <c r="AF1139">
        <v>0</v>
      </c>
      <c r="AG1139">
        <v>0</v>
      </c>
      <c r="AH1139">
        <v>28</v>
      </c>
      <c r="AI1139">
        <v>34</v>
      </c>
      <c r="AJ1139">
        <v>29</v>
      </c>
      <c r="AK1139">
        <v>25</v>
      </c>
      <c r="AL1139">
        <v>23</v>
      </c>
      <c r="AM1139">
        <v>23</v>
      </c>
      <c r="AN1139">
        <v>24</v>
      </c>
      <c r="AO1139">
        <v>26</v>
      </c>
      <c r="AP1139">
        <v>0</v>
      </c>
      <c r="AQ1139">
        <v>0</v>
      </c>
      <c r="AR1139">
        <v>11</v>
      </c>
      <c r="AS1139">
        <v>7</v>
      </c>
      <c r="AT1139">
        <v>5</v>
      </c>
      <c r="AU1139">
        <v>13</v>
      </c>
      <c r="AV1139">
        <v>3</v>
      </c>
      <c r="AW1139">
        <v>3</v>
      </c>
      <c r="AX1139">
        <v>12</v>
      </c>
      <c r="AY1139">
        <v>7</v>
      </c>
      <c r="AZ1139">
        <v>0</v>
      </c>
      <c r="BA1139">
        <v>0</v>
      </c>
      <c r="BB1139">
        <v>3</v>
      </c>
      <c r="BC1139">
        <v>28</v>
      </c>
      <c r="BD1139">
        <v>0</v>
      </c>
      <c r="BE1139">
        <v>2</v>
      </c>
      <c r="BF1139">
        <v>3</v>
      </c>
      <c r="BG1139">
        <v>4</v>
      </c>
      <c r="BH1139">
        <v>5</v>
      </c>
      <c r="BI1139">
        <v>7</v>
      </c>
      <c r="BJ1139">
        <v>1</v>
      </c>
    </row>
    <row r="1140" spans="3:62" x14ac:dyDescent="0.2">
      <c r="C1140" s="121">
        <v>7</v>
      </c>
      <c r="D1140" s="121">
        <v>3</v>
      </c>
      <c r="E1140" s="121">
        <v>5</v>
      </c>
      <c r="F1140" s="121">
        <v>0</v>
      </c>
      <c r="G1140" s="121">
        <v>10</v>
      </c>
      <c r="H1140" s="121">
        <v>5</v>
      </c>
      <c r="R1140">
        <v>5</v>
      </c>
      <c r="S1140">
        <v>2</v>
      </c>
      <c r="T1140">
        <v>6</v>
      </c>
      <c r="U1140">
        <v>7</v>
      </c>
      <c r="V1140">
        <v>0</v>
      </c>
      <c r="W1140">
        <v>0</v>
      </c>
      <c r="X1140">
        <v>4</v>
      </c>
      <c r="Y1140">
        <v>1</v>
      </c>
      <c r="Z1140">
        <v>0</v>
      </c>
      <c r="AA1140">
        <v>1</v>
      </c>
      <c r="AB1140">
        <v>2</v>
      </c>
      <c r="AC1140">
        <v>0</v>
      </c>
      <c r="AD1140">
        <v>0</v>
      </c>
      <c r="AE1140">
        <v>3</v>
      </c>
      <c r="AF1140">
        <v>0</v>
      </c>
      <c r="AG1140">
        <v>0</v>
      </c>
      <c r="AH1140">
        <v>28</v>
      </c>
      <c r="AI1140">
        <v>22</v>
      </c>
      <c r="AJ1140">
        <v>29</v>
      </c>
      <c r="AK1140">
        <v>20</v>
      </c>
      <c r="AL1140">
        <v>23</v>
      </c>
      <c r="AM1140">
        <v>28</v>
      </c>
      <c r="AN1140">
        <v>28</v>
      </c>
      <c r="AO1140">
        <v>29</v>
      </c>
      <c r="AP1140">
        <v>0</v>
      </c>
      <c r="AQ1140">
        <v>0</v>
      </c>
      <c r="AR1140">
        <v>3</v>
      </c>
      <c r="AS1140">
        <v>6</v>
      </c>
      <c r="AT1140">
        <v>3</v>
      </c>
      <c r="AU1140">
        <v>8</v>
      </c>
      <c r="AV1140">
        <v>8</v>
      </c>
      <c r="AW1140">
        <v>3</v>
      </c>
      <c r="AX1140">
        <v>25</v>
      </c>
      <c r="AY1140">
        <v>9</v>
      </c>
      <c r="AZ1140">
        <v>0</v>
      </c>
      <c r="BA1140">
        <v>0</v>
      </c>
      <c r="BB1140">
        <v>11</v>
      </c>
      <c r="BC1140">
        <v>36</v>
      </c>
      <c r="BD1140">
        <v>0</v>
      </c>
      <c r="BE1140">
        <v>7</v>
      </c>
      <c r="BF1140">
        <v>3</v>
      </c>
      <c r="BG1140">
        <v>5</v>
      </c>
      <c r="BH1140">
        <v>0</v>
      </c>
      <c r="BI1140">
        <v>10</v>
      </c>
      <c r="BJ1140">
        <v>5</v>
      </c>
    </row>
    <row r="1141" spans="3:62" x14ac:dyDescent="0.2">
      <c r="C1141" s="121">
        <v>4</v>
      </c>
      <c r="D1141" s="121">
        <v>0</v>
      </c>
      <c r="E1141" s="121">
        <v>7</v>
      </c>
      <c r="F1141" s="121">
        <v>2</v>
      </c>
      <c r="G1141" s="121">
        <v>8</v>
      </c>
      <c r="H1141" s="121">
        <v>1</v>
      </c>
      <c r="R1141">
        <v>5</v>
      </c>
      <c r="S1141">
        <v>6</v>
      </c>
      <c r="T1141">
        <v>3</v>
      </c>
      <c r="U1141">
        <v>7</v>
      </c>
      <c r="V1141">
        <v>0</v>
      </c>
      <c r="W1141">
        <v>0</v>
      </c>
      <c r="X1141">
        <v>2</v>
      </c>
      <c r="Y1141">
        <v>2</v>
      </c>
      <c r="Z1141">
        <v>0</v>
      </c>
      <c r="AA1141">
        <v>1</v>
      </c>
      <c r="AB1141">
        <v>5</v>
      </c>
      <c r="AC1141">
        <v>0</v>
      </c>
      <c r="AD1141">
        <v>0</v>
      </c>
      <c r="AE1141">
        <v>1</v>
      </c>
      <c r="AF1141">
        <v>0</v>
      </c>
      <c r="AG1141">
        <v>0</v>
      </c>
      <c r="AH1141">
        <v>33</v>
      </c>
      <c r="AI1141">
        <v>34</v>
      </c>
      <c r="AJ1141">
        <v>24</v>
      </c>
      <c r="AK1141">
        <v>40</v>
      </c>
      <c r="AL1141">
        <v>18</v>
      </c>
      <c r="AM1141">
        <v>32</v>
      </c>
      <c r="AN1141">
        <v>32</v>
      </c>
      <c r="AO1141">
        <v>35</v>
      </c>
      <c r="AP1141">
        <v>0</v>
      </c>
      <c r="AQ1141">
        <v>0</v>
      </c>
      <c r="AR1141">
        <v>10</v>
      </c>
      <c r="AS1141">
        <v>6</v>
      </c>
      <c r="AT1141">
        <v>7</v>
      </c>
      <c r="AU1141">
        <v>11</v>
      </c>
      <c r="AV1141">
        <v>7</v>
      </c>
      <c r="AW1141">
        <v>2</v>
      </c>
      <c r="AX1141">
        <v>24</v>
      </c>
      <c r="AY1141">
        <v>13</v>
      </c>
      <c r="AZ1141">
        <v>0</v>
      </c>
      <c r="BA1141">
        <v>0</v>
      </c>
      <c r="BB1141">
        <v>4</v>
      </c>
      <c r="BC1141">
        <v>36</v>
      </c>
      <c r="BD1141">
        <v>0</v>
      </c>
      <c r="BE1141">
        <v>4</v>
      </c>
      <c r="BF1141">
        <v>0</v>
      </c>
      <c r="BG1141">
        <v>7</v>
      </c>
      <c r="BH1141">
        <v>2</v>
      </c>
      <c r="BI1141">
        <v>8</v>
      </c>
      <c r="BJ1141">
        <v>1</v>
      </c>
    </row>
    <row r="1142" spans="3:62" x14ac:dyDescent="0.2">
      <c r="C1142" s="121">
        <v>4</v>
      </c>
      <c r="D1142" s="121">
        <v>0</v>
      </c>
      <c r="E1142" s="121">
        <v>5</v>
      </c>
      <c r="F1142" s="121">
        <v>2</v>
      </c>
      <c r="G1142" s="121">
        <v>10</v>
      </c>
      <c r="H1142" s="121">
        <v>5</v>
      </c>
      <c r="R1142">
        <v>5</v>
      </c>
      <c r="S1142">
        <v>6</v>
      </c>
      <c r="T1142">
        <v>10</v>
      </c>
      <c r="U1142">
        <v>6</v>
      </c>
      <c r="V1142">
        <v>0</v>
      </c>
      <c r="W1142">
        <v>0</v>
      </c>
      <c r="X1142">
        <v>2</v>
      </c>
      <c r="Y1142">
        <v>0</v>
      </c>
      <c r="Z1142">
        <v>2</v>
      </c>
      <c r="AA1142">
        <v>2</v>
      </c>
      <c r="AB1142">
        <v>1</v>
      </c>
      <c r="AC1142">
        <v>0</v>
      </c>
      <c r="AD1142">
        <v>0</v>
      </c>
      <c r="AE1142">
        <v>2</v>
      </c>
      <c r="AF1142">
        <v>0</v>
      </c>
      <c r="AG1142">
        <v>0</v>
      </c>
      <c r="AH1142">
        <v>20</v>
      </c>
      <c r="AI1142">
        <v>23</v>
      </c>
      <c r="AJ1142">
        <v>25</v>
      </c>
      <c r="AK1142">
        <v>34</v>
      </c>
      <c r="AL1142">
        <v>23</v>
      </c>
      <c r="AM1142">
        <v>24</v>
      </c>
      <c r="AN1142">
        <v>27</v>
      </c>
      <c r="AO1142">
        <v>30</v>
      </c>
      <c r="AP1142">
        <v>0</v>
      </c>
      <c r="AQ1142">
        <v>0</v>
      </c>
      <c r="AR1142">
        <v>13</v>
      </c>
      <c r="AS1142">
        <v>10</v>
      </c>
      <c r="AT1142">
        <v>12</v>
      </c>
      <c r="AU1142">
        <v>16</v>
      </c>
      <c r="AV1142">
        <v>12</v>
      </c>
      <c r="AW1142">
        <v>3</v>
      </c>
      <c r="AX1142">
        <v>26</v>
      </c>
      <c r="AY1142">
        <v>15</v>
      </c>
      <c r="AZ1142">
        <v>0</v>
      </c>
      <c r="BA1142">
        <v>0</v>
      </c>
      <c r="BB1142">
        <v>11</v>
      </c>
      <c r="BC1142">
        <v>29</v>
      </c>
      <c r="BD1142">
        <v>0</v>
      </c>
      <c r="BE1142">
        <v>4</v>
      </c>
      <c r="BF1142">
        <v>0</v>
      </c>
      <c r="BG1142">
        <v>5</v>
      </c>
      <c r="BH1142">
        <v>2</v>
      </c>
      <c r="BI1142">
        <v>10</v>
      </c>
      <c r="BJ1142">
        <v>5</v>
      </c>
    </row>
    <row r="1143" spans="3:62" x14ac:dyDescent="0.2">
      <c r="C1143" s="121">
        <v>5</v>
      </c>
      <c r="D1143" s="121">
        <v>4</v>
      </c>
      <c r="E1143" s="121">
        <v>5</v>
      </c>
      <c r="F1143" s="121">
        <v>4</v>
      </c>
      <c r="G1143" s="121">
        <v>9</v>
      </c>
      <c r="H1143" s="121">
        <v>3</v>
      </c>
      <c r="R1143">
        <v>3</v>
      </c>
      <c r="S1143">
        <v>4</v>
      </c>
      <c r="T1143">
        <v>12</v>
      </c>
      <c r="U1143">
        <v>4</v>
      </c>
      <c r="V1143">
        <v>0</v>
      </c>
      <c r="W1143">
        <v>0</v>
      </c>
      <c r="X1143">
        <v>3</v>
      </c>
      <c r="Y1143">
        <v>1</v>
      </c>
      <c r="Z1143">
        <v>3</v>
      </c>
      <c r="AA1143">
        <v>0</v>
      </c>
      <c r="AB1143">
        <v>3</v>
      </c>
      <c r="AC1143">
        <v>2</v>
      </c>
      <c r="AD1143">
        <v>5</v>
      </c>
      <c r="AE1143">
        <v>2</v>
      </c>
      <c r="AF1143">
        <v>0</v>
      </c>
      <c r="AG1143">
        <v>0</v>
      </c>
      <c r="AH1143">
        <v>25</v>
      </c>
      <c r="AI1143">
        <v>32</v>
      </c>
      <c r="AJ1143">
        <v>31</v>
      </c>
      <c r="AK1143">
        <v>18</v>
      </c>
      <c r="AL1143">
        <v>23</v>
      </c>
      <c r="AM1143">
        <v>24</v>
      </c>
      <c r="AN1143">
        <v>26</v>
      </c>
      <c r="AO1143">
        <v>35</v>
      </c>
      <c r="AP1143">
        <v>0</v>
      </c>
      <c r="AQ1143">
        <v>0</v>
      </c>
      <c r="AR1143">
        <v>7</v>
      </c>
      <c r="AS1143">
        <v>7</v>
      </c>
      <c r="AT1143">
        <v>8</v>
      </c>
      <c r="AU1143">
        <v>16</v>
      </c>
      <c r="AV1143">
        <v>10</v>
      </c>
      <c r="AW1143">
        <v>4</v>
      </c>
      <c r="AX1143">
        <v>18</v>
      </c>
      <c r="AY1143">
        <v>20</v>
      </c>
      <c r="AZ1143">
        <v>0</v>
      </c>
      <c r="BA1143">
        <v>0</v>
      </c>
      <c r="BB1143">
        <v>9</v>
      </c>
      <c r="BC1143">
        <v>37</v>
      </c>
      <c r="BD1143">
        <v>0</v>
      </c>
      <c r="BE1143">
        <v>5</v>
      </c>
      <c r="BF1143">
        <v>4</v>
      </c>
      <c r="BG1143">
        <v>5</v>
      </c>
      <c r="BH1143">
        <v>4</v>
      </c>
      <c r="BI1143">
        <v>9</v>
      </c>
      <c r="BJ1143">
        <v>3</v>
      </c>
    </row>
    <row r="1144" spans="3:62" x14ac:dyDescent="0.2">
      <c r="C1144" s="121">
        <v>6</v>
      </c>
      <c r="D1144" s="121">
        <v>3</v>
      </c>
      <c r="E1144" s="121">
        <v>5</v>
      </c>
      <c r="F1144" s="121">
        <v>1</v>
      </c>
      <c r="G1144" s="121">
        <v>17</v>
      </c>
      <c r="H1144" s="121">
        <v>4</v>
      </c>
      <c r="R1144">
        <v>7</v>
      </c>
      <c r="S1144">
        <v>9</v>
      </c>
      <c r="T1144">
        <v>8</v>
      </c>
      <c r="U1144">
        <v>5</v>
      </c>
      <c r="V1144">
        <v>0</v>
      </c>
      <c r="W1144">
        <v>0</v>
      </c>
      <c r="X1144">
        <v>4</v>
      </c>
      <c r="Y1144">
        <v>5</v>
      </c>
      <c r="Z1144">
        <v>3</v>
      </c>
      <c r="AA1144">
        <v>0</v>
      </c>
      <c r="AB1144">
        <v>5</v>
      </c>
      <c r="AC1144">
        <v>0</v>
      </c>
      <c r="AD1144">
        <v>2</v>
      </c>
      <c r="AE1144">
        <v>2</v>
      </c>
      <c r="AF1144">
        <v>0</v>
      </c>
      <c r="AG1144">
        <v>0</v>
      </c>
      <c r="AH1144">
        <v>32</v>
      </c>
      <c r="AI1144">
        <v>22</v>
      </c>
      <c r="AJ1144">
        <v>19</v>
      </c>
      <c r="AK1144">
        <v>28</v>
      </c>
      <c r="AL1144">
        <v>29</v>
      </c>
      <c r="AM1144">
        <v>25</v>
      </c>
      <c r="AN1144">
        <v>17</v>
      </c>
      <c r="AO1144">
        <v>27</v>
      </c>
      <c r="AP1144">
        <v>0</v>
      </c>
      <c r="AQ1144">
        <v>0</v>
      </c>
      <c r="AR1144">
        <v>17</v>
      </c>
      <c r="AS1144">
        <v>11</v>
      </c>
      <c r="AT1144">
        <v>8</v>
      </c>
      <c r="AU1144">
        <v>18</v>
      </c>
      <c r="AV1144">
        <v>9</v>
      </c>
      <c r="AW1144">
        <v>3</v>
      </c>
      <c r="AX1144">
        <v>25</v>
      </c>
      <c r="AY1144">
        <v>16</v>
      </c>
      <c r="AZ1144">
        <v>0</v>
      </c>
      <c r="BA1144">
        <v>0</v>
      </c>
      <c r="BB1144">
        <v>20</v>
      </c>
      <c r="BC1144">
        <v>27</v>
      </c>
      <c r="BD1144">
        <v>0</v>
      </c>
      <c r="BE1144">
        <v>6</v>
      </c>
      <c r="BF1144">
        <v>3</v>
      </c>
      <c r="BG1144">
        <v>5</v>
      </c>
      <c r="BH1144">
        <v>1</v>
      </c>
      <c r="BI1144">
        <v>17</v>
      </c>
      <c r="BJ1144">
        <v>4</v>
      </c>
    </row>
    <row r="1145" spans="3:62" x14ac:dyDescent="0.2">
      <c r="C1145" s="121">
        <v>9</v>
      </c>
      <c r="D1145" s="121">
        <v>2</v>
      </c>
      <c r="E1145" s="121">
        <v>6</v>
      </c>
      <c r="F1145" s="121">
        <v>2</v>
      </c>
      <c r="G1145" s="121">
        <v>20</v>
      </c>
      <c r="H1145" s="121">
        <v>5</v>
      </c>
      <c r="R1145">
        <v>4</v>
      </c>
      <c r="S1145">
        <v>7</v>
      </c>
      <c r="T1145">
        <v>6</v>
      </c>
      <c r="U1145">
        <v>5</v>
      </c>
      <c r="V1145">
        <v>0</v>
      </c>
      <c r="W1145">
        <v>0</v>
      </c>
      <c r="X1145">
        <v>3</v>
      </c>
      <c r="Y1145">
        <v>0</v>
      </c>
      <c r="Z1145">
        <v>1</v>
      </c>
      <c r="AA1145">
        <v>0</v>
      </c>
      <c r="AB1145">
        <v>0</v>
      </c>
      <c r="AC1145">
        <v>0</v>
      </c>
      <c r="AD1145">
        <v>1</v>
      </c>
      <c r="AE1145">
        <v>3</v>
      </c>
      <c r="AF1145">
        <v>0</v>
      </c>
      <c r="AG1145">
        <v>0</v>
      </c>
      <c r="AH1145">
        <v>23</v>
      </c>
      <c r="AI1145">
        <v>20</v>
      </c>
      <c r="AJ1145">
        <v>21</v>
      </c>
      <c r="AK1145">
        <v>32</v>
      </c>
      <c r="AL1145">
        <v>26</v>
      </c>
      <c r="AM1145">
        <v>27</v>
      </c>
      <c r="AN1145">
        <v>22</v>
      </c>
      <c r="AO1145">
        <v>25</v>
      </c>
      <c r="AP1145">
        <v>0</v>
      </c>
      <c r="AQ1145">
        <v>0</v>
      </c>
      <c r="AR1145">
        <v>21</v>
      </c>
      <c r="AS1145">
        <v>10</v>
      </c>
      <c r="AT1145">
        <v>7</v>
      </c>
      <c r="AU1145">
        <v>16</v>
      </c>
      <c r="AV1145">
        <v>13</v>
      </c>
      <c r="AW1145">
        <v>8</v>
      </c>
      <c r="AX1145">
        <v>21</v>
      </c>
      <c r="AY1145">
        <v>17</v>
      </c>
      <c r="AZ1145">
        <v>0</v>
      </c>
      <c r="BA1145">
        <v>0</v>
      </c>
      <c r="BB1145">
        <v>17</v>
      </c>
      <c r="BC1145">
        <v>33</v>
      </c>
      <c r="BD1145">
        <v>0</v>
      </c>
      <c r="BE1145">
        <v>9</v>
      </c>
      <c r="BF1145">
        <v>2</v>
      </c>
      <c r="BG1145">
        <v>6</v>
      </c>
      <c r="BH1145">
        <v>2</v>
      </c>
      <c r="BI1145">
        <v>20</v>
      </c>
      <c r="BJ1145">
        <v>5</v>
      </c>
    </row>
    <row r="1146" spans="3:62" x14ac:dyDescent="0.2">
      <c r="C1146" s="121">
        <v>9</v>
      </c>
      <c r="D1146" s="121">
        <v>3</v>
      </c>
      <c r="E1146" s="121">
        <v>10</v>
      </c>
      <c r="F1146" s="121">
        <v>3</v>
      </c>
      <c r="G1146" s="121">
        <v>15</v>
      </c>
      <c r="H1146" s="121">
        <v>4</v>
      </c>
      <c r="R1146">
        <v>8</v>
      </c>
      <c r="S1146">
        <v>10</v>
      </c>
      <c r="T1146">
        <v>21</v>
      </c>
      <c r="U1146">
        <v>3</v>
      </c>
      <c r="V1146">
        <v>0</v>
      </c>
      <c r="W1146">
        <v>0</v>
      </c>
      <c r="X1146">
        <v>8</v>
      </c>
      <c r="Y1146">
        <v>2</v>
      </c>
      <c r="Z1146">
        <v>3</v>
      </c>
      <c r="AA1146">
        <v>5</v>
      </c>
      <c r="AB1146">
        <v>5</v>
      </c>
      <c r="AC1146">
        <v>1</v>
      </c>
      <c r="AD1146">
        <v>5</v>
      </c>
      <c r="AE1146">
        <v>5</v>
      </c>
      <c r="AF1146">
        <v>0</v>
      </c>
      <c r="AG1146">
        <v>0</v>
      </c>
      <c r="AH1146">
        <v>27</v>
      </c>
      <c r="AI1146">
        <v>14</v>
      </c>
      <c r="AJ1146">
        <v>18</v>
      </c>
      <c r="AK1146">
        <v>15</v>
      </c>
      <c r="AL1146">
        <v>21</v>
      </c>
      <c r="AM1146">
        <v>18</v>
      </c>
      <c r="AN1146">
        <v>20</v>
      </c>
      <c r="AO1146">
        <v>21</v>
      </c>
      <c r="AP1146">
        <v>0</v>
      </c>
      <c r="AQ1146">
        <v>0</v>
      </c>
      <c r="AR1146">
        <v>21</v>
      </c>
      <c r="AS1146">
        <v>5</v>
      </c>
      <c r="AT1146">
        <v>12</v>
      </c>
      <c r="AU1146">
        <v>18</v>
      </c>
      <c r="AV1146">
        <v>4</v>
      </c>
      <c r="AW1146">
        <v>8</v>
      </c>
      <c r="AX1146">
        <v>22</v>
      </c>
      <c r="AY1146">
        <v>13</v>
      </c>
      <c r="AZ1146">
        <v>0</v>
      </c>
      <c r="BA1146">
        <v>0</v>
      </c>
      <c r="BB1146">
        <v>15</v>
      </c>
      <c r="BC1146">
        <v>24</v>
      </c>
      <c r="BD1146">
        <v>0</v>
      </c>
      <c r="BE1146">
        <v>9</v>
      </c>
      <c r="BF1146">
        <v>3</v>
      </c>
      <c r="BG1146">
        <v>10</v>
      </c>
      <c r="BH1146">
        <v>3</v>
      </c>
      <c r="BI1146">
        <v>15</v>
      </c>
      <c r="BJ1146">
        <v>4</v>
      </c>
    </row>
    <row r="1147" spans="3:62" x14ac:dyDescent="0.2">
      <c r="C1147" s="121">
        <v>7</v>
      </c>
      <c r="D1147" s="121">
        <v>5</v>
      </c>
      <c r="E1147" s="121">
        <v>11</v>
      </c>
      <c r="F1147" s="121">
        <v>5</v>
      </c>
      <c r="G1147" s="121">
        <v>12</v>
      </c>
      <c r="H1147" s="121">
        <v>6</v>
      </c>
      <c r="R1147">
        <v>7</v>
      </c>
      <c r="S1147">
        <v>5</v>
      </c>
      <c r="T1147">
        <v>10</v>
      </c>
      <c r="U1147">
        <v>8</v>
      </c>
      <c r="V1147">
        <v>0</v>
      </c>
      <c r="W1147">
        <v>0</v>
      </c>
      <c r="X1147">
        <v>4</v>
      </c>
      <c r="Y1147">
        <v>1</v>
      </c>
      <c r="Z1147">
        <v>4</v>
      </c>
      <c r="AA1147">
        <v>1</v>
      </c>
      <c r="AB1147">
        <v>1</v>
      </c>
      <c r="AC1147">
        <v>0</v>
      </c>
      <c r="AD1147">
        <v>4</v>
      </c>
      <c r="AE1147">
        <v>6</v>
      </c>
      <c r="AF1147">
        <v>0</v>
      </c>
      <c r="AG1147">
        <v>0</v>
      </c>
      <c r="AH1147">
        <v>24</v>
      </c>
      <c r="AI1147">
        <v>18</v>
      </c>
      <c r="AJ1147">
        <v>21</v>
      </c>
      <c r="AK1147">
        <v>23</v>
      </c>
      <c r="AL1147">
        <v>24</v>
      </c>
      <c r="AM1147">
        <v>22</v>
      </c>
      <c r="AN1147">
        <v>25</v>
      </c>
      <c r="AO1147">
        <v>22</v>
      </c>
      <c r="AP1147">
        <v>0</v>
      </c>
      <c r="AQ1147">
        <v>0</v>
      </c>
      <c r="AR1147">
        <v>19</v>
      </c>
      <c r="AS1147">
        <v>10</v>
      </c>
      <c r="AT1147">
        <v>8</v>
      </c>
      <c r="AU1147">
        <v>23</v>
      </c>
      <c r="AV1147">
        <v>21</v>
      </c>
      <c r="AW1147">
        <v>12</v>
      </c>
      <c r="AX1147">
        <v>27</v>
      </c>
      <c r="AY1147">
        <v>16</v>
      </c>
      <c r="AZ1147">
        <v>0</v>
      </c>
      <c r="BA1147">
        <v>0</v>
      </c>
      <c r="BB1147">
        <v>16</v>
      </c>
      <c r="BC1147">
        <v>21</v>
      </c>
      <c r="BD1147">
        <v>0</v>
      </c>
      <c r="BE1147">
        <v>7</v>
      </c>
      <c r="BF1147">
        <v>5</v>
      </c>
      <c r="BG1147">
        <v>11</v>
      </c>
      <c r="BH1147">
        <v>5</v>
      </c>
      <c r="BI1147">
        <v>12</v>
      </c>
      <c r="BJ1147">
        <v>6</v>
      </c>
    </row>
    <row r="1148" spans="3:62" x14ac:dyDescent="0.2">
      <c r="C1148" s="121">
        <v>7</v>
      </c>
      <c r="D1148" s="121">
        <v>2</v>
      </c>
      <c r="E1148" s="121">
        <v>5</v>
      </c>
      <c r="F1148" s="121">
        <v>3</v>
      </c>
      <c r="G1148" s="121">
        <v>15</v>
      </c>
      <c r="H1148" s="121">
        <v>7</v>
      </c>
      <c r="R1148">
        <v>2</v>
      </c>
      <c r="S1148">
        <v>10</v>
      </c>
      <c r="T1148">
        <v>18</v>
      </c>
      <c r="U1148">
        <v>10</v>
      </c>
      <c r="V1148">
        <v>0</v>
      </c>
      <c r="W1148">
        <v>0</v>
      </c>
      <c r="X1148">
        <v>6</v>
      </c>
      <c r="Y1148">
        <v>2</v>
      </c>
      <c r="Z1148">
        <v>6</v>
      </c>
      <c r="AA1148">
        <v>2</v>
      </c>
      <c r="AB1148">
        <v>6</v>
      </c>
      <c r="AC1148">
        <v>2</v>
      </c>
      <c r="AD1148">
        <v>3</v>
      </c>
      <c r="AE1148">
        <v>1</v>
      </c>
      <c r="AF1148">
        <v>0</v>
      </c>
      <c r="AG1148">
        <v>0</v>
      </c>
      <c r="AH1148">
        <v>20</v>
      </c>
      <c r="AI1148">
        <v>20</v>
      </c>
      <c r="AJ1148">
        <v>22</v>
      </c>
      <c r="AK1148">
        <v>19</v>
      </c>
      <c r="AL1148">
        <v>16</v>
      </c>
      <c r="AM1148">
        <v>18</v>
      </c>
      <c r="AN1148">
        <v>18</v>
      </c>
      <c r="AO1148">
        <v>21</v>
      </c>
      <c r="AP1148">
        <v>0</v>
      </c>
      <c r="AQ1148">
        <v>0</v>
      </c>
      <c r="AR1148">
        <v>27</v>
      </c>
      <c r="AS1148">
        <v>11</v>
      </c>
      <c r="AT1148">
        <v>9</v>
      </c>
      <c r="AU1148">
        <v>22</v>
      </c>
      <c r="AV1148">
        <v>16</v>
      </c>
      <c r="AW1148">
        <v>7</v>
      </c>
      <c r="AX1148">
        <v>31</v>
      </c>
      <c r="AY1148">
        <v>28</v>
      </c>
      <c r="AZ1148">
        <v>0</v>
      </c>
      <c r="BA1148">
        <v>0</v>
      </c>
      <c r="BB1148">
        <v>16</v>
      </c>
      <c r="BC1148">
        <v>21</v>
      </c>
      <c r="BD1148">
        <v>0</v>
      </c>
      <c r="BE1148">
        <v>7</v>
      </c>
      <c r="BF1148">
        <v>2</v>
      </c>
      <c r="BG1148">
        <v>5</v>
      </c>
      <c r="BH1148">
        <v>3</v>
      </c>
      <c r="BI1148">
        <v>15</v>
      </c>
      <c r="BJ1148">
        <v>7</v>
      </c>
    </row>
    <row r="1149" spans="3:62" x14ac:dyDescent="0.2">
      <c r="C1149" s="121">
        <v>15</v>
      </c>
      <c r="D1149" s="121">
        <v>5</v>
      </c>
      <c r="E1149" s="121">
        <v>11</v>
      </c>
      <c r="F1149" s="121">
        <v>7</v>
      </c>
      <c r="G1149" s="121">
        <v>17</v>
      </c>
      <c r="H1149" s="121">
        <v>7</v>
      </c>
      <c r="R1149">
        <v>12</v>
      </c>
      <c r="S1149">
        <v>13</v>
      </c>
      <c r="T1149">
        <v>15</v>
      </c>
      <c r="U1149">
        <v>10</v>
      </c>
      <c r="V1149">
        <v>0</v>
      </c>
      <c r="W1149">
        <v>0</v>
      </c>
      <c r="X1149">
        <v>5</v>
      </c>
      <c r="Y1149">
        <v>4</v>
      </c>
      <c r="Z1149">
        <v>4</v>
      </c>
      <c r="AA1149">
        <v>1</v>
      </c>
      <c r="AB1149">
        <v>2</v>
      </c>
      <c r="AC1149">
        <v>1</v>
      </c>
      <c r="AD1149">
        <v>12</v>
      </c>
      <c r="AE1149">
        <v>2</v>
      </c>
      <c r="AF1149">
        <v>0</v>
      </c>
      <c r="AG1149">
        <v>0</v>
      </c>
      <c r="AH1149">
        <v>15</v>
      </c>
      <c r="AI1149">
        <v>11</v>
      </c>
      <c r="AJ1149">
        <v>9</v>
      </c>
      <c r="AK1149">
        <v>16</v>
      </c>
      <c r="AL1149">
        <v>23</v>
      </c>
      <c r="AM1149">
        <v>11</v>
      </c>
      <c r="AN1149">
        <v>24</v>
      </c>
      <c r="AO1149">
        <v>13</v>
      </c>
      <c r="AP1149">
        <v>0</v>
      </c>
      <c r="AQ1149">
        <v>0</v>
      </c>
      <c r="AR1149">
        <v>21</v>
      </c>
      <c r="AS1149">
        <v>15</v>
      </c>
      <c r="AT1149">
        <v>9</v>
      </c>
      <c r="AU1149">
        <v>25</v>
      </c>
      <c r="AV1149">
        <v>9</v>
      </c>
      <c r="AW1149">
        <v>7</v>
      </c>
      <c r="AX1149">
        <v>20</v>
      </c>
      <c r="AY1149">
        <v>14</v>
      </c>
      <c r="AZ1149">
        <v>0</v>
      </c>
      <c r="BA1149">
        <v>0</v>
      </c>
      <c r="BB1149">
        <v>24</v>
      </c>
      <c r="BC1149">
        <v>23</v>
      </c>
      <c r="BD1149">
        <v>0</v>
      </c>
      <c r="BE1149">
        <v>15</v>
      </c>
      <c r="BF1149">
        <v>5</v>
      </c>
      <c r="BG1149">
        <v>11</v>
      </c>
      <c r="BH1149">
        <v>7</v>
      </c>
      <c r="BI1149">
        <v>17</v>
      </c>
      <c r="BJ1149">
        <v>7</v>
      </c>
    </row>
    <row r="1150" spans="3:62" x14ac:dyDescent="0.2">
      <c r="C1150" s="121">
        <v>11</v>
      </c>
      <c r="D1150" s="121">
        <v>6</v>
      </c>
      <c r="E1150" s="121">
        <v>13</v>
      </c>
      <c r="F1150" s="121">
        <v>7</v>
      </c>
      <c r="G1150" s="121">
        <v>18</v>
      </c>
      <c r="H1150" s="121">
        <v>13</v>
      </c>
      <c r="R1150">
        <v>9</v>
      </c>
      <c r="S1150">
        <v>13</v>
      </c>
      <c r="T1150">
        <v>22</v>
      </c>
      <c r="U1150">
        <v>9</v>
      </c>
      <c r="V1150">
        <v>0</v>
      </c>
      <c r="W1150">
        <v>0</v>
      </c>
      <c r="X1150">
        <v>6</v>
      </c>
      <c r="Y1150">
        <v>6</v>
      </c>
      <c r="Z1150">
        <v>0</v>
      </c>
      <c r="AA1150">
        <v>2</v>
      </c>
      <c r="AB1150">
        <v>4</v>
      </c>
      <c r="AC1150">
        <v>0</v>
      </c>
      <c r="AD1150">
        <v>2</v>
      </c>
      <c r="AE1150">
        <v>7</v>
      </c>
      <c r="AF1150">
        <v>0</v>
      </c>
      <c r="AG1150">
        <v>0</v>
      </c>
      <c r="AH1150">
        <v>17</v>
      </c>
      <c r="AI1150">
        <v>20</v>
      </c>
      <c r="AJ1150">
        <v>21</v>
      </c>
      <c r="AK1150">
        <v>13</v>
      </c>
      <c r="AL1150">
        <v>15</v>
      </c>
      <c r="AM1150">
        <v>21</v>
      </c>
      <c r="AN1150">
        <v>23</v>
      </c>
      <c r="AO1150">
        <v>18</v>
      </c>
      <c r="AP1150">
        <v>0</v>
      </c>
      <c r="AQ1150">
        <v>0</v>
      </c>
      <c r="AR1150">
        <v>34</v>
      </c>
      <c r="AS1150">
        <v>14</v>
      </c>
      <c r="AT1150">
        <v>7</v>
      </c>
      <c r="AU1150">
        <v>22</v>
      </c>
      <c r="AV1150">
        <v>15</v>
      </c>
      <c r="AW1150">
        <v>8</v>
      </c>
      <c r="AX1150">
        <v>24</v>
      </c>
      <c r="AY1150">
        <v>18</v>
      </c>
      <c r="AZ1150">
        <v>0</v>
      </c>
      <c r="BA1150">
        <v>0</v>
      </c>
      <c r="BB1150">
        <v>26</v>
      </c>
      <c r="BC1150">
        <v>26</v>
      </c>
      <c r="BD1150">
        <v>0</v>
      </c>
      <c r="BE1150">
        <v>11</v>
      </c>
      <c r="BF1150">
        <v>6</v>
      </c>
      <c r="BG1150">
        <v>13</v>
      </c>
      <c r="BH1150">
        <v>7</v>
      </c>
      <c r="BI1150">
        <v>18</v>
      </c>
      <c r="BJ1150">
        <v>13</v>
      </c>
    </row>
    <row r="1151" spans="3:62" x14ac:dyDescent="0.2">
      <c r="C1151" s="121">
        <v>14</v>
      </c>
      <c r="D1151" s="121">
        <v>7</v>
      </c>
      <c r="E1151" s="121">
        <v>10</v>
      </c>
      <c r="F1151" s="121">
        <v>5</v>
      </c>
      <c r="G1151" s="121">
        <v>25</v>
      </c>
      <c r="H1151" s="121">
        <v>9</v>
      </c>
      <c r="R1151">
        <v>17</v>
      </c>
      <c r="S1151">
        <v>11</v>
      </c>
      <c r="T1151">
        <v>21</v>
      </c>
      <c r="U1151">
        <v>9</v>
      </c>
      <c r="V1151">
        <v>0</v>
      </c>
      <c r="W1151">
        <v>0</v>
      </c>
      <c r="X1151">
        <v>1</v>
      </c>
      <c r="Y1151">
        <v>5</v>
      </c>
      <c r="Z1151">
        <v>2</v>
      </c>
      <c r="AA1151">
        <v>3</v>
      </c>
      <c r="AB1151">
        <v>3</v>
      </c>
      <c r="AC1151">
        <v>2</v>
      </c>
      <c r="AD1151">
        <v>4</v>
      </c>
      <c r="AE1151">
        <v>3</v>
      </c>
      <c r="AF1151">
        <v>0</v>
      </c>
      <c r="AG1151">
        <v>0</v>
      </c>
      <c r="AH1151">
        <v>17</v>
      </c>
      <c r="AI1151">
        <v>21</v>
      </c>
      <c r="AJ1151">
        <v>21</v>
      </c>
      <c r="AK1151">
        <v>16</v>
      </c>
      <c r="AL1151">
        <v>18</v>
      </c>
      <c r="AM1151">
        <v>20</v>
      </c>
      <c r="AN1151">
        <v>10</v>
      </c>
      <c r="AO1151">
        <v>21</v>
      </c>
      <c r="AP1151">
        <v>0</v>
      </c>
      <c r="AQ1151">
        <v>0</v>
      </c>
      <c r="AR1151">
        <v>16</v>
      </c>
      <c r="AS1151">
        <v>19</v>
      </c>
      <c r="AT1151">
        <v>14</v>
      </c>
      <c r="AU1151">
        <v>19</v>
      </c>
      <c r="AV1151">
        <v>23</v>
      </c>
      <c r="AW1151">
        <v>5</v>
      </c>
      <c r="AX1151">
        <v>29</v>
      </c>
      <c r="AY1151">
        <v>14</v>
      </c>
      <c r="AZ1151">
        <v>0</v>
      </c>
      <c r="BA1151">
        <v>0</v>
      </c>
      <c r="BB1151">
        <v>23</v>
      </c>
      <c r="BC1151">
        <v>23</v>
      </c>
      <c r="BD1151">
        <v>0</v>
      </c>
      <c r="BE1151">
        <v>14</v>
      </c>
      <c r="BF1151">
        <v>7</v>
      </c>
      <c r="BG1151">
        <v>10</v>
      </c>
      <c r="BH1151">
        <v>5</v>
      </c>
      <c r="BI1151">
        <v>25</v>
      </c>
      <c r="BJ1151">
        <v>9</v>
      </c>
    </row>
    <row r="1152" spans="3:62" x14ac:dyDescent="0.2">
      <c r="C1152" s="121">
        <v>12</v>
      </c>
      <c r="D1152" s="121">
        <v>5</v>
      </c>
      <c r="E1152" s="121">
        <v>10</v>
      </c>
      <c r="F1152" s="121">
        <v>7</v>
      </c>
      <c r="G1152" s="121">
        <v>29</v>
      </c>
      <c r="H1152" s="121">
        <v>6</v>
      </c>
      <c r="R1152">
        <v>10</v>
      </c>
      <c r="S1152">
        <v>11</v>
      </c>
      <c r="T1152">
        <v>18</v>
      </c>
      <c r="U1152">
        <v>10</v>
      </c>
      <c r="V1152">
        <v>0</v>
      </c>
      <c r="W1152">
        <v>0</v>
      </c>
      <c r="X1152">
        <v>5</v>
      </c>
      <c r="Y1152">
        <v>2</v>
      </c>
      <c r="Z1152">
        <v>8</v>
      </c>
      <c r="AA1152">
        <v>1</v>
      </c>
      <c r="AB1152">
        <v>7</v>
      </c>
      <c r="AC1152">
        <v>2</v>
      </c>
      <c r="AD1152">
        <v>4</v>
      </c>
      <c r="AE1152">
        <v>3</v>
      </c>
      <c r="AF1152">
        <v>0</v>
      </c>
      <c r="AG1152">
        <v>0</v>
      </c>
      <c r="AH1152">
        <v>10</v>
      </c>
      <c r="AI1152">
        <v>19</v>
      </c>
      <c r="AJ1152">
        <v>13</v>
      </c>
      <c r="AK1152">
        <v>16</v>
      </c>
      <c r="AL1152">
        <v>15</v>
      </c>
      <c r="AM1152">
        <v>17</v>
      </c>
      <c r="AN1152">
        <v>17</v>
      </c>
      <c r="AO1152">
        <v>16</v>
      </c>
      <c r="AP1152">
        <v>0</v>
      </c>
      <c r="AQ1152">
        <v>0</v>
      </c>
      <c r="AR1152">
        <v>23</v>
      </c>
      <c r="AS1152">
        <v>16</v>
      </c>
      <c r="AT1152">
        <v>14</v>
      </c>
      <c r="AU1152">
        <v>27</v>
      </c>
      <c r="AV1152">
        <v>22</v>
      </c>
      <c r="AW1152">
        <v>8</v>
      </c>
      <c r="AX1152">
        <v>31</v>
      </c>
      <c r="AY1152">
        <v>24</v>
      </c>
      <c r="AZ1152">
        <v>0</v>
      </c>
      <c r="BA1152">
        <v>0</v>
      </c>
      <c r="BB1152">
        <v>25</v>
      </c>
      <c r="BC1152">
        <v>18</v>
      </c>
      <c r="BD1152">
        <v>0</v>
      </c>
      <c r="BE1152">
        <v>12</v>
      </c>
      <c r="BF1152">
        <v>5</v>
      </c>
      <c r="BG1152">
        <v>10</v>
      </c>
      <c r="BH1152">
        <v>7</v>
      </c>
      <c r="BI1152">
        <v>29</v>
      </c>
      <c r="BJ1152">
        <v>6</v>
      </c>
    </row>
    <row r="1153" spans="3:62" x14ac:dyDescent="0.2">
      <c r="C1153" s="121">
        <v>18</v>
      </c>
      <c r="D1153" s="121">
        <v>7</v>
      </c>
      <c r="E1153" s="121">
        <v>13</v>
      </c>
      <c r="F1153" s="121">
        <v>5</v>
      </c>
      <c r="G1153" s="121">
        <v>29</v>
      </c>
      <c r="H1153" s="121">
        <v>13</v>
      </c>
      <c r="R1153">
        <v>13</v>
      </c>
      <c r="S1153">
        <v>16</v>
      </c>
      <c r="T1153">
        <v>15</v>
      </c>
      <c r="U1153">
        <v>19</v>
      </c>
      <c r="V1153">
        <v>0</v>
      </c>
      <c r="W1153">
        <v>0</v>
      </c>
      <c r="X1153">
        <v>11</v>
      </c>
      <c r="Y1153">
        <v>8</v>
      </c>
      <c r="Z1153">
        <v>6</v>
      </c>
      <c r="AA1153">
        <v>2</v>
      </c>
      <c r="AB1153">
        <v>6</v>
      </c>
      <c r="AC1153">
        <v>1</v>
      </c>
      <c r="AD1153">
        <v>5</v>
      </c>
      <c r="AE1153">
        <v>2</v>
      </c>
      <c r="AF1153">
        <v>0</v>
      </c>
      <c r="AG1153">
        <v>0</v>
      </c>
      <c r="AH1153">
        <v>16</v>
      </c>
      <c r="AI1153">
        <v>19</v>
      </c>
      <c r="AJ1153">
        <v>20</v>
      </c>
      <c r="AK1153">
        <v>17</v>
      </c>
      <c r="AL1153">
        <v>14</v>
      </c>
      <c r="AM1153">
        <v>11</v>
      </c>
      <c r="AN1153">
        <v>19</v>
      </c>
      <c r="AO1153">
        <v>12</v>
      </c>
      <c r="AP1153">
        <v>0</v>
      </c>
      <c r="AQ1153">
        <v>0</v>
      </c>
      <c r="AR1153">
        <v>23</v>
      </c>
      <c r="AS1153">
        <v>19</v>
      </c>
      <c r="AT1153">
        <v>12</v>
      </c>
      <c r="AU1153">
        <v>30</v>
      </c>
      <c r="AV1153">
        <v>14</v>
      </c>
      <c r="AW1153">
        <v>10</v>
      </c>
      <c r="AX1153">
        <v>32</v>
      </c>
      <c r="AY1153">
        <v>20</v>
      </c>
      <c r="AZ1153">
        <v>0</v>
      </c>
      <c r="BA1153">
        <v>0</v>
      </c>
      <c r="BB1153">
        <v>26</v>
      </c>
      <c r="BC1153">
        <v>15</v>
      </c>
      <c r="BD1153">
        <v>0</v>
      </c>
      <c r="BE1153">
        <v>18</v>
      </c>
      <c r="BF1153">
        <v>7</v>
      </c>
      <c r="BG1153">
        <v>13</v>
      </c>
      <c r="BH1153">
        <v>5</v>
      </c>
      <c r="BI1153">
        <v>29</v>
      </c>
      <c r="BJ1153">
        <v>13</v>
      </c>
    </row>
    <row r="1154" spans="3:62" x14ac:dyDescent="0.2">
      <c r="C1154" s="121">
        <v>17</v>
      </c>
      <c r="D1154" s="121">
        <v>7</v>
      </c>
      <c r="E1154" s="121">
        <v>21</v>
      </c>
      <c r="F1154" s="121">
        <v>9</v>
      </c>
      <c r="G1154" s="121">
        <v>26</v>
      </c>
      <c r="H1154" s="121">
        <v>7</v>
      </c>
      <c r="R1154">
        <v>13</v>
      </c>
      <c r="S1154">
        <v>20</v>
      </c>
      <c r="T1154">
        <v>17</v>
      </c>
      <c r="U1154">
        <v>9</v>
      </c>
      <c r="V1154">
        <v>0</v>
      </c>
      <c r="W1154">
        <v>0</v>
      </c>
      <c r="X1154">
        <v>1</v>
      </c>
      <c r="Y1154">
        <v>4</v>
      </c>
      <c r="Z1154">
        <v>4</v>
      </c>
      <c r="AA1154">
        <v>6</v>
      </c>
      <c r="AB1154">
        <v>5</v>
      </c>
      <c r="AC1154">
        <v>1</v>
      </c>
      <c r="AD1154">
        <v>1</v>
      </c>
      <c r="AE1154">
        <v>6</v>
      </c>
      <c r="AF1154">
        <v>0</v>
      </c>
      <c r="AG1154">
        <v>0</v>
      </c>
      <c r="AH1154">
        <v>9</v>
      </c>
      <c r="AI1154">
        <v>15</v>
      </c>
      <c r="AJ1154">
        <v>15</v>
      </c>
      <c r="AK1154">
        <v>9</v>
      </c>
      <c r="AL1154">
        <v>13</v>
      </c>
      <c r="AM1154">
        <v>19</v>
      </c>
      <c r="AN1154">
        <v>7</v>
      </c>
      <c r="AO1154">
        <v>9</v>
      </c>
      <c r="AP1154">
        <v>0</v>
      </c>
      <c r="AQ1154">
        <v>0</v>
      </c>
      <c r="AR1154">
        <v>37</v>
      </c>
      <c r="AS1154">
        <v>26</v>
      </c>
      <c r="AT1154">
        <v>22</v>
      </c>
      <c r="AU1154">
        <v>26</v>
      </c>
      <c r="AV1154">
        <v>22</v>
      </c>
      <c r="AW1154">
        <v>13</v>
      </c>
      <c r="AX1154">
        <v>25</v>
      </c>
      <c r="AY1154">
        <v>18</v>
      </c>
      <c r="AZ1154">
        <v>0</v>
      </c>
      <c r="BA1154">
        <v>0</v>
      </c>
      <c r="BB1154">
        <v>26</v>
      </c>
      <c r="BC1154">
        <v>27</v>
      </c>
      <c r="BD1154">
        <v>0</v>
      </c>
      <c r="BE1154">
        <v>17</v>
      </c>
      <c r="BF1154">
        <v>7</v>
      </c>
      <c r="BG1154">
        <v>21</v>
      </c>
      <c r="BH1154">
        <v>9</v>
      </c>
      <c r="BI1154">
        <v>26</v>
      </c>
      <c r="BJ1154">
        <v>7</v>
      </c>
    </row>
    <row r="1155" spans="3:62" x14ac:dyDescent="0.2">
      <c r="C1155" s="121">
        <v>10</v>
      </c>
      <c r="D1155" s="121">
        <v>8</v>
      </c>
      <c r="E1155" s="121">
        <v>15</v>
      </c>
      <c r="F1155" s="121">
        <v>9</v>
      </c>
      <c r="G1155" s="121">
        <v>36</v>
      </c>
      <c r="H1155" s="121">
        <v>13</v>
      </c>
      <c r="R1155">
        <v>12</v>
      </c>
      <c r="S1155">
        <v>16</v>
      </c>
      <c r="T1155">
        <v>15</v>
      </c>
      <c r="U1155">
        <v>15</v>
      </c>
      <c r="V1155">
        <v>0</v>
      </c>
      <c r="W1155">
        <v>0</v>
      </c>
      <c r="X1155">
        <v>10</v>
      </c>
      <c r="Y1155">
        <v>4</v>
      </c>
      <c r="Z1155">
        <v>5</v>
      </c>
      <c r="AA1155">
        <v>5</v>
      </c>
      <c r="AB1155">
        <v>4</v>
      </c>
      <c r="AC1155">
        <v>2</v>
      </c>
      <c r="AD1155">
        <v>2</v>
      </c>
      <c r="AE1155">
        <v>8</v>
      </c>
      <c r="AF1155">
        <v>0</v>
      </c>
      <c r="AG1155">
        <v>0</v>
      </c>
      <c r="AH1155">
        <v>15</v>
      </c>
      <c r="AI1155">
        <v>13</v>
      </c>
      <c r="AJ1155">
        <v>16</v>
      </c>
      <c r="AK1155">
        <v>9</v>
      </c>
      <c r="AL1155">
        <v>16</v>
      </c>
      <c r="AM1155">
        <v>13</v>
      </c>
      <c r="AN1155">
        <v>12</v>
      </c>
      <c r="AO1155">
        <v>12</v>
      </c>
      <c r="AP1155">
        <v>0</v>
      </c>
      <c r="AQ1155">
        <v>0</v>
      </c>
      <c r="AR1155">
        <v>26</v>
      </c>
      <c r="AS1155">
        <v>23</v>
      </c>
      <c r="AT1155">
        <v>18</v>
      </c>
      <c r="AU1155">
        <v>22</v>
      </c>
      <c r="AV1155">
        <v>21</v>
      </c>
      <c r="AW1155">
        <v>17</v>
      </c>
      <c r="AX1155">
        <v>32</v>
      </c>
      <c r="AY1155">
        <v>21</v>
      </c>
      <c r="AZ1155">
        <v>0</v>
      </c>
      <c r="BA1155">
        <v>0</v>
      </c>
      <c r="BB1155">
        <v>25</v>
      </c>
      <c r="BC1155">
        <v>19</v>
      </c>
      <c r="BD1155">
        <v>0</v>
      </c>
      <c r="BE1155">
        <v>10</v>
      </c>
      <c r="BF1155">
        <v>8</v>
      </c>
      <c r="BG1155">
        <v>15</v>
      </c>
      <c r="BH1155">
        <v>9</v>
      </c>
      <c r="BI1155">
        <v>36</v>
      </c>
      <c r="BJ1155">
        <v>13</v>
      </c>
    </row>
    <row r="1156" spans="3:62" x14ac:dyDescent="0.2">
      <c r="C1156" s="121">
        <v>34</v>
      </c>
      <c r="D1156" s="121">
        <v>7</v>
      </c>
      <c r="E1156" s="121">
        <v>18</v>
      </c>
      <c r="F1156" s="121">
        <v>7</v>
      </c>
      <c r="G1156" s="121">
        <v>29</v>
      </c>
      <c r="H1156" s="121">
        <v>10</v>
      </c>
      <c r="R1156">
        <v>22</v>
      </c>
      <c r="S1156">
        <v>19</v>
      </c>
      <c r="T1156">
        <v>16</v>
      </c>
      <c r="U1156">
        <v>15</v>
      </c>
      <c r="V1156">
        <v>0</v>
      </c>
      <c r="W1156">
        <v>0</v>
      </c>
      <c r="X1156">
        <v>4</v>
      </c>
      <c r="Y1156">
        <v>2</v>
      </c>
      <c r="Z1156">
        <v>4</v>
      </c>
      <c r="AA1156">
        <v>4</v>
      </c>
      <c r="AB1156">
        <v>11</v>
      </c>
      <c r="AC1156">
        <v>0</v>
      </c>
      <c r="AD1156">
        <v>3</v>
      </c>
      <c r="AE1156">
        <v>7</v>
      </c>
      <c r="AF1156">
        <v>0</v>
      </c>
      <c r="AG1156">
        <v>0</v>
      </c>
      <c r="AH1156">
        <v>13</v>
      </c>
      <c r="AI1156">
        <v>11</v>
      </c>
      <c r="AJ1156">
        <v>14</v>
      </c>
      <c r="AK1156">
        <v>13</v>
      </c>
      <c r="AL1156">
        <v>19</v>
      </c>
      <c r="AM1156">
        <v>15</v>
      </c>
      <c r="AN1156">
        <v>16</v>
      </c>
      <c r="AO1156">
        <v>12</v>
      </c>
      <c r="AP1156">
        <v>0</v>
      </c>
      <c r="AQ1156">
        <v>0</v>
      </c>
      <c r="AR1156">
        <v>32</v>
      </c>
      <c r="AS1156">
        <v>20</v>
      </c>
      <c r="AT1156">
        <v>19</v>
      </c>
      <c r="AU1156">
        <v>27</v>
      </c>
      <c r="AV1156">
        <v>21</v>
      </c>
      <c r="AW1156">
        <v>10</v>
      </c>
      <c r="AX1156">
        <v>31</v>
      </c>
      <c r="AY1156">
        <v>23</v>
      </c>
      <c r="AZ1156">
        <v>0</v>
      </c>
      <c r="BA1156">
        <v>0</v>
      </c>
      <c r="BB1156">
        <v>31</v>
      </c>
      <c r="BC1156">
        <v>21</v>
      </c>
      <c r="BD1156">
        <v>0</v>
      </c>
      <c r="BE1156">
        <v>34</v>
      </c>
      <c r="BF1156">
        <v>7</v>
      </c>
      <c r="BG1156">
        <v>18</v>
      </c>
      <c r="BH1156">
        <v>7</v>
      </c>
      <c r="BI1156">
        <v>29</v>
      </c>
      <c r="BJ1156">
        <v>10</v>
      </c>
    </row>
    <row r="1157" spans="3:62" x14ac:dyDescent="0.2">
      <c r="C1157" s="121">
        <v>26</v>
      </c>
      <c r="D1157" s="121">
        <v>11</v>
      </c>
      <c r="E1157" s="121">
        <v>27</v>
      </c>
      <c r="F1157" s="121">
        <v>17</v>
      </c>
      <c r="G1157" s="121">
        <v>28</v>
      </c>
      <c r="H1157" s="121">
        <v>13</v>
      </c>
      <c r="R1157">
        <v>21</v>
      </c>
      <c r="S1157">
        <v>19</v>
      </c>
      <c r="T1157">
        <v>27</v>
      </c>
      <c r="U1157">
        <v>21</v>
      </c>
      <c r="V1157">
        <v>0</v>
      </c>
      <c r="W1157">
        <v>0</v>
      </c>
      <c r="X1157">
        <v>6</v>
      </c>
      <c r="Y1157">
        <v>5</v>
      </c>
      <c r="Z1157">
        <v>9</v>
      </c>
      <c r="AA1157">
        <v>3</v>
      </c>
      <c r="AB1157">
        <v>8</v>
      </c>
      <c r="AC1157">
        <v>2</v>
      </c>
      <c r="AD1157">
        <v>6</v>
      </c>
      <c r="AE1157">
        <v>5</v>
      </c>
      <c r="AF1157">
        <v>0</v>
      </c>
      <c r="AG1157">
        <v>0</v>
      </c>
      <c r="AH1157">
        <v>15</v>
      </c>
      <c r="AI1157">
        <v>10</v>
      </c>
      <c r="AJ1157">
        <v>11</v>
      </c>
      <c r="AK1157">
        <v>12</v>
      </c>
      <c r="AL1157">
        <v>16</v>
      </c>
      <c r="AM1157">
        <v>4</v>
      </c>
      <c r="AN1157">
        <v>15</v>
      </c>
      <c r="AO1157">
        <v>12</v>
      </c>
      <c r="AP1157">
        <v>0</v>
      </c>
      <c r="AQ1157">
        <v>0</v>
      </c>
      <c r="AR1157">
        <v>40</v>
      </c>
      <c r="AS1157">
        <v>19</v>
      </c>
      <c r="AT1157">
        <v>25</v>
      </c>
      <c r="AU1157">
        <v>26</v>
      </c>
      <c r="AV1157">
        <v>18</v>
      </c>
      <c r="AW1157">
        <v>21</v>
      </c>
      <c r="AX1157">
        <v>25</v>
      </c>
      <c r="AY1157">
        <v>30</v>
      </c>
      <c r="AZ1157">
        <v>0</v>
      </c>
      <c r="BA1157">
        <v>0</v>
      </c>
      <c r="BB1157">
        <v>27</v>
      </c>
      <c r="BC1157">
        <v>18</v>
      </c>
      <c r="BD1157">
        <v>0</v>
      </c>
      <c r="BE1157">
        <v>26</v>
      </c>
      <c r="BF1157">
        <v>11</v>
      </c>
      <c r="BG1157">
        <v>27</v>
      </c>
      <c r="BH1157">
        <v>17</v>
      </c>
      <c r="BI1157">
        <v>28</v>
      </c>
      <c r="BJ1157">
        <v>13</v>
      </c>
    </row>
    <row r="1158" spans="3:62" x14ac:dyDescent="0.2">
      <c r="C1158" s="121">
        <v>21</v>
      </c>
      <c r="D1158" s="121">
        <v>13</v>
      </c>
      <c r="E1158" s="121">
        <v>36</v>
      </c>
      <c r="F1158" s="121">
        <v>11</v>
      </c>
      <c r="G1158" s="121">
        <v>28</v>
      </c>
      <c r="H1158" s="121">
        <v>17</v>
      </c>
      <c r="R1158">
        <v>19</v>
      </c>
      <c r="S1158">
        <v>12</v>
      </c>
      <c r="T1158">
        <v>28</v>
      </c>
      <c r="U1158">
        <v>13</v>
      </c>
      <c r="V1158">
        <v>0</v>
      </c>
      <c r="W1158">
        <v>0</v>
      </c>
      <c r="X1158">
        <v>8</v>
      </c>
      <c r="Y1158">
        <v>10</v>
      </c>
      <c r="Z1158">
        <v>4</v>
      </c>
      <c r="AA1158">
        <v>5</v>
      </c>
      <c r="AB1158">
        <v>10</v>
      </c>
      <c r="AC1158">
        <v>3</v>
      </c>
      <c r="AD1158">
        <v>9</v>
      </c>
      <c r="AE1158">
        <v>4</v>
      </c>
      <c r="AF1158">
        <v>0</v>
      </c>
      <c r="AG1158">
        <v>0</v>
      </c>
      <c r="AH1158">
        <v>13</v>
      </c>
      <c r="AI1158">
        <v>11</v>
      </c>
      <c r="AJ1158">
        <v>11</v>
      </c>
      <c r="AK1158">
        <v>9</v>
      </c>
      <c r="AL1158">
        <v>18</v>
      </c>
      <c r="AM1158">
        <v>13</v>
      </c>
      <c r="AN1158">
        <v>16</v>
      </c>
      <c r="AO1158">
        <v>11</v>
      </c>
      <c r="AP1158">
        <v>0</v>
      </c>
      <c r="AQ1158">
        <v>0</v>
      </c>
      <c r="AR1158">
        <v>34</v>
      </c>
      <c r="AS1158">
        <v>13</v>
      </c>
      <c r="AT1158">
        <v>16</v>
      </c>
      <c r="AU1158">
        <v>26</v>
      </c>
      <c r="AV1158">
        <v>20</v>
      </c>
      <c r="AW1158">
        <v>16</v>
      </c>
      <c r="AX1158">
        <v>24</v>
      </c>
      <c r="AY1158">
        <v>20</v>
      </c>
      <c r="AZ1158">
        <v>0</v>
      </c>
      <c r="BA1158">
        <v>0</v>
      </c>
      <c r="BB1158">
        <v>27</v>
      </c>
      <c r="BC1158">
        <v>16</v>
      </c>
      <c r="BD1158">
        <v>0</v>
      </c>
      <c r="BE1158">
        <v>21</v>
      </c>
      <c r="BF1158">
        <v>13</v>
      </c>
      <c r="BG1158">
        <v>36</v>
      </c>
      <c r="BH1158">
        <v>11</v>
      </c>
      <c r="BI1158">
        <v>28</v>
      </c>
      <c r="BJ1158">
        <v>17</v>
      </c>
    </row>
    <row r="1159" spans="3:62" x14ac:dyDescent="0.2">
      <c r="C1159" s="121">
        <v>34</v>
      </c>
      <c r="D1159" s="121">
        <v>15</v>
      </c>
      <c r="E1159" s="121">
        <v>26</v>
      </c>
      <c r="F1159" s="121">
        <v>15</v>
      </c>
      <c r="G1159" s="121">
        <v>29</v>
      </c>
      <c r="H1159" s="121">
        <v>19</v>
      </c>
      <c r="R1159">
        <v>25</v>
      </c>
      <c r="S1159">
        <v>21</v>
      </c>
      <c r="T1159">
        <v>20</v>
      </c>
      <c r="U1159">
        <v>18</v>
      </c>
      <c r="V1159">
        <v>0</v>
      </c>
      <c r="W1159">
        <v>0</v>
      </c>
      <c r="X1159">
        <v>4</v>
      </c>
      <c r="Y1159">
        <v>7</v>
      </c>
      <c r="Z1159">
        <v>6</v>
      </c>
      <c r="AA1159">
        <v>4</v>
      </c>
      <c r="AB1159">
        <v>8</v>
      </c>
      <c r="AC1159">
        <v>3</v>
      </c>
      <c r="AD1159">
        <v>8</v>
      </c>
      <c r="AE1159">
        <v>12</v>
      </c>
      <c r="AF1159">
        <v>0</v>
      </c>
      <c r="AG1159">
        <v>0</v>
      </c>
      <c r="AH1159">
        <v>4</v>
      </c>
      <c r="AI1159">
        <v>12</v>
      </c>
      <c r="AJ1159">
        <v>12</v>
      </c>
      <c r="AK1159">
        <v>14</v>
      </c>
      <c r="AL1159">
        <v>13</v>
      </c>
      <c r="AM1159">
        <v>8</v>
      </c>
      <c r="AN1159">
        <v>11</v>
      </c>
      <c r="AO1159">
        <v>12</v>
      </c>
      <c r="AP1159">
        <v>0</v>
      </c>
      <c r="AQ1159">
        <v>0</v>
      </c>
      <c r="AR1159">
        <v>31</v>
      </c>
      <c r="AS1159">
        <v>26</v>
      </c>
      <c r="AT1159">
        <v>21</v>
      </c>
      <c r="AU1159">
        <v>20</v>
      </c>
      <c r="AV1159">
        <v>30</v>
      </c>
      <c r="AW1159">
        <v>22</v>
      </c>
      <c r="AX1159">
        <v>23</v>
      </c>
      <c r="AY1159">
        <v>18</v>
      </c>
      <c r="AZ1159">
        <v>0</v>
      </c>
      <c r="BA1159">
        <v>0</v>
      </c>
      <c r="BB1159">
        <v>20</v>
      </c>
      <c r="BC1159">
        <v>22</v>
      </c>
      <c r="BD1159">
        <v>0</v>
      </c>
      <c r="BE1159">
        <v>34</v>
      </c>
      <c r="BF1159">
        <v>15</v>
      </c>
      <c r="BG1159">
        <v>26</v>
      </c>
      <c r="BH1159">
        <v>15</v>
      </c>
      <c r="BI1159">
        <v>29</v>
      </c>
      <c r="BJ1159">
        <v>19</v>
      </c>
    </row>
    <row r="1160" spans="3:62" x14ac:dyDescent="0.2">
      <c r="C1160" s="121">
        <v>27</v>
      </c>
      <c r="D1160" s="121">
        <v>14</v>
      </c>
      <c r="E1160" s="121">
        <v>23</v>
      </c>
      <c r="F1160" s="121">
        <v>20</v>
      </c>
      <c r="G1160" s="121">
        <v>36</v>
      </c>
      <c r="H1160" s="121">
        <v>19</v>
      </c>
      <c r="R1160">
        <v>24</v>
      </c>
      <c r="S1160">
        <v>25</v>
      </c>
      <c r="T1160">
        <v>19</v>
      </c>
      <c r="U1160">
        <v>18</v>
      </c>
      <c r="V1160">
        <v>0</v>
      </c>
      <c r="W1160">
        <v>0</v>
      </c>
      <c r="X1160">
        <v>7</v>
      </c>
      <c r="Y1160">
        <v>3</v>
      </c>
      <c r="Z1160">
        <v>15</v>
      </c>
      <c r="AA1160">
        <v>10</v>
      </c>
      <c r="AB1160">
        <v>13</v>
      </c>
      <c r="AC1160">
        <v>3</v>
      </c>
      <c r="AD1160">
        <v>3</v>
      </c>
      <c r="AE1160">
        <v>9</v>
      </c>
      <c r="AF1160">
        <v>0</v>
      </c>
      <c r="AG1160">
        <v>0</v>
      </c>
      <c r="AH1160">
        <v>11</v>
      </c>
      <c r="AI1160">
        <v>10</v>
      </c>
      <c r="AJ1160">
        <v>13</v>
      </c>
      <c r="AK1160">
        <v>10</v>
      </c>
      <c r="AL1160">
        <v>4</v>
      </c>
      <c r="AM1160">
        <v>6</v>
      </c>
      <c r="AN1160">
        <v>12</v>
      </c>
      <c r="AO1160">
        <v>15</v>
      </c>
      <c r="AP1160">
        <v>0</v>
      </c>
      <c r="AQ1160">
        <v>0</v>
      </c>
      <c r="AR1160">
        <v>22</v>
      </c>
      <c r="AS1160">
        <v>24</v>
      </c>
      <c r="AT1160">
        <v>20</v>
      </c>
      <c r="AU1160">
        <v>34</v>
      </c>
      <c r="AV1160">
        <v>17</v>
      </c>
      <c r="AW1160">
        <v>18</v>
      </c>
      <c r="AX1160">
        <v>18</v>
      </c>
      <c r="AY1160">
        <v>27</v>
      </c>
      <c r="AZ1160">
        <v>0</v>
      </c>
      <c r="BA1160">
        <v>0</v>
      </c>
      <c r="BB1160">
        <v>31</v>
      </c>
      <c r="BC1160">
        <v>20</v>
      </c>
      <c r="BD1160">
        <v>0</v>
      </c>
      <c r="BE1160">
        <v>27</v>
      </c>
      <c r="BF1160">
        <v>14</v>
      </c>
      <c r="BG1160">
        <v>23</v>
      </c>
      <c r="BH1160">
        <v>20</v>
      </c>
      <c r="BI1160">
        <v>36</v>
      </c>
      <c r="BJ1160">
        <v>19</v>
      </c>
    </row>
    <row r="1161" spans="3:62" x14ac:dyDescent="0.2">
      <c r="C1161" s="121">
        <v>19</v>
      </c>
      <c r="D1161" s="121">
        <v>19</v>
      </c>
      <c r="E1161" s="121">
        <v>20</v>
      </c>
      <c r="F1161" s="121">
        <v>18</v>
      </c>
      <c r="G1161" s="121">
        <v>22</v>
      </c>
      <c r="H1161" s="121">
        <v>16</v>
      </c>
      <c r="R1161">
        <v>23</v>
      </c>
      <c r="S1161">
        <v>25</v>
      </c>
      <c r="T1161">
        <v>23</v>
      </c>
      <c r="U1161">
        <v>26</v>
      </c>
      <c r="V1161">
        <v>0</v>
      </c>
      <c r="W1161">
        <v>0</v>
      </c>
      <c r="X1161">
        <v>12</v>
      </c>
      <c r="Y1161">
        <v>8</v>
      </c>
      <c r="Z1161">
        <v>17</v>
      </c>
      <c r="AA1161">
        <v>6</v>
      </c>
      <c r="AB1161">
        <v>10</v>
      </c>
      <c r="AC1161">
        <v>3</v>
      </c>
      <c r="AD1161">
        <v>7</v>
      </c>
      <c r="AE1161">
        <v>17</v>
      </c>
      <c r="AF1161">
        <v>0</v>
      </c>
      <c r="AG1161">
        <v>0</v>
      </c>
      <c r="AH1161">
        <v>8</v>
      </c>
      <c r="AI1161">
        <v>9</v>
      </c>
      <c r="AJ1161">
        <v>12</v>
      </c>
      <c r="AK1161">
        <v>4</v>
      </c>
      <c r="AL1161">
        <v>6</v>
      </c>
      <c r="AM1161">
        <v>11</v>
      </c>
      <c r="AN1161">
        <v>21</v>
      </c>
      <c r="AO1161">
        <v>12</v>
      </c>
      <c r="AP1161">
        <v>0</v>
      </c>
      <c r="AQ1161">
        <v>0</v>
      </c>
      <c r="AR1161">
        <v>26</v>
      </c>
      <c r="AS1161">
        <v>16</v>
      </c>
      <c r="AT1161">
        <v>21</v>
      </c>
      <c r="AU1161">
        <v>27</v>
      </c>
      <c r="AV1161">
        <v>21</v>
      </c>
      <c r="AW1161">
        <v>20</v>
      </c>
      <c r="AX1161">
        <v>29</v>
      </c>
      <c r="AY1161">
        <v>34</v>
      </c>
      <c r="AZ1161">
        <v>0</v>
      </c>
      <c r="BA1161">
        <v>0</v>
      </c>
      <c r="BB1161">
        <v>32</v>
      </c>
      <c r="BC1161">
        <v>18</v>
      </c>
      <c r="BD1161">
        <v>0</v>
      </c>
      <c r="BE1161">
        <v>19</v>
      </c>
      <c r="BF1161">
        <v>19</v>
      </c>
      <c r="BG1161">
        <v>20</v>
      </c>
      <c r="BH1161">
        <v>18</v>
      </c>
      <c r="BI1161">
        <v>22</v>
      </c>
      <c r="BJ1161">
        <v>16</v>
      </c>
    </row>
    <row r="1162" spans="3:62" x14ac:dyDescent="0.2">
      <c r="C1162" s="121">
        <v>23</v>
      </c>
      <c r="D1162" s="121">
        <v>15</v>
      </c>
      <c r="E1162" s="121">
        <v>23</v>
      </c>
      <c r="F1162" s="121">
        <v>17</v>
      </c>
      <c r="G1162" s="121">
        <v>28</v>
      </c>
      <c r="H1162" s="121">
        <v>17</v>
      </c>
      <c r="R1162">
        <v>21</v>
      </c>
      <c r="S1162">
        <v>27</v>
      </c>
      <c r="T1162">
        <v>18</v>
      </c>
      <c r="U1162">
        <v>17</v>
      </c>
      <c r="V1162">
        <v>0</v>
      </c>
      <c r="W1162">
        <v>0</v>
      </c>
      <c r="X1162">
        <v>12</v>
      </c>
      <c r="Y1162">
        <v>11</v>
      </c>
      <c r="Z1162">
        <v>10</v>
      </c>
      <c r="AA1162">
        <v>5</v>
      </c>
      <c r="AB1162">
        <v>5</v>
      </c>
      <c r="AC1162">
        <v>6</v>
      </c>
      <c r="AD1162">
        <v>8</v>
      </c>
      <c r="AE1162">
        <v>10</v>
      </c>
      <c r="AF1162">
        <v>0</v>
      </c>
      <c r="AG1162">
        <v>0</v>
      </c>
      <c r="AH1162">
        <v>5</v>
      </c>
      <c r="AI1162">
        <v>9</v>
      </c>
      <c r="AJ1162">
        <v>11</v>
      </c>
      <c r="AK1162">
        <v>6</v>
      </c>
      <c r="AL1162">
        <v>9</v>
      </c>
      <c r="AM1162">
        <v>9</v>
      </c>
      <c r="AN1162">
        <v>10</v>
      </c>
      <c r="AO1162">
        <v>4</v>
      </c>
      <c r="AP1162">
        <v>0</v>
      </c>
      <c r="AQ1162">
        <v>0</v>
      </c>
      <c r="AR1162">
        <v>29</v>
      </c>
      <c r="AS1162">
        <v>20</v>
      </c>
      <c r="AT1162">
        <v>25</v>
      </c>
      <c r="AU1162">
        <v>20</v>
      </c>
      <c r="AV1162">
        <v>22</v>
      </c>
      <c r="AW1162">
        <v>22</v>
      </c>
      <c r="AX1162">
        <v>26</v>
      </c>
      <c r="AY1162">
        <v>19</v>
      </c>
      <c r="AZ1162">
        <v>0</v>
      </c>
      <c r="BA1162">
        <v>0</v>
      </c>
      <c r="BB1162">
        <v>31</v>
      </c>
      <c r="BC1162">
        <v>14</v>
      </c>
      <c r="BD1162">
        <v>0</v>
      </c>
      <c r="BE1162">
        <v>23</v>
      </c>
      <c r="BF1162">
        <v>15</v>
      </c>
      <c r="BG1162">
        <v>23</v>
      </c>
      <c r="BH1162">
        <v>17</v>
      </c>
      <c r="BI1162">
        <v>28</v>
      </c>
      <c r="BJ1162">
        <v>17</v>
      </c>
    </row>
    <row r="1163" spans="3:62" x14ac:dyDescent="0.2">
      <c r="C1163" s="121">
        <v>29</v>
      </c>
      <c r="D1163" s="121">
        <v>21</v>
      </c>
      <c r="E1163" s="121">
        <v>25</v>
      </c>
      <c r="F1163" s="121">
        <v>13</v>
      </c>
      <c r="G1163" s="121">
        <v>23</v>
      </c>
      <c r="H1163" s="121">
        <v>24</v>
      </c>
      <c r="R1163">
        <v>19</v>
      </c>
      <c r="S1163">
        <v>24</v>
      </c>
      <c r="T1163">
        <v>33</v>
      </c>
      <c r="U1163">
        <v>25</v>
      </c>
      <c r="V1163">
        <v>0</v>
      </c>
      <c r="W1163">
        <v>0</v>
      </c>
      <c r="X1163">
        <v>9</v>
      </c>
      <c r="Y1163">
        <v>4</v>
      </c>
      <c r="Z1163">
        <v>7</v>
      </c>
      <c r="AA1163">
        <v>9</v>
      </c>
      <c r="AB1163">
        <v>10</v>
      </c>
      <c r="AC1163">
        <v>4</v>
      </c>
      <c r="AD1163">
        <v>6</v>
      </c>
      <c r="AE1163">
        <v>9</v>
      </c>
      <c r="AF1163">
        <v>0</v>
      </c>
      <c r="AG1163">
        <v>0</v>
      </c>
      <c r="AH1163">
        <v>10</v>
      </c>
      <c r="AI1163">
        <v>8</v>
      </c>
      <c r="AJ1163">
        <v>12</v>
      </c>
      <c r="AK1163">
        <v>9</v>
      </c>
      <c r="AL1163">
        <v>7</v>
      </c>
      <c r="AM1163">
        <v>10</v>
      </c>
      <c r="AN1163">
        <v>16</v>
      </c>
      <c r="AO1163">
        <v>10</v>
      </c>
      <c r="AP1163">
        <v>0</v>
      </c>
      <c r="AQ1163">
        <v>0</v>
      </c>
      <c r="AR1163">
        <v>19</v>
      </c>
      <c r="AS1163">
        <v>22</v>
      </c>
      <c r="AT1163">
        <v>24</v>
      </c>
      <c r="AU1163">
        <v>24</v>
      </c>
      <c r="AV1163">
        <v>27</v>
      </c>
      <c r="AW1163">
        <v>15</v>
      </c>
      <c r="AX1163">
        <v>9</v>
      </c>
      <c r="AY1163">
        <v>31</v>
      </c>
      <c r="AZ1163">
        <v>0</v>
      </c>
      <c r="BA1163">
        <v>0</v>
      </c>
      <c r="BB1163">
        <v>29</v>
      </c>
      <c r="BC1163">
        <v>15</v>
      </c>
      <c r="BD1163">
        <v>0</v>
      </c>
      <c r="BE1163">
        <v>29</v>
      </c>
      <c r="BF1163">
        <v>21</v>
      </c>
      <c r="BG1163">
        <v>25</v>
      </c>
      <c r="BH1163">
        <v>13</v>
      </c>
      <c r="BI1163">
        <v>23</v>
      </c>
      <c r="BJ1163">
        <v>24</v>
      </c>
    </row>
    <row r="1164" spans="3:62" x14ac:dyDescent="0.2">
      <c r="C1164" s="121">
        <v>29</v>
      </c>
      <c r="D1164" s="121">
        <v>14</v>
      </c>
      <c r="E1164" s="121">
        <v>32</v>
      </c>
      <c r="F1164" s="121">
        <v>22</v>
      </c>
      <c r="G1164" s="121">
        <v>27</v>
      </c>
      <c r="H1164" s="121">
        <v>24</v>
      </c>
      <c r="R1164">
        <v>36</v>
      </c>
      <c r="S1164">
        <v>22</v>
      </c>
      <c r="T1164">
        <v>24</v>
      </c>
      <c r="U1164">
        <v>19</v>
      </c>
      <c r="V1164">
        <v>0</v>
      </c>
      <c r="W1164">
        <v>0</v>
      </c>
      <c r="X1164">
        <v>6</v>
      </c>
      <c r="Y1164">
        <v>5</v>
      </c>
      <c r="Z1164">
        <v>10</v>
      </c>
      <c r="AA1164">
        <v>5</v>
      </c>
      <c r="AB1164">
        <v>12</v>
      </c>
      <c r="AC1164">
        <v>6</v>
      </c>
      <c r="AD1164">
        <v>5</v>
      </c>
      <c r="AE1164">
        <v>11</v>
      </c>
      <c r="AF1164">
        <v>0</v>
      </c>
      <c r="AG1164">
        <v>0</v>
      </c>
      <c r="AH1164">
        <v>8</v>
      </c>
      <c r="AI1164">
        <v>8</v>
      </c>
      <c r="AJ1164">
        <v>12</v>
      </c>
      <c r="AK1164">
        <v>8</v>
      </c>
      <c r="AL1164">
        <v>5</v>
      </c>
      <c r="AM1164">
        <v>8</v>
      </c>
      <c r="AN1164">
        <v>11</v>
      </c>
      <c r="AO1164">
        <v>11</v>
      </c>
      <c r="AP1164">
        <v>0</v>
      </c>
      <c r="AQ1164">
        <v>0</v>
      </c>
      <c r="AR1164">
        <v>30</v>
      </c>
      <c r="AS1164">
        <v>22</v>
      </c>
      <c r="AT1164">
        <v>26</v>
      </c>
      <c r="AU1164">
        <v>32</v>
      </c>
      <c r="AV1164">
        <v>27</v>
      </c>
      <c r="AW1164">
        <v>23</v>
      </c>
      <c r="AX1164">
        <v>27</v>
      </c>
      <c r="AY1164">
        <v>26</v>
      </c>
      <c r="AZ1164">
        <v>0</v>
      </c>
      <c r="BA1164">
        <v>0</v>
      </c>
      <c r="BB1164">
        <v>23</v>
      </c>
      <c r="BC1164">
        <v>10</v>
      </c>
      <c r="BD1164">
        <v>0</v>
      </c>
      <c r="BE1164">
        <v>29</v>
      </c>
      <c r="BF1164">
        <v>14</v>
      </c>
      <c r="BG1164">
        <v>32</v>
      </c>
      <c r="BH1164">
        <v>22</v>
      </c>
      <c r="BI1164">
        <v>27</v>
      </c>
      <c r="BJ1164">
        <v>24</v>
      </c>
    </row>
    <row r="1165" spans="3:62" x14ac:dyDescent="0.2">
      <c r="C1165" s="121">
        <v>20</v>
      </c>
      <c r="D1165" s="121">
        <v>20</v>
      </c>
      <c r="E1165" s="121">
        <v>29</v>
      </c>
      <c r="F1165" s="121">
        <v>17</v>
      </c>
      <c r="G1165" s="121">
        <v>27</v>
      </c>
      <c r="H1165" s="121">
        <v>22</v>
      </c>
      <c r="R1165">
        <v>36</v>
      </c>
      <c r="S1165">
        <v>19</v>
      </c>
      <c r="T1165">
        <v>26</v>
      </c>
      <c r="U1165">
        <v>29</v>
      </c>
      <c r="V1165">
        <v>0</v>
      </c>
      <c r="W1165">
        <v>0</v>
      </c>
      <c r="X1165">
        <v>12</v>
      </c>
      <c r="Y1165">
        <v>8</v>
      </c>
      <c r="Z1165">
        <v>4</v>
      </c>
      <c r="AA1165">
        <v>5</v>
      </c>
      <c r="AB1165">
        <v>16</v>
      </c>
      <c r="AC1165">
        <v>8</v>
      </c>
      <c r="AD1165">
        <v>12</v>
      </c>
      <c r="AE1165">
        <v>7</v>
      </c>
      <c r="AF1165">
        <v>0</v>
      </c>
      <c r="AG1165">
        <v>0</v>
      </c>
      <c r="AH1165">
        <v>6</v>
      </c>
      <c r="AI1165">
        <v>9</v>
      </c>
      <c r="AJ1165">
        <v>9</v>
      </c>
      <c r="AK1165">
        <v>10</v>
      </c>
      <c r="AL1165">
        <v>8</v>
      </c>
      <c r="AM1165">
        <v>7</v>
      </c>
      <c r="AN1165">
        <v>12</v>
      </c>
      <c r="AO1165">
        <v>10</v>
      </c>
      <c r="AP1165">
        <v>0</v>
      </c>
      <c r="AQ1165">
        <v>0</v>
      </c>
      <c r="AR1165">
        <v>26</v>
      </c>
      <c r="AS1165">
        <v>21</v>
      </c>
      <c r="AT1165">
        <v>25</v>
      </c>
      <c r="AU1165">
        <v>20</v>
      </c>
      <c r="AV1165">
        <v>25</v>
      </c>
      <c r="AW1165">
        <v>17</v>
      </c>
      <c r="AX1165">
        <v>28</v>
      </c>
      <c r="AY1165">
        <v>17</v>
      </c>
      <c r="AZ1165">
        <v>0</v>
      </c>
      <c r="BA1165">
        <v>0</v>
      </c>
      <c r="BB1165">
        <v>29</v>
      </c>
      <c r="BC1165">
        <v>17</v>
      </c>
      <c r="BD1165">
        <v>0</v>
      </c>
      <c r="BE1165">
        <v>20</v>
      </c>
      <c r="BF1165">
        <v>20</v>
      </c>
      <c r="BG1165">
        <v>29</v>
      </c>
      <c r="BH1165">
        <v>17</v>
      </c>
      <c r="BI1165">
        <v>27</v>
      </c>
      <c r="BJ1165">
        <v>22</v>
      </c>
    </row>
    <row r="1166" spans="3:62" x14ac:dyDescent="0.2">
      <c r="C1166" s="121">
        <v>24</v>
      </c>
      <c r="D1166" s="121">
        <v>23</v>
      </c>
      <c r="E1166" s="121">
        <v>19</v>
      </c>
      <c r="F1166" s="121">
        <v>31</v>
      </c>
      <c r="G1166" s="121">
        <v>26</v>
      </c>
      <c r="H1166" s="121">
        <v>23</v>
      </c>
      <c r="R1166">
        <v>24</v>
      </c>
      <c r="S1166">
        <v>30</v>
      </c>
      <c r="T1166">
        <v>24</v>
      </c>
      <c r="U1166">
        <v>28</v>
      </c>
      <c r="V1166">
        <v>0</v>
      </c>
      <c r="W1166">
        <v>0</v>
      </c>
      <c r="X1166">
        <v>11</v>
      </c>
      <c r="Y1166">
        <v>13</v>
      </c>
      <c r="Z1166">
        <v>10</v>
      </c>
      <c r="AA1166">
        <v>5</v>
      </c>
      <c r="AB1166">
        <v>13</v>
      </c>
      <c r="AC1166">
        <v>5</v>
      </c>
      <c r="AD1166">
        <v>5</v>
      </c>
      <c r="AE1166">
        <v>10</v>
      </c>
      <c r="AF1166">
        <v>0</v>
      </c>
      <c r="AG1166">
        <v>0</v>
      </c>
      <c r="AH1166">
        <v>4</v>
      </c>
      <c r="AI1166">
        <v>9</v>
      </c>
      <c r="AJ1166">
        <v>11</v>
      </c>
      <c r="AK1166">
        <v>3</v>
      </c>
      <c r="AL1166">
        <v>5</v>
      </c>
      <c r="AM1166">
        <v>6</v>
      </c>
      <c r="AN1166">
        <v>7</v>
      </c>
      <c r="AO1166">
        <v>5</v>
      </c>
      <c r="AP1166">
        <v>0</v>
      </c>
      <c r="AQ1166">
        <v>0</v>
      </c>
      <c r="AR1166">
        <v>23</v>
      </c>
      <c r="AS1166">
        <v>25</v>
      </c>
      <c r="AT1166">
        <v>26</v>
      </c>
      <c r="AU1166">
        <v>29</v>
      </c>
      <c r="AV1166">
        <v>27</v>
      </c>
      <c r="AW1166">
        <v>13</v>
      </c>
      <c r="AX1166">
        <v>28</v>
      </c>
      <c r="AY1166">
        <v>27</v>
      </c>
      <c r="AZ1166">
        <v>0</v>
      </c>
      <c r="BA1166">
        <v>0</v>
      </c>
      <c r="BB1166">
        <v>21</v>
      </c>
      <c r="BC1166">
        <v>14</v>
      </c>
      <c r="BD1166">
        <v>0</v>
      </c>
      <c r="BE1166">
        <v>24</v>
      </c>
      <c r="BF1166">
        <v>23</v>
      </c>
      <c r="BG1166">
        <v>19</v>
      </c>
      <c r="BH1166">
        <v>31</v>
      </c>
      <c r="BI1166">
        <v>26</v>
      </c>
      <c r="BJ1166">
        <v>23</v>
      </c>
    </row>
    <row r="1167" spans="3:62" x14ac:dyDescent="0.2">
      <c r="C1167" s="121">
        <v>30</v>
      </c>
      <c r="D1167" s="121">
        <v>30</v>
      </c>
      <c r="E1167" s="121">
        <v>28</v>
      </c>
      <c r="F1167" s="121">
        <v>33</v>
      </c>
      <c r="G1167" s="121">
        <v>26</v>
      </c>
      <c r="H1167" s="121">
        <v>30</v>
      </c>
      <c r="R1167">
        <v>35</v>
      </c>
      <c r="S1167">
        <v>27</v>
      </c>
      <c r="T1167">
        <v>30</v>
      </c>
      <c r="U1167">
        <v>28</v>
      </c>
      <c r="V1167">
        <v>0</v>
      </c>
      <c r="W1167">
        <v>0</v>
      </c>
      <c r="X1167">
        <v>11</v>
      </c>
      <c r="Y1167">
        <v>5</v>
      </c>
      <c r="Z1167">
        <v>11</v>
      </c>
      <c r="AA1167">
        <v>8</v>
      </c>
      <c r="AB1167">
        <v>14</v>
      </c>
      <c r="AC1167">
        <v>7</v>
      </c>
      <c r="AD1167">
        <v>7</v>
      </c>
      <c r="AE1167">
        <v>16</v>
      </c>
      <c r="AF1167">
        <v>0</v>
      </c>
      <c r="AG1167">
        <v>0</v>
      </c>
      <c r="AH1167">
        <v>7</v>
      </c>
      <c r="AI1167">
        <v>10</v>
      </c>
      <c r="AJ1167">
        <v>3</v>
      </c>
      <c r="AK1167">
        <v>6</v>
      </c>
      <c r="AL1167">
        <v>7</v>
      </c>
      <c r="AM1167">
        <v>9</v>
      </c>
      <c r="AN1167">
        <v>12</v>
      </c>
      <c r="AO1167">
        <v>5</v>
      </c>
      <c r="AP1167">
        <v>0</v>
      </c>
      <c r="AQ1167">
        <v>0</v>
      </c>
      <c r="AR1167">
        <v>20</v>
      </c>
      <c r="AS1167">
        <v>22</v>
      </c>
      <c r="AT1167">
        <v>20</v>
      </c>
      <c r="AU1167">
        <v>22</v>
      </c>
      <c r="AV1167">
        <v>25</v>
      </c>
      <c r="AW1167">
        <v>20</v>
      </c>
      <c r="AX1167">
        <v>17</v>
      </c>
      <c r="AY1167">
        <v>21</v>
      </c>
      <c r="AZ1167">
        <v>0</v>
      </c>
      <c r="BA1167">
        <v>0</v>
      </c>
      <c r="BB1167">
        <v>34</v>
      </c>
      <c r="BC1167">
        <v>12</v>
      </c>
      <c r="BD1167">
        <v>0</v>
      </c>
      <c r="BE1167">
        <v>30</v>
      </c>
      <c r="BF1167">
        <v>30</v>
      </c>
      <c r="BG1167">
        <v>28</v>
      </c>
      <c r="BH1167">
        <v>33</v>
      </c>
      <c r="BI1167">
        <v>26</v>
      </c>
      <c r="BJ1167">
        <v>30</v>
      </c>
    </row>
    <row r="1168" spans="3:62" x14ac:dyDescent="0.2">
      <c r="C1168" s="121">
        <v>26</v>
      </c>
      <c r="D1168" s="121">
        <v>32</v>
      </c>
      <c r="E1168" s="121">
        <v>31</v>
      </c>
      <c r="F1168" s="121">
        <v>31</v>
      </c>
      <c r="G1168" s="121">
        <v>30</v>
      </c>
      <c r="H1168" s="121">
        <v>40</v>
      </c>
      <c r="R1168">
        <v>29</v>
      </c>
      <c r="S1168">
        <v>22</v>
      </c>
      <c r="T1168">
        <v>20</v>
      </c>
      <c r="U1168">
        <v>20</v>
      </c>
      <c r="V1168">
        <v>0</v>
      </c>
      <c r="W1168">
        <v>0</v>
      </c>
      <c r="X1168">
        <v>16</v>
      </c>
      <c r="Y1168">
        <v>10</v>
      </c>
      <c r="Z1168">
        <v>13</v>
      </c>
      <c r="AA1168">
        <v>5</v>
      </c>
      <c r="AB1168">
        <v>3</v>
      </c>
      <c r="AC1168">
        <v>4</v>
      </c>
      <c r="AD1168">
        <v>12</v>
      </c>
      <c r="AE1168">
        <v>8</v>
      </c>
      <c r="AF1168">
        <v>0</v>
      </c>
      <c r="AG1168">
        <v>0</v>
      </c>
      <c r="AH1168">
        <v>8</v>
      </c>
      <c r="AI1168">
        <v>3</v>
      </c>
      <c r="AJ1168">
        <v>8</v>
      </c>
      <c r="AK1168">
        <v>7</v>
      </c>
      <c r="AL1168">
        <v>6</v>
      </c>
      <c r="AM1168">
        <v>7</v>
      </c>
      <c r="AN1168">
        <v>6</v>
      </c>
      <c r="AO1168">
        <v>8</v>
      </c>
      <c r="AP1168">
        <v>0</v>
      </c>
      <c r="AQ1168">
        <v>0</v>
      </c>
      <c r="AR1168">
        <v>16</v>
      </c>
      <c r="AS1168">
        <v>23</v>
      </c>
      <c r="AT1168">
        <v>41</v>
      </c>
      <c r="AU1168">
        <v>18</v>
      </c>
      <c r="AV1168">
        <v>23</v>
      </c>
      <c r="AW1168">
        <v>16</v>
      </c>
      <c r="AX1168">
        <v>12</v>
      </c>
      <c r="AY1168">
        <v>19</v>
      </c>
      <c r="AZ1168">
        <v>0</v>
      </c>
      <c r="BA1168">
        <v>0</v>
      </c>
      <c r="BB1168">
        <v>18</v>
      </c>
      <c r="BC1168">
        <v>9</v>
      </c>
      <c r="BD1168">
        <v>0</v>
      </c>
      <c r="BE1168">
        <v>26</v>
      </c>
      <c r="BF1168">
        <v>32</v>
      </c>
      <c r="BG1168">
        <v>31</v>
      </c>
      <c r="BH1168">
        <v>31</v>
      </c>
      <c r="BI1168">
        <v>30</v>
      </c>
      <c r="BJ1168">
        <v>40</v>
      </c>
    </row>
    <row r="1169" spans="3:62" x14ac:dyDescent="0.2">
      <c r="C1169" s="121">
        <v>26</v>
      </c>
      <c r="D1169" s="121">
        <v>33</v>
      </c>
      <c r="E1169" s="121">
        <v>29</v>
      </c>
      <c r="F1169" s="121">
        <v>27</v>
      </c>
      <c r="G1169" s="121">
        <v>20</v>
      </c>
      <c r="H1169" s="121">
        <v>36</v>
      </c>
      <c r="R1169">
        <v>18</v>
      </c>
      <c r="S1169">
        <v>29</v>
      </c>
      <c r="T1169">
        <v>28</v>
      </c>
      <c r="U1169">
        <v>31</v>
      </c>
      <c r="V1169">
        <v>0</v>
      </c>
      <c r="W1169">
        <v>0</v>
      </c>
      <c r="X1169">
        <v>15</v>
      </c>
      <c r="Y1169">
        <v>11</v>
      </c>
      <c r="Z1169">
        <v>8</v>
      </c>
      <c r="AA1169">
        <v>11</v>
      </c>
      <c r="AB1169">
        <v>12</v>
      </c>
      <c r="AC1169">
        <v>5</v>
      </c>
      <c r="AD1169">
        <v>12</v>
      </c>
      <c r="AE1169">
        <v>12</v>
      </c>
      <c r="AF1169">
        <v>0</v>
      </c>
      <c r="AG1169">
        <v>0</v>
      </c>
      <c r="AH1169">
        <v>7</v>
      </c>
      <c r="AI1169">
        <v>4</v>
      </c>
      <c r="AJ1169">
        <v>5</v>
      </c>
      <c r="AK1169">
        <v>6</v>
      </c>
      <c r="AL1169">
        <v>2</v>
      </c>
      <c r="AM1169">
        <v>3</v>
      </c>
      <c r="AN1169">
        <v>7</v>
      </c>
      <c r="AO1169">
        <v>4</v>
      </c>
      <c r="AP1169">
        <v>0</v>
      </c>
      <c r="AQ1169">
        <v>0</v>
      </c>
      <c r="AR1169">
        <v>23</v>
      </c>
      <c r="AS1169">
        <v>16</v>
      </c>
      <c r="AT1169">
        <v>19</v>
      </c>
      <c r="AU1169">
        <v>27</v>
      </c>
      <c r="AV1169">
        <v>13</v>
      </c>
      <c r="AW1169">
        <v>13</v>
      </c>
      <c r="AX1169">
        <v>17</v>
      </c>
      <c r="AY1169">
        <v>31</v>
      </c>
      <c r="AZ1169">
        <v>0</v>
      </c>
      <c r="BA1169">
        <v>0</v>
      </c>
      <c r="BB1169">
        <v>21</v>
      </c>
      <c r="BC1169">
        <v>9</v>
      </c>
      <c r="BD1169">
        <v>0</v>
      </c>
      <c r="BE1169">
        <v>26</v>
      </c>
      <c r="BF1169">
        <v>33</v>
      </c>
      <c r="BG1169">
        <v>29</v>
      </c>
      <c r="BH1169">
        <v>27</v>
      </c>
      <c r="BI1169">
        <v>20</v>
      </c>
      <c r="BJ1169">
        <v>36</v>
      </c>
    </row>
    <row r="1170" spans="3:62" x14ac:dyDescent="0.2">
      <c r="C1170" s="121">
        <v>26</v>
      </c>
      <c r="D1170" s="121">
        <v>24</v>
      </c>
      <c r="E1170" s="121">
        <v>13</v>
      </c>
      <c r="F1170" s="121">
        <v>23</v>
      </c>
      <c r="G1170" s="121">
        <v>24</v>
      </c>
      <c r="H1170" s="121">
        <v>26</v>
      </c>
      <c r="R1170">
        <v>20</v>
      </c>
      <c r="S1170">
        <v>22</v>
      </c>
      <c r="T1170">
        <v>24</v>
      </c>
      <c r="U1170">
        <v>29</v>
      </c>
      <c r="V1170">
        <v>0</v>
      </c>
      <c r="W1170">
        <v>0</v>
      </c>
      <c r="X1170">
        <v>8</v>
      </c>
      <c r="Y1170">
        <v>9</v>
      </c>
      <c r="Z1170">
        <v>12</v>
      </c>
      <c r="AA1170">
        <v>12</v>
      </c>
      <c r="AB1170">
        <v>11</v>
      </c>
      <c r="AC1170">
        <v>5</v>
      </c>
      <c r="AD1170">
        <v>14</v>
      </c>
      <c r="AE1170">
        <v>17</v>
      </c>
      <c r="AF1170">
        <v>0</v>
      </c>
      <c r="AG1170">
        <v>0</v>
      </c>
      <c r="AH1170">
        <v>9</v>
      </c>
      <c r="AI1170">
        <v>5</v>
      </c>
      <c r="AJ1170">
        <v>12</v>
      </c>
      <c r="AK1170">
        <v>4</v>
      </c>
      <c r="AL1170">
        <v>5</v>
      </c>
      <c r="AM1170">
        <v>5</v>
      </c>
      <c r="AN1170">
        <v>9</v>
      </c>
      <c r="AO1170">
        <v>8</v>
      </c>
      <c r="AP1170">
        <v>0</v>
      </c>
      <c r="AQ1170">
        <v>0</v>
      </c>
      <c r="AR1170">
        <v>24</v>
      </c>
      <c r="AS1170">
        <v>21</v>
      </c>
      <c r="AT1170">
        <v>14</v>
      </c>
      <c r="AU1170">
        <v>15</v>
      </c>
      <c r="AV1170">
        <v>27</v>
      </c>
      <c r="AW1170">
        <v>23</v>
      </c>
      <c r="AX1170">
        <v>11</v>
      </c>
      <c r="AY1170">
        <v>20</v>
      </c>
      <c r="AZ1170">
        <v>0</v>
      </c>
      <c r="BA1170">
        <v>0</v>
      </c>
      <c r="BB1170">
        <v>24</v>
      </c>
      <c r="BC1170">
        <v>7</v>
      </c>
      <c r="BD1170">
        <v>0</v>
      </c>
      <c r="BE1170">
        <v>26</v>
      </c>
      <c r="BF1170">
        <v>24</v>
      </c>
      <c r="BG1170">
        <v>13</v>
      </c>
      <c r="BH1170">
        <v>23</v>
      </c>
      <c r="BI1170">
        <v>24</v>
      </c>
      <c r="BJ1170">
        <v>26</v>
      </c>
    </row>
    <row r="1171" spans="3:62" x14ac:dyDescent="0.2">
      <c r="C1171" s="121">
        <v>20</v>
      </c>
      <c r="D1171" s="121">
        <v>30</v>
      </c>
      <c r="E1171" s="121">
        <v>26</v>
      </c>
      <c r="F1171" s="121">
        <v>35</v>
      </c>
      <c r="G1171" s="121">
        <v>21</v>
      </c>
      <c r="H1171" s="121">
        <v>26</v>
      </c>
      <c r="R1171">
        <v>26</v>
      </c>
      <c r="S1171">
        <v>20</v>
      </c>
      <c r="T1171">
        <v>24</v>
      </c>
      <c r="U1171">
        <v>22</v>
      </c>
      <c r="V1171">
        <v>0</v>
      </c>
      <c r="W1171">
        <v>0</v>
      </c>
      <c r="X1171">
        <v>24</v>
      </c>
      <c r="Y1171">
        <v>14</v>
      </c>
      <c r="Z1171">
        <v>17</v>
      </c>
      <c r="AA1171">
        <v>5</v>
      </c>
      <c r="AB1171">
        <v>12</v>
      </c>
      <c r="AC1171">
        <v>11</v>
      </c>
      <c r="AD1171">
        <v>12</v>
      </c>
      <c r="AE1171">
        <v>20</v>
      </c>
      <c r="AF1171">
        <v>0</v>
      </c>
      <c r="AG1171">
        <v>0</v>
      </c>
      <c r="AH1171">
        <v>5</v>
      </c>
      <c r="AI1171">
        <v>3</v>
      </c>
      <c r="AJ1171">
        <v>7</v>
      </c>
      <c r="AK1171">
        <v>4</v>
      </c>
      <c r="AL1171">
        <v>4</v>
      </c>
      <c r="AM1171">
        <v>8</v>
      </c>
      <c r="AN1171">
        <v>7</v>
      </c>
      <c r="AO1171">
        <v>1</v>
      </c>
      <c r="AP1171">
        <v>0</v>
      </c>
      <c r="AQ1171">
        <v>0</v>
      </c>
      <c r="AR1171">
        <v>13</v>
      </c>
      <c r="AS1171">
        <v>29</v>
      </c>
      <c r="AT1171">
        <v>34</v>
      </c>
      <c r="AU1171">
        <v>19</v>
      </c>
      <c r="AV1171">
        <v>30</v>
      </c>
      <c r="AW1171">
        <v>24</v>
      </c>
      <c r="AX1171">
        <v>13</v>
      </c>
      <c r="AY1171">
        <v>20</v>
      </c>
      <c r="AZ1171">
        <v>0</v>
      </c>
      <c r="BA1171">
        <v>0</v>
      </c>
      <c r="BB1171">
        <v>23</v>
      </c>
      <c r="BC1171">
        <v>6</v>
      </c>
      <c r="BD1171">
        <v>0</v>
      </c>
      <c r="BE1171">
        <v>20</v>
      </c>
      <c r="BF1171">
        <v>30</v>
      </c>
      <c r="BG1171">
        <v>26</v>
      </c>
      <c r="BH1171">
        <v>35</v>
      </c>
      <c r="BI1171">
        <v>21</v>
      </c>
      <c r="BJ1171">
        <v>26</v>
      </c>
    </row>
    <row r="1172" spans="3:62" x14ac:dyDescent="0.2">
      <c r="C1172" s="121">
        <v>18</v>
      </c>
      <c r="D1172" s="121">
        <v>33</v>
      </c>
      <c r="E1172" s="121">
        <v>25</v>
      </c>
      <c r="F1172" s="121">
        <v>27</v>
      </c>
      <c r="G1172" s="121">
        <v>20</v>
      </c>
      <c r="H1172" s="121">
        <v>28</v>
      </c>
      <c r="R1172">
        <v>24</v>
      </c>
      <c r="S1172">
        <v>19</v>
      </c>
      <c r="T1172">
        <v>27</v>
      </c>
      <c r="U1172">
        <v>27</v>
      </c>
      <c r="V1172">
        <v>0</v>
      </c>
      <c r="W1172">
        <v>0</v>
      </c>
      <c r="X1172">
        <v>13</v>
      </c>
      <c r="Y1172">
        <v>13</v>
      </c>
      <c r="Z1172">
        <v>13</v>
      </c>
      <c r="AA1172">
        <v>11</v>
      </c>
      <c r="AB1172">
        <v>19</v>
      </c>
      <c r="AC1172">
        <v>12</v>
      </c>
      <c r="AD1172">
        <v>11</v>
      </c>
      <c r="AE1172">
        <v>12</v>
      </c>
      <c r="AF1172">
        <v>0</v>
      </c>
      <c r="AG1172">
        <v>0</v>
      </c>
      <c r="AH1172">
        <v>7</v>
      </c>
      <c r="AI1172">
        <v>7</v>
      </c>
      <c r="AJ1172">
        <v>5</v>
      </c>
      <c r="AK1172">
        <v>5</v>
      </c>
      <c r="AL1172">
        <v>3</v>
      </c>
      <c r="AM1172">
        <v>4</v>
      </c>
      <c r="AN1172">
        <v>10</v>
      </c>
      <c r="AO1172">
        <v>4</v>
      </c>
      <c r="AP1172">
        <v>0</v>
      </c>
      <c r="AQ1172">
        <v>0</v>
      </c>
      <c r="AR1172">
        <v>14</v>
      </c>
      <c r="AS1172">
        <v>23</v>
      </c>
      <c r="AT1172">
        <v>22</v>
      </c>
      <c r="AU1172">
        <v>25</v>
      </c>
      <c r="AV1172">
        <v>19</v>
      </c>
      <c r="AW1172">
        <v>30</v>
      </c>
      <c r="AX1172">
        <v>12</v>
      </c>
      <c r="AY1172">
        <v>12</v>
      </c>
      <c r="AZ1172">
        <v>0</v>
      </c>
      <c r="BA1172">
        <v>0</v>
      </c>
      <c r="BB1172">
        <v>14</v>
      </c>
      <c r="BC1172">
        <v>10</v>
      </c>
      <c r="BD1172">
        <v>0</v>
      </c>
      <c r="BE1172">
        <v>18</v>
      </c>
      <c r="BF1172">
        <v>33</v>
      </c>
      <c r="BG1172">
        <v>25</v>
      </c>
      <c r="BH1172">
        <v>27</v>
      </c>
      <c r="BI1172">
        <v>20</v>
      </c>
      <c r="BJ1172">
        <v>28</v>
      </c>
    </row>
    <row r="1173" spans="3:62" x14ac:dyDescent="0.2">
      <c r="C1173" s="121">
        <v>32</v>
      </c>
      <c r="D1173" s="121">
        <v>26</v>
      </c>
      <c r="E1173" s="121">
        <v>24</v>
      </c>
      <c r="F1173" s="121">
        <v>31</v>
      </c>
      <c r="G1173" s="121">
        <v>18</v>
      </c>
      <c r="H1173" s="121">
        <v>26</v>
      </c>
      <c r="R1173">
        <v>29</v>
      </c>
      <c r="S1173">
        <v>32</v>
      </c>
      <c r="T1173">
        <v>18</v>
      </c>
      <c r="U1173">
        <v>33</v>
      </c>
      <c r="V1173">
        <v>0</v>
      </c>
      <c r="W1173">
        <v>0</v>
      </c>
      <c r="X1173">
        <v>17</v>
      </c>
      <c r="Y1173">
        <v>6</v>
      </c>
      <c r="Z1173">
        <v>10</v>
      </c>
      <c r="AA1173">
        <v>13</v>
      </c>
      <c r="AB1173">
        <v>19</v>
      </c>
      <c r="AC1173">
        <v>8</v>
      </c>
      <c r="AD1173">
        <v>18</v>
      </c>
      <c r="AE1173">
        <v>20</v>
      </c>
      <c r="AF1173">
        <v>0</v>
      </c>
      <c r="AG1173">
        <v>0</v>
      </c>
      <c r="AH1173">
        <v>7</v>
      </c>
      <c r="AI1173">
        <v>2</v>
      </c>
      <c r="AJ1173">
        <v>2</v>
      </c>
      <c r="AK1173">
        <v>3</v>
      </c>
      <c r="AL1173">
        <v>4</v>
      </c>
      <c r="AM1173">
        <v>4</v>
      </c>
      <c r="AN1173">
        <v>6</v>
      </c>
      <c r="AO1173">
        <v>2</v>
      </c>
      <c r="AP1173">
        <v>0</v>
      </c>
      <c r="AQ1173">
        <v>0</v>
      </c>
      <c r="AR1173">
        <v>22</v>
      </c>
      <c r="AS1173">
        <v>26</v>
      </c>
      <c r="AT1173">
        <v>23</v>
      </c>
      <c r="AU1173">
        <v>21</v>
      </c>
      <c r="AV1173">
        <v>21</v>
      </c>
      <c r="AW1173">
        <v>36</v>
      </c>
      <c r="AX1173">
        <v>15</v>
      </c>
      <c r="AY1173">
        <v>22</v>
      </c>
      <c r="AZ1173">
        <v>0</v>
      </c>
      <c r="BA1173">
        <v>0</v>
      </c>
      <c r="BB1173">
        <v>17</v>
      </c>
      <c r="BC1173">
        <v>3</v>
      </c>
      <c r="BD1173">
        <v>0</v>
      </c>
      <c r="BE1173">
        <v>32</v>
      </c>
      <c r="BF1173">
        <v>26</v>
      </c>
      <c r="BG1173">
        <v>24</v>
      </c>
      <c r="BH1173">
        <v>31</v>
      </c>
      <c r="BI1173">
        <v>18</v>
      </c>
      <c r="BJ1173">
        <v>26</v>
      </c>
    </row>
    <row r="1174" spans="3:62" x14ac:dyDescent="0.2">
      <c r="C1174" s="121">
        <v>20</v>
      </c>
      <c r="D1174" s="121">
        <v>40</v>
      </c>
      <c r="E1174" s="121">
        <v>24</v>
      </c>
      <c r="F1174" s="121">
        <v>30</v>
      </c>
      <c r="G1174" s="121">
        <v>16</v>
      </c>
      <c r="H1174" s="121">
        <v>24</v>
      </c>
      <c r="R1174">
        <v>25</v>
      </c>
      <c r="S1174">
        <v>24</v>
      </c>
      <c r="T1174">
        <v>24</v>
      </c>
      <c r="U1174">
        <v>36</v>
      </c>
      <c r="V1174">
        <v>0</v>
      </c>
      <c r="W1174">
        <v>0</v>
      </c>
      <c r="X1174">
        <v>16</v>
      </c>
      <c r="Y1174">
        <v>16</v>
      </c>
      <c r="Z1174">
        <v>10</v>
      </c>
      <c r="AA1174">
        <v>16</v>
      </c>
      <c r="AB1174">
        <v>6</v>
      </c>
      <c r="AC1174">
        <v>10</v>
      </c>
      <c r="AD1174">
        <v>18</v>
      </c>
      <c r="AE1174">
        <v>22</v>
      </c>
      <c r="AF1174">
        <v>0</v>
      </c>
      <c r="AG1174">
        <v>0</v>
      </c>
      <c r="AH1174">
        <v>8</v>
      </c>
      <c r="AI1174">
        <v>2</v>
      </c>
      <c r="AJ1174">
        <v>5</v>
      </c>
      <c r="AK1174">
        <v>1</v>
      </c>
      <c r="AL1174">
        <v>3</v>
      </c>
      <c r="AM1174">
        <v>4</v>
      </c>
      <c r="AN1174">
        <v>6</v>
      </c>
      <c r="AO1174">
        <v>8</v>
      </c>
      <c r="AP1174">
        <v>0</v>
      </c>
      <c r="AQ1174">
        <v>0</v>
      </c>
      <c r="AR1174">
        <v>16</v>
      </c>
      <c r="AS1174">
        <v>29</v>
      </c>
      <c r="AT1174">
        <v>20</v>
      </c>
      <c r="AU1174">
        <v>18</v>
      </c>
      <c r="AV1174">
        <v>21</v>
      </c>
      <c r="AW1174">
        <v>23</v>
      </c>
      <c r="AX1174">
        <v>9</v>
      </c>
      <c r="AY1174">
        <v>19</v>
      </c>
      <c r="AZ1174">
        <v>0</v>
      </c>
      <c r="BA1174">
        <v>0</v>
      </c>
      <c r="BB1174">
        <v>22</v>
      </c>
      <c r="BC1174">
        <v>10</v>
      </c>
      <c r="BD1174">
        <v>0</v>
      </c>
      <c r="BE1174">
        <v>20</v>
      </c>
      <c r="BF1174">
        <v>40</v>
      </c>
      <c r="BG1174">
        <v>24</v>
      </c>
      <c r="BH1174">
        <v>30</v>
      </c>
      <c r="BI1174">
        <v>16</v>
      </c>
      <c r="BJ1174">
        <v>24</v>
      </c>
    </row>
    <row r="1175" spans="3:62" x14ac:dyDescent="0.2">
      <c r="C1175" s="121">
        <v>20</v>
      </c>
      <c r="D1175" s="121">
        <v>21</v>
      </c>
      <c r="E1175" s="121">
        <v>23</v>
      </c>
      <c r="F1175" s="121">
        <v>27</v>
      </c>
      <c r="G1175" s="121">
        <v>23</v>
      </c>
      <c r="H1175" s="121">
        <v>30</v>
      </c>
      <c r="R1175">
        <v>26</v>
      </c>
      <c r="S1175">
        <v>30</v>
      </c>
      <c r="T1175">
        <v>22</v>
      </c>
      <c r="U1175">
        <v>30</v>
      </c>
      <c r="V1175">
        <v>0</v>
      </c>
      <c r="W1175">
        <v>0</v>
      </c>
      <c r="X1175">
        <v>15</v>
      </c>
      <c r="Y1175">
        <v>13</v>
      </c>
      <c r="Z1175">
        <v>16</v>
      </c>
      <c r="AA1175">
        <v>9</v>
      </c>
      <c r="AB1175">
        <v>10</v>
      </c>
      <c r="AC1175">
        <v>10</v>
      </c>
      <c r="AD1175">
        <v>15</v>
      </c>
      <c r="AE1175">
        <v>9</v>
      </c>
      <c r="AF1175">
        <v>0</v>
      </c>
      <c r="AG1175">
        <v>0</v>
      </c>
      <c r="AH1175">
        <v>4</v>
      </c>
      <c r="AI1175">
        <v>6</v>
      </c>
      <c r="AJ1175">
        <v>9</v>
      </c>
      <c r="AK1175">
        <v>7</v>
      </c>
      <c r="AL1175">
        <v>3</v>
      </c>
      <c r="AM1175">
        <v>8</v>
      </c>
      <c r="AN1175">
        <v>5</v>
      </c>
      <c r="AO1175">
        <v>3</v>
      </c>
      <c r="AP1175">
        <v>0</v>
      </c>
      <c r="AQ1175">
        <v>0</v>
      </c>
      <c r="AR1175">
        <v>16</v>
      </c>
      <c r="AS1175">
        <v>25</v>
      </c>
      <c r="AT1175">
        <v>21</v>
      </c>
      <c r="AU1175">
        <v>19</v>
      </c>
      <c r="AV1175">
        <v>12</v>
      </c>
      <c r="AW1175">
        <v>24</v>
      </c>
      <c r="AX1175">
        <v>5</v>
      </c>
      <c r="AY1175">
        <v>11</v>
      </c>
      <c r="AZ1175">
        <v>0</v>
      </c>
      <c r="BA1175">
        <v>0</v>
      </c>
      <c r="BB1175">
        <v>12</v>
      </c>
      <c r="BC1175">
        <v>7</v>
      </c>
      <c r="BD1175">
        <v>0</v>
      </c>
      <c r="BE1175">
        <v>20</v>
      </c>
      <c r="BF1175">
        <v>21</v>
      </c>
      <c r="BG1175">
        <v>23</v>
      </c>
      <c r="BH1175">
        <v>27</v>
      </c>
      <c r="BI1175">
        <v>23</v>
      </c>
      <c r="BJ1175">
        <v>30</v>
      </c>
    </row>
    <row r="1176" spans="3:62" x14ac:dyDescent="0.2">
      <c r="C1176" s="121">
        <v>26</v>
      </c>
      <c r="D1176" s="121">
        <v>35</v>
      </c>
      <c r="E1176" s="121">
        <v>15</v>
      </c>
      <c r="F1176" s="121">
        <v>38</v>
      </c>
      <c r="G1176" s="121">
        <v>15</v>
      </c>
      <c r="H1176" s="121">
        <v>28</v>
      </c>
      <c r="R1176">
        <v>26</v>
      </c>
      <c r="S1176">
        <v>21</v>
      </c>
      <c r="T1176">
        <v>22</v>
      </c>
      <c r="U1176">
        <v>17</v>
      </c>
      <c r="V1176">
        <v>0</v>
      </c>
      <c r="W1176">
        <v>0</v>
      </c>
      <c r="X1176">
        <v>19</v>
      </c>
      <c r="Y1176">
        <v>12</v>
      </c>
      <c r="Z1176">
        <v>14</v>
      </c>
      <c r="AA1176">
        <v>18</v>
      </c>
      <c r="AB1176">
        <v>19</v>
      </c>
      <c r="AC1176">
        <v>12</v>
      </c>
      <c r="AD1176">
        <v>28</v>
      </c>
      <c r="AE1176">
        <v>9</v>
      </c>
      <c r="AF1176">
        <v>0</v>
      </c>
      <c r="AG1176">
        <v>0</v>
      </c>
      <c r="AH1176">
        <v>5</v>
      </c>
      <c r="AI1176">
        <v>3</v>
      </c>
      <c r="AJ1176">
        <v>5</v>
      </c>
      <c r="AK1176">
        <v>5</v>
      </c>
      <c r="AL1176">
        <v>9</v>
      </c>
      <c r="AM1176">
        <v>4</v>
      </c>
      <c r="AN1176">
        <v>2</v>
      </c>
      <c r="AO1176">
        <v>3</v>
      </c>
      <c r="AP1176">
        <v>0</v>
      </c>
      <c r="AQ1176">
        <v>0</v>
      </c>
      <c r="AR1176">
        <v>9</v>
      </c>
      <c r="AS1176">
        <v>26</v>
      </c>
      <c r="AT1176">
        <v>22</v>
      </c>
      <c r="AU1176">
        <v>13</v>
      </c>
      <c r="AV1176">
        <v>17</v>
      </c>
      <c r="AW1176">
        <v>20</v>
      </c>
      <c r="AX1176">
        <v>6</v>
      </c>
      <c r="AY1176">
        <v>16</v>
      </c>
      <c r="AZ1176">
        <v>0</v>
      </c>
      <c r="BA1176">
        <v>0</v>
      </c>
      <c r="BB1176">
        <v>15</v>
      </c>
      <c r="BC1176">
        <v>4</v>
      </c>
      <c r="BD1176">
        <v>0</v>
      </c>
      <c r="BE1176">
        <v>26</v>
      </c>
      <c r="BF1176">
        <v>35</v>
      </c>
      <c r="BG1176">
        <v>15</v>
      </c>
      <c r="BH1176">
        <v>38</v>
      </c>
      <c r="BI1176">
        <v>15</v>
      </c>
      <c r="BJ1176">
        <v>28</v>
      </c>
    </row>
    <row r="1177" spans="3:62" x14ac:dyDescent="0.2">
      <c r="C1177" s="121">
        <v>16</v>
      </c>
      <c r="D1177" s="121">
        <v>38</v>
      </c>
      <c r="E1177" s="121">
        <v>36</v>
      </c>
      <c r="F1177" s="121">
        <v>35</v>
      </c>
      <c r="G1177" s="121">
        <v>8</v>
      </c>
      <c r="H1177" s="121">
        <v>16</v>
      </c>
      <c r="R1177">
        <v>23</v>
      </c>
      <c r="S1177">
        <v>17</v>
      </c>
      <c r="T1177">
        <v>17</v>
      </c>
      <c r="U1177">
        <v>21</v>
      </c>
      <c r="V1177">
        <v>0</v>
      </c>
      <c r="W1177">
        <v>0</v>
      </c>
      <c r="X1177">
        <v>14</v>
      </c>
      <c r="Y1177">
        <v>11</v>
      </c>
      <c r="Z1177">
        <v>17</v>
      </c>
      <c r="AA1177">
        <v>25</v>
      </c>
      <c r="AB1177">
        <v>17</v>
      </c>
      <c r="AC1177">
        <v>13</v>
      </c>
      <c r="AD1177">
        <v>15</v>
      </c>
      <c r="AE1177">
        <v>12</v>
      </c>
      <c r="AF1177">
        <v>0</v>
      </c>
      <c r="AG1177">
        <v>0</v>
      </c>
      <c r="AH1177">
        <v>5</v>
      </c>
      <c r="AI1177">
        <v>2</v>
      </c>
      <c r="AJ1177">
        <v>3</v>
      </c>
      <c r="AK1177">
        <v>2</v>
      </c>
      <c r="AL1177">
        <v>6</v>
      </c>
      <c r="AM1177">
        <v>2</v>
      </c>
      <c r="AN1177">
        <v>4</v>
      </c>
      <c r="AO1177">
        <v>5</v>
      </c>
      <c r="AP1177">
        <v>0</v>
      </c>
      <c r="AQ1177">
        <v>0</v>
      </c>
      <c r="AR1177">
        <v>16</v>
      </c>
      <c r="AS1177">
        <v>12</v>
      </c>
      <c r="AT1177">
        <v>21</v>
      </c>
      <c r="AU1177">
        <v>14</v>
      </c>
      <c r="AV1177">
        <v>20</v>
      </c>
      <c r="AW1177">
        <v>21</v>
      </c>
      <c r="AX1177">
        <v>8</v>
      </c>
      <c r="AY1177">
        <v>19</v>
      </c>
      <c r="AZ1177">
        <v>0</v>
      </c>
      <c r="BA1177">
        <v>0</v>
      </c>
      <c r="BB1177">
        <v>11</v>
      </c>
      <c r="BC1177">
        <v>3</v>
      </c>
      <c r="BD1177">
        <v>0</v>
      </c>
      <c r="BE1177">
        <v>16</v>
      </c>
      <c r="BF1177">
        <v>38</v>
      </c>
      <c r="BG1177">
        <v>36</v>
      </c>
      <c r="BH1177">
        <v>35</v>
      </c>
      <c r="BI1177">
        <v>8</v>
      </c>
      <c r="BJ1177">
        <v>16</v>
      </c>
    </row>
    <row r="1178" spans="3:62" x14ac:dyDescent="0.2">
      <c r="C1178" s="121">
        <v>25</v>
      </c>
      <c r="D1178" s="121">
        <v>27</v>
      </c>
      <c r="E1178" s="121">
        <v>21</v>
      </c>
      <c r="F1178" s="121">
        <v>26</v>
      </c>
      <c r="G1178" s="121">
        <v>17</v>
      </c>
      <c r="H1178" s="121">
        <v>22</v>
      </c>
      <c r="R1178">
        <v>25</v>
      </c>
      <c r="S1178">
        <v>20</v>
      </c>
      <c r="T1178">
        <v>14</v>
      </c>
      <c r="U1178">
        <v>21</v>
      </c>
      <c r="V1178">
        <v>0</v>
      </c>
      <c r="W1178">
        <v>0</v>
      </c>
      <c r="X1178">
        <v>19</v>
      </c>
      <c r="Y1178">
        <v>17</v>
      </c>
      <c r="Z1178">
        <v>19</v>
      </c>
      <c r="AA1178">
        <v>13</v>
      </c>
      <c r="AB1178">
        <v>27</v>
      </c>
      <c r="AC1178">
        <v>13</v>
      </c>
      <c r="AD1178">
        <v>20</v>
      </c>
      <c r="AE1178">
        <v>18</v>
      </c>
      <c r="AF1178">
        <v>0</v>
      </c>
      <c r="AG1178">
        <v>0</v>
      </c>
      <c r="AH1178">
        <v>4</v>
      </c>
      <c r="AI1178">
        <v>0</v>
      </c>
      <c r="AJ1178">
        <v>7</v>
      </c>
      <c r="AK1178">
        <v>2</v>
      </c>
      <c r="AL1178">
        <v>3</v>
      </c>
      <c r="AM1178">
        <v>4</v>
      </c>
      <c r="AN1178">
        <v>9</v>
      </c>
      <c r="AO1178">
        <v>4</v>
      </c>
      <c r="AP1178">
        <v>0</v>
      </c>
      <c r="AQ1178">
        <v>0</v>
      </c>
      <c r="AR1178">
        <v>11</v>
      </c>
      <c r="AS1178">
        <v>18</v>
      </c>
      <c r="AT1178">
        <v>19</v>
      </c>
      <c r="AU1178">
        <v>9</v>
      </c>
      <c r="AV1178">
        <v>19</v>
      </c>
      <c r="AW1178">
        <v>17</v>
      </c>
      <c r="AX1178">
        <v>8</v>
      </c>
      <c r="AY1178">
        <v>10</v>
      </c>
      <c r="AZ1178">
        <v>0</v>
      </c>
      <c r="BA1178">
        <v>0</v>
      </c>
      <c r="BB1178">
        <v>17</v>
      </c>
      <c r="BC1178">
        <v>3</v>
      </c>
      <c r="BD1178">
        <v>0</v>
      </c>
      <c r="BE1178">
        <v>25</v>
      </c>
      <c r="BF1178">
        <v>27</v>
      </c>
      <c r="BG1178">
        <v>21</v>
      </c>
      <c r="BH1178">
        <v>26</v>
      </c>
      <c r="BI1178">
        <v>17</v>
      </c>
      <c r="BJ1178">
        <v>22</v>
      </c>
    </row>
    <row r="1179" spans="3:62" x14ac:dyDescent="0.2">
      <c r="C1179" s="121">
        <v>20</v>
      </c>
      <c r="D1179" s="121">
        <v>34</v>
      </c>
      <c r="E1179" s="121">
        <v>18</v>
      </c>
      <c r="F1179" s="121">
        <v>27</v>
      </c>
      <c r="G1179" s="121">
        <v>14</v>
      </c>
      <c r="H1179" s="121">
        <v>34</v>
      </c>
      <c r="R1179">
        <v>13</v>
      </c>
      <c r="S1179">
        <v>25</v>
      </c>
      <c r="T1179">
        <v>20</v>
      </c>
      <c r="U1179">
        <v>17</v>
      </c>
      <c r="V1179">
        <v>0</v>
      </c>
      <c r="W1179">
        <v>0</v>
      </c>
      <c r="X1179">
        <v>14</v>
      </c>
      <c r="Y1179">
        <v>10</v>
      </c>
      <c r="Z1179">
        <v>19</v>
      </c>
      <c r="AA1179">
        <v>21</v>
      </c>
      <c r="AB1179">
        <v>13</v>
      </c>
      <c r="AC1179">
        <v>17</v>
      </c>
      <c r="AD1179">
        <v>21</v>
      </c>
      <c r="AE1179">
        <v>15</v>
      </c>
      <c r="AF1179">
        <v>0</v>
      </c>
      <c r="AG1179">
        <v>0</v>
      </c>
      <c r="AH1179">
        <v>5</v>
      </c>
      <c r="AI1179">
        <v>1</v>
      </c>
      <c r="AJ1179">
        <v>2</v>
      </c>
      <c r="AK1179">
        <v>2</v>
      </c>
      <c r="AL1179">
        <v>1</v>
      </c>
      <c r="AM1179">
        <v>6</v>
      </c>
      <c r="AN1179">
        <v>8</v>
      </c>
      <c r="AO1179">
        <v>1</v>
      </c>
      <c r="AP1179">
        <v>0</v>
      </c>
      <c r="AQ1179">
        <v>0</v>
      </c>
      <c r="AR1179">
        <v>16</v>
      </c>
      <c r="AS1179">
        <v>21</v>
      </c>
      <c r="AT1179">
        <v>21</v>
      </c>
      <c r="AU1179">
        <v>11</v>
      </c>
      <c r="AV1179">
        <v>19</v>
      </c>
      <c r="AW1179">
        <v>25</v>
      </c>
      <c r="AX1179">
        <v>4</v>
      </c>
      <c r="AY1179">
        <v>11</v>
      </c>
      <c r="AZ1179">
        <v>0</v>
      </c>
      <c r="BA1179">
        <v>0</v>
      </c>
      <c r="BB1179">
        <v>13</v>
      </c>
      <c r="BC1179">
        <v>2</v>
      </c>
      <c r="BD1179">
        <v>0</v>
      </c>
      <c r="BE1179">
        <v>20</v>
      </c>
      <c r="BF1179">
        <v>34</v>
      </c>
      <c r="BG1179">
        <v>18</v>
      </c>
      <c r="BH1179">
        <v>27</v>
      </c>
      <c r="BI1179">
        <v>14</v>
      </c>
      <c r="BJ1179">
        <v>34</v>
      </c>
    </row>
    <row r="1180" spans="3:62" x14ac:dyDescent="0.2">
      <c r="C1180" s="121">
        <v>13</v>
      </c>
      <c r="D1180" s="121">
        <v>30</v>
      </c>
      <c r="E1180" s="121">
        <v>19</v>
      </c>
      <c r="F1180" s="121">
        <v>36</v>
      </c>
      <c r="G1180" s="121">
        <v>9</v>
      </c>
      <c r="H1180" s="121">
        <v>27</v>
      </c>
      <c r="R1180">
        <v>23</v>
      </c>
      <c r="S1180">
        <v>25</v>
      </c>
      <c r="T1180">
        <v>16</v>
      </c>
      <c r="U1180">
        <v>21</v>
      </c>
      <c r="V1180">
        <v>0</v>
      </c>
      <c r="W1180">
        <v>0</v>
      </c>
      <c r="X1180">
        <v>14</v>
      </c>
      <c r="Y1180">
        <v>11</v>
      </c>
      <c r="Z1180">
        <v>21</v>
      </c>
      <c r="AA1180">
        <v>21</v>
      </c>
      <c r="AB1180">
        <v>30</v>
      </c>
      <c r="AC1180">
        <v>16</v>
      </c>
      <c r="AD1180">
        <v>15</v>
      </c>
      <c r="AE1180">
        <v>15</v>
      </c>
      <c r="AF1180">
        <v>0</v>
      </c>
      <c r="AG1180">
        <v>0</v>
      </c>
      <c r="AH1180">
        <v>4</v>
      </c>
      <c r="AI1180">
        <v>2</v>
      </c>
      <c r="AJ1180">
        <v>5</v>
      </c>
      <c r="AK1180">
        <v>2</v>
      </c>
      <c r="AL1180">
        <v>5</v>
      </c>
      <c r="AM1180">
        <v>2</v>
      </c>
      <c r="AN1180">
        <v>6</v>
      </c>
      <c r="AO1180">
        <v>4</v>
      </c>
      <c r="AP1180">
        <v>0</v>
      </c>
      <c r="AQ1180">
        <v>0</v>
      </c>
      <c r="AR1180">
        <v>14</v>
      </c>
      <c r="AS1180">
        <v>15</v>
      </c>
      <c r="AT1180">
        <v>12</v>
      </c>
      <c r="AU1180">
        <v>11</v>
      </c>
      <c r="AV1180">
        <v>20</v>
      </c>
      <c r="AW1180">
        <v>14</v>
      </c>
      <c r="AX1180">
        <v>8</v>
      </c>
      <c r="AY1180">
        <v>13</v>
      </c>
      <c r="AZ1180">
        <v>0</v>
      </c>
      <c r="BA1180">
        <v>0</v>
      </c>
      <c r="BB1180">
        <v>8</v>
      </c>
      <c r="BC1180">
        <v>4</v>
      </c>
      <c r="BD1180">
        <v>0</v>
      </c>
      <c r="BE1180">
        <v>13</v>
      </c>
      <c r="BF1180">
        <v>30</v>
      </c>
      <c r="BG1180">
        <v>19</v>
      </c>
      <c r="BH1180">
        <v>36</v>
      </c>
      <c r="BI1180">
        <v>9</v>
      </c>
      <c r="BJ1180">
        <v>27</v>
      </c>
    </row>
    <row r="1181" spans="3:62" x14ac:dyDescent="0.2">
      <c r="C1181" s="121">
        <v>16</v>
      </c>
      <c r="D1181" s="121">
        <v>28</v>
      </c>
      <c r="E1181" s="121">
        <v>13</v>
      </c>
      <c r="F1181" s="121">
        <v>21</v>
      </c>
      <c r="G1181" s="121">
        <v>16</v>
      </c>
      <c r="H1181" s="121">
        <v>23</v>
      </c>
      <c r="R1181">
        <v>29</v>
      </c>
      <c r="S1181">
        <v>14</v>
      </c>
      <c r="T1181">
        <v>10</v>
      </c>
      <c r="U1181">
        <v>21</v>
      </c>
      <c r="V1181">
        <v>0</v>
      </c>
      <c r="W1181">
        <v>0</v>
      </c>
      <c r="X1181">
        <v>12</v>
      </c>
      <c r="Y1181">
        <v>14</v>
      </c>
      <c r="Z1181">
        <v>20</v>
      </c>
      <c r="AA1181">
        <v>15</v>
      </c>
      <c r="AB1181">
        <v>12</v>
      </c>
      <c r="AC1181">
        <v>15</v>
      </c>
      <c r="AD1181">
        <v>13</v>
      </c>
      <c r="AE1181">
        <v>24</v>
      </c>
      <c r="AF1181">
        <v>0</v>
      </c>
      <c r="AG1181">
        <v>0</v>
      </c>
      <c r="AH1181">
        <v>5</v>
      </c>
      <c r="AI1181">
        <v>6</v>
      </c>
      <c r="AJ1181">
        <v>3</v>
      </c>
      <c r="AK1181">
        <v>0</v>
      </c>
      <c r="AL1181">
        <v>0</v>
      </c>
      <c r="AM1181">
        <v>4</v>
      </c>
      <c r="AN1181">
        <v>2</v>
      </c>
      <c r="AO1181">
        <v>2</v>
      </c>
      <c r="AP1181">
        <v>0</v>
      </c>
      <c r="AQ1181">
        <v>0</v>
      </c>
      <c r="AR1181">
        <v>8</v>
      </c>
      <c r="AS1181">
        <v>16</v>
      </c>
      <c r="AT1181">
        <v>15</v>
      </c>
      <c r="AU1181">
        <v>9</v>
      </c>
      <c r="AV1181">
        <v>10</v>
      </c>
      <c r="AW1181">
        <v>14</v>
      </c>
      <c r="AX1181">
        <v>7</v>
      </c>
      <c r="AY1181">
        <v>10</v>
      </c>
      <c r="AZ1181">
        <v>0</v>
      </c>
      <c r="BA1181">
        <v>0</v>
      </c>
      <c r="BB1181">
        <v>7</v>
      </c>
      <c r="BC1181">
        <v>0</v>
      </c>
      <c r="BD1181">
        <v>0</v>
      </c>
      <c r="BE1181">
        <v>16</v>
      </c>
      <c r="BF1181">
        <v>28</v>
      </c>
      <c r="BG1181">
        <v>13</v>
      </c>
      <c r="BH1181">
        <v>21</v>
      </c>
      <c r="BI1181">
        <v>16</v>
      </c>
      <c r="BJ1181">
        <v>23</v>
      </c>
    </row>
    <row r="1182" spans="3:62" x14ac:dyDescent="0.2">
      <c r="C1182" s="121">
        <v>14</v>
      </c>
      <c r="D1182" s="121">
        <v>17</v>
      </c>
      <c r="E1182" s="121">
        <v>15</v>
      </c>
      <c r="F1182" s="121">
        <v>22</v>
      </c>
      <c r="G1182" s="121">
        <v>12</v>
      </c>
      <c r="H1182" s="121">
        <v>23</v>
      </c>
      <c r="R1182">
        <v>11</v>
      </c>
      <c r="S1182">
        <v>14</v>
      </c>
      <c r="T1182">
        <v>13</v>
      </c>
      <c r="U1182">
        <v>19</v>
      </c>
      <c r="V1182">
        <v>0</v>
      </c>
      <c r="W1182">
        <v>0</v>
      </c>
      <c r="X1182">
        <v>14</v>
      </c>
      <c r="Y1182">
        <v>21</v>
      </c>
      <c r="Z1182">
        <v>20</v>
      </c>
      <c r="AA1182">
        <v>22</v>
      </c>
      <c r="AB1182">
        <v>18</v>
      </c>
      <c r="AC1182">
        <v>20</v>
      </c>
      <c r="AD1182">
        <v>18</v>
      </c>
      <c r="AE1182">
        <v>12</v>
      </c>
      <c r="AF1182">
        <v>0</v>
      </c>
      <c r="AG1182">
        <v>0</v>
      </c>
      <c r="AH1182">
        <v>3</v>
      </c>
      <c r="AI1182">
        <v>2</v>
      </c>
      <c r="AJ1182">
        <v>4</v>
      </c>
      <c r="AK1182">
        <v>3</v>
      </c>
      <c r="AL1182">
        <v>4</v>
      </c>
      <c r="AM1182">
        <v>1</v>
      </c>
      <c r="AN1182">
        <v>4</v>
      </c>
      <c r="AO1182">
        <v>1</v>
      </c>
      <c r="AP1182">
        <v>0</v>
      </c>
      <c r="AQ1182">
        <v>0</v>
      </c>
      <c r="AR1182">
        <v>5</v>
      </c>
      <c r="AS1182">
        <v>18</v>
      </c>
      <c r="AT1182">
        <v>16</v>
      </c>
      <c r="AU1182">
        <v>6</v>
      </c>
      <c r="AV1182">
        <v>16</v>
      </c>
      <c r="AW1182">
        <v>21</v>
      </c>
      <c r="AX1182">
        <v>6</v>
      </c>
      <c r="AY1182">
        <v>16</v>
      </c>
      <c r="AZ1182">
        <v>0</v>
      </c>
      <c r="BA1182">
        <v>0</v>
      </c>
      <c r="BB1182">
        <v>6</v>
      </c>
      <c r="BC1182">
        <v>2</v>
      </c>
      <c r="BD1182">
        <v>0</v>
      </c>
      <c r="BE1182">
        <v>14</v>
      </c>
      <c r="BF1182">
        <v>17</v>
      </c>
      <c r="BG1182">
        <v>15</v>
      </c>
      <c r="BH1182">
        <v>22</v>
      </c>
      <c r="BI1182">
        <v>12</v>
      </c>
      <c r="BJ1182">
        <v>23</v>
      </c>
    </row>
    <row r="1183" spans="3:62" x14ac:dyDescent="0.2">
      <c r="C1183" s="121">
        <v>21</v>
      </c>
      <c r="D1183" s="121">
        <v>26</v>
      </c>
      <c r="E1183" s="121">
        <v>11</v>
      </c>
      <c r="F1183" s="121">
        <v>23</v>
      </c>
      <c r="G1183" s="121">
        <v>5</v>
      </c>
      <c r="H1183" s="121">
        <v>25</v>
      </c>
      <c r="R1183">
        <v>23</v>
      </c>
      <c r="S1183">
        <v>20</v>
      </c>
      <c r="T1183">
        <v>9</v>
      </c>
      <c r="U1183">
        <v>15</v>
      </c>
      <c r="V1183">
        <v>0</v>
      </c>
      <c r="W1183">
        <v>0</v>
      </c>
      <c r="X1183">
        <v>17</v>
      </c>
      <c r="Y1183">
        <v>26</v>
      </c>
      <c r="Z1183">
        <v>17</v>
      </c>
      <c r="AA1183">
        <v>22</v>
      </c>
      <c r="AB1183">
        <v>19</v>
      </c>
      <c r="AC1183">
        <v>23</v>
      </c>
      <c r="AD1183">
        <v>20</v>
      </c>
      <c r="AE1183">
        <v>20</v>
      </c>
      <c r="AF1183">
        <v>0</v>
      </c>
      <c r="AG1183">
        <v>0</v>
      </c>
      <c r="AH1183">
        <v>2</v>
      </c>
      <c r="AI1183">
        <v>2</v>
      </c>
      <c r="AJ1183">
        <v>4</v>
      </c>
      <c r="AK1183">
        <v>1</v>
      </c>
      <c r="AL1183">
        <v>0</v>
      </c>
      <c r="AM1183">
        <v>1</v>
      </c>
      <c r="AN1183">
        <v>4</v>
      </c>
      <c r="AO1183">
        <v>0</v>
      </c>
      <c r="AP1183">
        <v>0</v>
      </c>
      <c r="AQ1183">
        <v>0</v>
      </c>
      <c r="AR1183">
        <v>4</v>
      </c>
      <c r="AS1183">
        <v>13</v>
      </c>
      <c r="AT1183">
        <v>12</v>
      </c>
      <c r="AU1183">
        <v>7</v>
      </c>
      <c r="AV1183">
        <v>8</v>
      </c>
      <c r="AW1183">
        <v>34</v>
      </c>
      <c r="AX1183">
        <v>4</v>
      </c>
      <c r="AY1183">
        <v>7</v>
      </c>
      <c r="AZ1183">
        <v>0</v>
      </c>
      <c r="BA1183">
        <v>0</v>
      </c>
      <c r="BB1183">
        <v>14</v>
      </c>
      <c r="BC1183">
        <v>2</v>
      </c>
      <c r="BD1183">
        <v>0</v>
      </c>
      <c r="BE1183">
        <v>21</v>
      </c>
      <c r="BF1183">
        <v>26</v>
      </c>
      <c r="BG1183">
        <v>11</v>
      </c>
      <c r="BH1183">
        <v>23</v>
      </c>
      <c r="BI1183">
        <v>5</v>
      </c>
      <c r="BJ1183">
        <v>25</v>
      </c>
    </row>
    <row r="1184" spans="3:62" x14ac:dyDescent="0.2">
      <c r="C1184" s="121">
        <v>15</v>
      </c>
      <c r="D1184" s="121">
        <v>29</v>
      </c>
      <c r="E1184" s="121">
        <v>12</v>
      </c>
      <c r="F1184" s="121">
        <v>35</v>
      </c>
      <c r="G1184" s="121">
        <v>7</v>
      </c>
      <c r="H1184" s="121">
        <v>21</v>
      </c>
      <c r="R1184">
        <v>12</v>
      </c>
      <c r="S1184">
        <v>12</v>
      </c>
      <c r="T1184">
        <v>13</v>
      </c>
      <c r="U1184">
        <v>22</v>
      </c>
      <c r="V1184">
        <v>0</v>
      </c>
      <c r="W1184">
        <v>0</v>
      </c>
      <c r="X1184">
        <v>16</v>
      </c>
      <c r="Y1184">
        <v>22</v>
      </c>
      <c r="Z1184">
        <v>16</v>
      </c>
      <c r="AA1184">
        <v>16</v>
      </c>
      <c r="AB1184">
        <v>13</v>
      </c>
      <c r="AC1184">
        <v>17</v>
      </c>
      <c r="AD1184">
        <v>19</v>
      </c>
      <c r="AE1184">
        <v>19</v>
      </c>
      <c r="AF1184">
        <v>0</v>
      </c>
      <c r="AG1184">
        <v>0</v>
      </c>
      <c r="AH1184">
        <v>3</v>
      </c>
      <c r="AI1184">
        <v>1</v>
      </c>
      <c r="AJ1184">
        <v>0</v>
      </c>
      <c r="AK1184">
        <v>2</v>
      </c>
      <c r="AL1184">
        <v>5</v>
      </c>
      <c r="AM1184">
        <v>0</v>
      </c>
      <c r="AN1184">
        <v>1</v>
      </c>
      <c r="AO1184">
        <v>4</v>
      </c>
      <c r="AP1184">
        <v>0</v>
      </c>
      <c r="AQ1184">
        <v>0</v>
      </c>
      <c r="AR1184">
        <v>8</v>
      </c>
      <c r="AS1184">
        <v>16</v>
      </c>
      <c r="AT1184">
        <v>15</v>
      </c>
      <c r="AU1184">
        <v>3</v>
      </c>
      <c r="AV1184">
        <v>16</v>
      </c>
      <c r="AW1184">
        <v>19</v>
      </c>
      <c r="AX1184">
        <v>3</v>
      </c>
      <c r="AY1184">
        <v>8</v>
      </c>
      <c r="AZ1184">
        <v>0</v>
      </c>
      <c r="BA1184">
        <v>0</v>
      </c>
      <c r="BB1184">
        <v>9</v>
      </c>
      <c r="BC1184">
        <v>1</v>
      </c>
      <c r="BD1184">
        <v>0</v>
      </c>
      <c r="BE1184">
        <v>15</v>
      </c>
      <c r="BF1184">
        <v>29</v>
      </c>
      <c r="BG1184">
        <v>12</v>
      </c>
      <c r="BH1184">
        <v>35</v>
      </c>
      <c r="BI1184">
        <v>7</v>
      </c>
      <c r="BJ1184">
        <v>21</v>
      </c>
    </row>
    <row r="1185" spans="3:62" x14ac:dyDescent="0.2">
      <c r="C1185" s="121">
        <v>16</v>
      </c>
      <c r="D1185" s="121">
        <v>28</v>
      </c>
      <c r="E1185" s="121">
        <v>21</v>
      </c>
      <c r="F1185" s="121">
        <v>23</v>
      </c>
      <c r="G1185" s="121">
        <v>5</v>
      </c>
      <c r="H1185" s="121">
        <v>15</v>
      </c>
      <c r="R1185">
        <v>18</v>
      </c>
      <c r="S1185">
        <v>17</v>
      </c>
      <c r="T1185">
        <v>11</v>
      </c>
      <c r="U1185">
        <v>18</v>
      </c>
      <c r="V1185">
        <v>0</v>
      </c>
      <c r="W1185">
        <v>0</v>
      </c>
      <c r="X1185">
        <v>26</v>
      </c>
      <c r="Y1185">
        <v>17</v>
      </c>
      <c r="Z1185">
        <v>24</v>
      </c>
      <c r="AA1185">
        <v>19</v>
      </c>
      <c r="AB1185">
        <v>14</v>
      </c>
      <c r="AC1185">
        <v>18</v>
      </c>
      <c r="AD1185">
        <v>20</v>
      </c>
      <c r="AE1185">
        <v>23</v>
      </c>
      <c r="AF1185">
        <v>0</v>
      </c>
      <c r="AG1185">
        <v>0</v>
      </c>
      <c r="AH1185">
        <v>6</v>
      </c>
      <c r="AI1185">
        <v>2</v>
      </c>
      <c r="AJ1185">
        <v>1</v>
      </c>
      <c r="AK1185">
        <v>1</v>
      </c>
      <c r="AL1185">
        <v>1</v>
      </c>
      <c r="AM1185">
        <v>2</v>
      </c>
      <c r="AN1185">
        <v>4</v>
      </c>
      <c r="AO1185">
        <v>0</v>
      </c>
      <c r="AP1185">
        <v>0</v>
      </c>
      <c r="AQ1185">
        <v>0</v>
      </c>
      <c r="AR1185">
        <v>5</v>
      </c>
      <c r="AS1185">
        <v>22</v>
      </c>
      <c r="AT1185">
        <v>20</v>
      </c>
      <c r="AU1185">
        <v>8</v>
      </c>
      <c r="AV1185">
        <v>13</v>
      </c>
      <c r="AW1185">
        <v>10</v>
      </c>
      <c r="AX1185">
        <v>4</v>
      </c>
      <c r="AY1185">
        <v>11</v>
      </c>
      <c r="AZ1185">
        <v>0</v>
      </c>
      <c r="BA1185">
        <v>0</v>
      </c>
      <c r="BB1185">
        <v>6</v>
      </c>
      <c r="BC1185">
        <v>1</v>
      </c>
      <c r="BD1185">
        <v>0</v>
      </c>
      <c r="BE1185">
        <v>16</v>
      </c>
      <c r="BF1185">
        <v>28</v>
      </c>
      <c r="BG1185">
        <v>21</v>
      </c>
      <c r="BH1185">
        <v>23</v>
      </c>
      <c r="BI1185">
        <v>5</v>
      </c>
      <c r="BJ1185">
        <v>15</v>
      </c>
    </row>
    <row r="1186" spans="3:62" x14ac:dyDescent="0.2">
      <c r="C1186" s="121">
        <v>8</v>
      </c>
      <c r="D1186" s="121">
        <v>26</v>
      </c>
      <c r="E1186" s="121">
        <v>22</v>
      </c>
      <c r="F1186" s="121">
        <v>19</v>
      </c>
      <c r="G1186" s="121">
        <v>4</v>
      </c>
      <c r="H1186" s="121">
        <v>22</v>
      </c>
      <c r="R1186">
        <v>10</v>
      </c>
      <c r="S1186">
        <v>15</v>
      </c>
      <c r="T1186">
        <v>13</v>
      </c>
      <c r="U1186">
        <v>12</v>
      </c>
      <c r="V1186">
        <v>0</v>
      </c>
      <c r="W1186">
        <v>0</v>
      </c>
      <c r="X1186">
        <v>18</v>
      </c>
      <c r="Y1186">
        <v>27</v>
      </c>
      <c r="Z1186">
        <v>21</v>
      </c>
      <c r="AA1186">
        <v>18</v>
      </c>
      <c r="AB1186">
        <v>22</v>
      </c>
      <c r="AC1186">
        <v>22</v>
      </c>
      <c r="AD1186">
        <v>19</v>
      </c>
      <c r="AE1186">
        <v>27</v>
      </c>
      <c r="AF1186">
        <v>0</v>
      </c>
      <c r="AG1186">
        <v>0</v>
      </c>
      <c r="AH1186">
        <v>2</v>
      </c>
      <c r="AI1186">
        <v>3</v>
      </c>
      <c r="AJ1186">
        <v>4</v>
      </c>
      <c r="AK1186">
        <v>1</v>
      </c>
      <c r="AL1186">
        <v>3</v>
      </c>
      <c r="AM1186">
        <v>5</v>
      </c>
      <c r="AN1186">
        <v>5</v>
      </c>
      <c r="AO1186">
        <v>1</v>
      </c>
      <c r="AP1186">
        <v>0</v>
      </c>
      <c r="AQ1186">
        <v>0</v>
      </c>
      <c r="AR1186">
        <v>7</v>
      </c>
      <c r="AS1186">
        <v>18</v>
      </c>
      <c r="AT1186">
        <v>11</v>
      </c>
      <c r="AU1186">
        <v>2</v>
      </c>
      <c r="AV1186">
        <v>13</v>
      </c>
      <c r="AW1186">
        <v>19</v>
      </c>
      <c r="AX1186">
        <v>1</v>
      </c>
      <c r="AY1186">
        <v>10</v>
      </c>
      <c r="AZ1186">
        <v>0</v>
      </c>
      <c r="BA1186">
        <v>0</v>
      </c>
      <c r="BB1186">
        <v>7</v>
      </c>
      <c r="BC1186">
        <v>5</v>
      </c>
      <c r="BD1186">
        <v>0</v>
      </c>
      <c r="BE1186">
        <v>8</v>
      </c>
      <c r="BF1186">
        <v>26</v>
      </c>
      <c r="BG1186">
        <v>22</v>
      </c>
      <c r="BH1186">
        <v>19</v>
      </c>
      <c r="BI1186">
        <v>4</v>
      </c>
      <c r="BJ1186">
        <v>22</v>
      </c>
    </row>
    <row r="1187" spans="3:62" x14ac:dyDescent="0.2">
      <c r="C1187" s="121">
        <v>14</v>
      </c>
      <c r="D1187" s="121">
        <v>14</v>
      </c>
      <c r="E1187" s="121">
        <v>13</v>
      </c>
      <c r="F1187" s="121">
        <v>18</v>
      </c>
      <c r="G1187" s="121">
        <v>6</v>
      </c>
      <c r="H1187" s="121">
        <v>11</v>
      </c>
      <c r="R1187">
        <v>8</v>
      </c>
      <c r="S1187">
        <v>14</v>
      </c>
      <c r="T1187">
        <v>10</v>
      </c>
      <c r="U1187">
        <v>18</v>
      </c>
      <c r="V1187">
        <v>0</v>
      </c>
      <c r="W1187">
        <v>0</v>
      </c>
      <c r="X1187">
        <v>26</v>
      </c>
      <c r="Y1187">
        <v>20</v>
      </c>
      <c r="Z1187">
        <v>25</v>
      </c>
      <c r="AA1187">
        <v>24</v>
      </c>
      <c r="AB1187">
        <v>28</v>
      </c>
      <c r="AC1187">
        <v>18</v>
      </c>
      <c r="AD1187">
        <v>18</v>
      </c>
      <c r="AE1187">
        <v>16</v>
      </c>
      <c r="AF1187">
        <v>0</v>
      </c>
      <c r="AG1187">
        <v>0</v>
      </c>
      <c r="AH1187">
        <v>0</v>
      </c>
      <c r="AI1187">
        <v>1</v>
      </c>
      <c r="AJ1187">
        <v>1</v>
      </c>
      <c r="AK1187">
        <v>2</v>
      </c>
      <c r="AL1187">
        <v>3</v>
      </c>
      <c r="AM1187">
        <v>2</v>
      </c>
      <c r="AN1187">
        <v>3</v>
      </c>
      <c r="AO1187">
        <v>0</v>
      </c>
      <c r="AP1187">
        <v>0</v>
      </c>
      <c r="AQ1187">
        <v>0</v>
      </c>
      <c r="AR1187">
        <v>4</v>
      </c>
      <c r="AS1187">
        <v>7</v>
      </c>
      <c r="AT1187">
        <v>21</v>
      </c>
      <c r="AU1187">
        <v>3</v>
      </c>
      <c r="AV1187">
        <v>10</v>
      </c>
      <c r="AW1187">
        <v>20</v>
      </c>
      <c r="AX1187">
        <v>2</v>
      </c>
      <c r="AY1187">
        <v>9</v>
      </c>
      <c r="AZ1187">
        <v>0</v>
      </c>
      <c r="BA1187">
        <v>0</v>
      </c>
      <c r="BB1187">
        <v>4</v>
      </c>
      <c r="BC1187">
        <v>1</v>
      </c>
      <c r="BD1187">
        <v>0</v>
      </c>
      <c r="BE1187">
        <v>14</v>
      </c>
      <c r="BF1187">
        <v>14</v>
      </c>
      <c r="BG1187">
        <v>13</v>
      </c>
      <c r="BH1187">
        <v>18</v>
      </c>
      <c r="BI1187">
        <v>6</v>
      </c>
      <c r="BJ1187">
        <v>11</v>
      </c>
    </row>
    <row r="1188" spans="3:62" x14ac:dyDescent="0.2">
      <c r="C1188" s="121">
        <v>13</v>
      </c>
      <c r="D1188" s="121">
        <v>16</v>
      </c>
      <c r="E1188" s="121">
        <v>6</v>
      </c>
      <c r="F1188" s="121">
        <v>15</v>
      </c>
      <c r="G1188" s="121">
        <v>3</v>
      </c>
      <c r="H1188" s="121">
        <v>13</v>
      </c>
      <c r="R1188">
        <v>12</v>
      </c>
      <c r="S1188">
        <v>10</v>
      </c>
      <c r="T1188">
        <v>8</v>
      </c>
      <c r="U1188">
        <v>12</v>
      </c>
      <c r="V1188">
        <v>0</v>
      </c>
      <c r="W1188">
        <v>0</v>
      </c>
      <c r="X1188">
        <v>21</v>
      </c>
      <c r="Y1188">
        <v>17</v>
      </c>
      <c r="Z1188">
        <v>28</v>
      </c>
      <c r="AA1188">
        <v>17</v>
      </c>
      <c r="AB1188">
        <v>13</v>
      </c>
      <c r="AC1188">
        <v>15</v>
      </c>
      <c r="AD1188">
        <v>23</v>
      </c>
      <c r="AE1188">
        <v>15</v>
      </c>
      <c r="AF1188">
        <v>0</v>
      </c>
      <c r="AG1188">
        <v>0</v>
      </c>
      <c r="AH1188">
        <v>3</v>
      </c>
      <c r="AI1188">
        <v>3</v>
      </c>
      <c r="AJ1188">
        <v>2</v>
      </c>
      <c r="AK1188">
        <v>0</v>
      </c>
      <c r="AL1188">
        <v>0</v>
      </c>
      <c r="AM1188">
        <v>1</v>
      </c>
      <c r="AN1188">
        <v>3</v>
      </c>
      <c r="AO1188">
        <v>2</v>
      </c>
      <c r="AP1188">
        <v>0</v>
      </c>
      <c r="AQ1188">
        <v>0</v>
      </c>
      <c r="AR1188">
        <v>3</v>
      </c>
      <c r="AS1188">
        <v>7</v>
      </c>
      <c r="AT1188">
        <v>12</v>
      </c>
      <c r="AU1188">
        <v>2</v>
      </c>
      <c r="AV1188">
        <v>6</v>
      </c>
      <c r="AW1188">
        <v>22</v>
      </c>
      <c r="AX1188">
        <v>2</v>
      </c>
      <c r="AY1188">
        <v>8</v>
      </c>
      <c r="AZ1188">
        <v>0</v>
      </c>
      <c r="BA1188">
        <v>0</v>
      </c>
      <c r="BB1188">
        <v>7</v>
      </c>
      <c r="BC1188">
        <v>2</v>
      </c>
      <c r="BD1188">
        <v>0</v>
      </c>
      <c r="BE1188">
        <v>13</v>
      </c>
      <c r="BF1188">
        <v>16</v>
      </c>
      <c r="BG1188">
        <v>6</v>
      </c>
      <c r="BH1188">
        <v>15</v>
      </c>
      <c r="BI1188">
        <v>3</v>
      </c>
      <c r="BJ1188">
        <v>13</v>
      </c>
    </row>
    <row r="1189" spans="3:62" x14ac:dyDescent="0.2">
      <c r="C1189" s="121">
        <v>7</v>
      </c>
      <c r="D1189" s="121">
        <v>17</v>
      </c>
      <c r="E1189" s="121">
        <v>13</v>
      </c>
      <c r="F1189" s="121">
        <v>14</v>
      </c>
      <c r="G1189" s="121">
        <v>2</v>
      </c>
      <c r="H1189" s="121">
        <v>17</v>
      </c>
      <c r="R1189">
        <v>9</v>
      </c>
      <c r="S1189">
        <v>19</v>
      </c>
      <c r="T1189">
        <v>11</v>
      </c>
      <c r="U1189">
        <v>15</v>
      </c>
      <c r="V1189">
        <v>0</v>
      </c>
      <c r="W1189">
        <v>0</v>
      </c>
      <c r="X1189">
        <v>22</v>
      </c>
      <c r="Y1189">
        <v>24</v>
      </c>
      <c r="Z1189">
        <v>18</v>
      </c>
      <c r="AA1189">
        <v>17</v>
      </c>
      <c r="AB1189">
        <v>18</v>
      </c>
      <c r="AC1189">
        <v>25</v>
      </c>
      <c r="AD1189">
        <v>27</v>
      </c>
      <c r="AE1189">
        <v>22</v>
      </c>
      <c r="AF1189">
        <v>0</v>
      </c>
      <c r="AG1189">
        <v>0</v>
      </c>
      <c r="AH1189">
        <v>1</v>
      </c>
      <c r="AI1189">
        <v>2</v>
      </c>
      <c r="AJ1189">
        <v>3</v>
      </c>
      <c r="AK1189">
        <v>2</v>
      </c>
      <c r="AL1189">
        <v>1</v>
      </c>
      <c r="AM1189">
        <v>2</v>
      </c>
      <c r="AN1189">
        <v>5</v>
      </c>
      <c r="AO1189">
        <v>2</v>
      </c>
      <c r="AP1189">
        <v>0</v>
      </c>
      <c r="AQ1189">
        <v>0</v>
      </c>
      <c r="AR1189">
        <v>0</v>
      </c>
      <c r="AS1189">
        <v>9</v>
      </c>
      <c r="AT1189">
        <v>7</v>
      </c>
      <c r="AU1189">
        <v>1</v>
      </c>
      <c r="AV1189">
        <v>10</v>
      </c>
      <c r="AW1189">
        <v>14</v>
      </c>
      <c r="AX1189">
        <v>3</v>
      </c>
      <c r="AY1189">
        <v>6</v>
      </c>
      <c r="AZ1189">
        <v>0</v>
      </c>
      <c r="BA1189">
        <v>0</v>
      </c>
      <c r="BB1189">
        <v>5</v>
      </c>
      <c r="BC1189">
        <v>0</v>
      </c>
      <c r="BD1189">
        <v>0</v>
      </c>
      <c r="BE1189">
        <v>7</v>
      </c>
      <c r="BF1189">
        <v>17</v>
      </c>
      <c r="BG1189">
        <v>13</v>
      </c>
      <c r="BH1189">
        <v>14</v>
      </c>
      <c r="BI1189">
        <v>2</v>
      </c>
      <c r="BJ1189">
        <v>17</v>
      </c>
    </row>
    <row r="1190" spans="3:62" x14ac:dyDescent="0.2">
      <c r="C1190" s="121">
        <v>16</v>
      </c>
      <c r="D1190" s="121">
        <v>15</v>
      </c>
      <c r="E1190" s="121">
        <v>7</v>
      </c>
      <c r="F1190" s="121">
        <v>18</v>
      </c>
      <c r="G1190" s="121">
        <v>4</v>
      </c>
      <c r="H1190" s="121">
        <v>14</v>
      </c>
      <c r="R1190">
        <v>7</v>
      </c>
      <c r="S1190">
        <v>12</v>
      </c>
      <c r="T1190">
        <v>5</v>
      </c>
      <c r="U1190">
        <v>12</v>
      </c>
      <c r="V1190">
        <v>0</v>
      </c>
      <c r="W1190">
        <v>0</v>
      </c>
      <c r="X1190">
        <v>15</v>
      </c>
      <c r="Y1190">
        <v>19</v>
      </c>
      <c r="Z1190">
        <v>24</v>
      </c>
      <c r="AA1190">
        <v>20</v>
      </c>
      <c r="AB1190">
        <v>19</v>
      </c>
      <c r="AC1190">
        <v>27</v>
      </c>
      <c r="AD1190">
        <v>16</v>
      </c>
      <c r="AE1190">
        <v>24</v>
      </c>
      <c r="AF1190">
        <v>0</v>
      </c>
      <c r="AG1190">
        <v>0</v>
      </c>
      <c r="AH1190">
        <v>3</v>
      </c>
      <c r="AI1190">
        <v>1</v>
      </c>
      <c r="AJ1190">
        <v>3</v>
      </c>
      <c r="AK1190">
        <v>0</v>
      </c>
      <c r="AL1190">
        <v>1</v>
      </c>
      <c r="AM1190">
        <v>0</v>
      </c>
      <c r="AN1190">
        <v>3</v>
      </c>
      <c r="AO1190">
        <v>0</v>
      </c>
      <c r="AP1190">
        <v>0</v>
      </c>
      <c r="AQ1190">
        <v>0</v>
      </c>
      <c r="AR1190">
        <v>5</v>
      </c>
      <c r="AS1190">
        <v>10</v>
      </c>
      <c r="AT1190">
        <v>14</v>
      </c>
      <c r="AU1190">
        <v>2</v>
      </c>
      <c r="AV1190">
        <v>8</v>
      </c>
      <c r="AW1190">
        <v>16</v>
      </c>
      <c r="AX1190">
        <v>4</v>
      </c>
      <c r="AY1190">
        <v>9</v>
      </c>
      <c r="AZ1190">
        <v>0</v>
      </c>
      <c r="BA1190">
        <v>0</v>
      </c>
      <c r="BB1190">
        <v>6</v>
      </c>
      <c r="BC1190">
        <v>0</v>
      </c>
      <c r="BD1190">
        <v>0</v>
      </c>
      <c r="BE1190">
        <v>16</v>
      </c>
      <c r="BF1190">
        <v>15</v>
      </c>
      <c r="BG1190">
        <v>7</v>
      </c>
      <c r="BH1190">
        <v>18</v>
      </c>
      <c r="BI1190">
        <v>4</v>
      </c>
      <c r="BJ1190">
        <v>14</v>
      </c>
    </row>
    <row r="1191" spans="3:62" x14ac:dyDescent="0.2">
      <c r="C1191" s="121">
        <v>9</v>
      </c>
      <c r="D1191" s="121">
        <v>12</v>
      </c>
      <c r="E1191" s="121">
        <v>10</v>
      </c>
      <c r="F1191" s="121">
        <v>12</v>
      </c>
      <c r="G1191" s="121">
        <v>4</v>
      </c>
      <c r="H1191" s="121">
        <v>9</v>
      </c>
      <c r="R1191">
        <v>9</v>
      </c>
      <c r="S1191">
        <v>7</v>
      </c>
      <c r="T1191">
        <v>10</v>
      </c>
      <c r="U1191">
        <v>5</v>
      </c>
      <c r="V1191">
        <v>0</v>
      </c>
      <c r="W1191">
        <v>0</v>
      </c>
      <c r="X1191">
        <v>16</v>
      </c>
      <c r="Y1191">
        <v>32</v>
      </c>
      <c r="Z1191">
        <v>27</v>
      </c>
      <c r="AA1191">
        <v>34</v>
      </c>
      <c r="AB1191">
        <v>32</v>
      </c>
      <c r="AC1191">
        <v>38</v>
      </c>
      <c r="AD1191">
        <v>19</v>
      </c>
      <c r="AE1191">
        <v>20</v>
      </c>
      <c r="AF1191">
        <v>0</v>
      </c>
      <c r="AG1191">
        <v>0</v>
      </c>
      <c r="AH1191">
        <v>1</v>
      </c>
      <c r="AI1191">
        <v>0</v>
      </c>
      <c r="AJ1191">
        <v>4</v>
      </c>
      <c r="AK1191">
        <v>1</v>
      </c>
      <c r="AL1191">
        <v>1</v>
      </c>
      <c r="AM1191">
        <v>0</v>
      </c>
      <c r="AN1191">
        <v>1</v>
      </c>
      <c r="AO1191">
        <v>0</v>
      </c>
      <c r="AP1191">
        <v>0</v>
      </c>
      <c r="AQ1191">
        <v>0</v>
      </c>
      <c r="AR1191">
        <v>3</v>
      </c>
      <c r="AS1191">
        <v>9</v>
      </c>
      <c r="AT1191">
        <v>10</v>
      </c>
      <c r="AU1191">
        <v>2</v>
      </c>
      <c r="AV1191">
        <v>7</v>
      </c>
      <c r="AW1191">
        <v>12</v>
      </c>
      <c r="AX1191">
        <v>3</v>
      </c>
      <c r="AY1191">
        <v>4</v>
      </c>
      <c r="AZ1191">
        <v>0</v>
      </c>
      <c r="BA1191">
        <v>0</v>
      </c>
      <c r="BB1191">
        <v>3</v>
      </c>
      <c r="BC1191">
        <v>3</v>
      </c>
      <c r="BD1191">
        <v>0</v>
      </c>
      <c r="BE1191">
        <v>9</v>
      </c>
      <c r="BF1191">
        <v>12</v>
      </c>
      <c r="BG1191">
        <v>10</v>
      </c>
      <c r="BH1191">
        <v>12</v>
      </c>
      <c r="BI1191">
        <v>4</v>
      </c>
      <c r="BJ1191">
        <v>9</v>
      </c>
    </row>
    <row r="1192" spans="3:62" x14ac:dyDescent="0.2">
      <c r="C1192" s="121">
        <v>9</v>
      </c>
      <c r="D1192" s="121">
        <v>13</v>
      </c>
      <c r="E1192" s="121">
        <v>8</v>
      </c>
      <c r="F1192" s="121">
        <v>10</v>
      </c>
      <c r="G1192" s="121">
        <v>1</v>
      </c>
      <c r="H1192" s="121">
        <v>11</v>
      </c>
      <c r="R1192">
        <v>5</v>
      </c>
      <c r="S1192">
        <v>11</v>
      </c>
      <c r="T1192">
        <v>6</v>
      </c>
      <c r="U1192">
        <v>18</v>
      </c>
      <c r="V1192">
        <v>0</v>
      </c>
      <c r="W1192">
        <v>0</v>
      </c>
      <c r="X1192">
        <v>23</v>
      </c>
      <c r="Y1192">
        <v>22</v>
      </c>
      <c r="Z1192">
        <v>17</v>
      </c>
      <c r="AA1192">
        <v>30</v>
      </c>
      <c r="AB1192">
        <v>25</v>
      </c>
      <c r="AC1192">
        <v>22</v>
      </c>
      <c r="AD1192">
        <v>20</v>
      </c>
      <c r="AE1192">
        <v>19</v>
      </c>
      <c r="AF1192">
        <v>0</v>
      </c>
      <c r="AG1192">
        <v>0</v>
      </c>
      <c r="AH1192">
        <v>0</v>
      </c>
      <c r="AI1192">
        <v>0</v>
      </c>
      <c r="AJ1192">
        <v>2</v>
      </c>
      <c r="AK1192">
        <v>1</v>
      </c>
      <c r="AL1192">
        <v>4</v>
      </c>
      <c r="AM1192">
        <v>2</v>
      </c>
      <c r="AN1192">
        <v>3</v>
      </c>
      <c r="AO1192">
        <v>3</v>
      </c>
      <c r="AP1192">
        <v>0</v>
      </c>
      <c r="AQ1192">
        <v>0</v>
      </c>
      <c r="AR1192">
        <v>1</v>
      </c>
      <c r="AS1192">
        <v>8</v>
      </c>
      <c r="AT1192">
        <v>6</v>
      </c>
      <c r="AU1192">
        <v>2</v>
      </c>
      <c r="AV1192">
        <v>5</v>
      </c>
      <c r="AW1192">
        <v>18</v>
      </c>
      <c r="AX1192">
        <v>2</v>
      </c>
      <c r="AY1192">
        <v>1</v>
      </c>
      <c r="AZ1192">
        <v>0</v>
      </c>
      <c r="BA1192">
        <v>0</v>
      </c>
      <c r="BB1192">
        <v>4</v>
      </c>
      <c r="BC1192">
        <v>2</v>
      </c>
      <c r="BD1192">
        <v>0</v>
      </c>
      <c r="BE1192">
        <v>9</v>
      </c>
      <c r="BF1192">
        <v>13</v>
      </c>
      <c r="BG1192">
        <v>8</v>
      </c>
      <c r="BH1192">
        <v>10</v>
      </c>
      <c r="BI1192">
        <v>1</v>
      </c>
      <c r="BJ1192">
        <v>11</v>
      </c>
    </row>
    <row r="1193" spans="3:62" x14ac:dyDescent="0.2">
      <c r="C1193" s="121">
        <v>6</v>
      </c>
      <c r="D1193" s="121">
        <v>10</v>
      </c>
      <c r="E1193" s="121">
        <v>5</v>
      </c>
      <c r="F1193" s="121">
        <v>8</v>
      </c>
      <c r="G1193" s="121">
        <v>4</v>
      </c>
      <c r="H1193" s="121">
        <v>7</v>
      </c>
      <c r="R1193">
        <v>12</v>
      </c>
      <c r="S1193">
        <v>14</v>
      </c>
      <c r="T1193">
        <v>4</v>
      </c>
      <c r="U1193">
        <v>7</v>
      </c>
      <c r="V1193">
        <v>0</v>
      </c>
      <c r="W1193">
        <v>0</v>
      </c>
      <c r="X1193">
        <v>18</v>
      </c>
      <c r="Y1193">
        <v>32</v>
      </c>
      <c r="Z1193">
        <v>29</v>
      </c>
      <c r="AA1193">
        <v>27</v>
      </c>
      <c r="AB1193">
        <v>21</v>
      </c>
      <c r="AC1193">
        <v>23</v>
      </c>
      <c r="AD1193">
        <v>17</v>
      </c>
      <c r="AE1193">
        <v>15</v>
      </c>
      <c r="AF1193">
        <v>0</v>
      </c>
      <c r="AG1193">
        <v>0</v>
      </c>
      <c r="AH1193">
        <v>3</v>
      </c>
      <c r="AI1193">
        <v>0</v>
      </c>
      <c r="AJ1193">
        <v>1</v>
      </c>
      <c r="AK1193">
        <v>0</v>
      </c>
      <c r="AL1193">
        <v>0</v>
      </c>
      <c r="AM1193">
        <v>0</v>
      </c>
      <c r="AN1193">
        <v>2</v>
      </c>
      <c r="AO1193">
        <v>2</v>
      </c>
      <c r="AP1193">
        <v>0</v>
      </c>
      <c r="AQ1193">
        <v>0</v>
      </c>
      <c r="AR1193">
        <v>0</v>
      </c>
      <c r="AS1193">
        <v>2</v>
      </c>
      <c r="AT1193">
        <v>12</v>
      </c>
      <c r="AU1193">
        <v>1</v>
      </c>
      <c r="AV1193">
        <v>3</v>
      </c>
      <c r="AW1193">
        <v>11</v>
      </c>
      <c r="AX1193">
        <v>0</v>
      </c>
      <c r="AY1193">
        <v>2</v>
      </c>
      <c r="AZ1193">
        <v>0</v>
      </c>
      <c r="BA1193">
        <v>0</v>
      </c>
      <c r="BB1193">
        <v>3</v>
      </c>
      <c r="BC1193">
        <v>0</v>
      </c>
      <c r="BD1193">
        <v>0</v>
      </c>
      <c r="BE1193">
        <v>6</v>
      </c>
      <c r="BF1193">
        <v>10</v>
      </c>
      <c r="BG1193">
        <v>5</v>
      </c>
      <c r="BH1193">
        <v>8</v>
      </c>
      <c r="BI1193">
        <v>4</v>
      </c>
      <c r="BJ1193">
        <v>7</v>
      </c>
    </row>
    <row r="1194" spans="3:62" x14ac:dyDescent="0.2">
      <c r="C1194" s="121">
        <v>6</v>
      </c>
      <c r="D1194" s="121">
        <v>7</v>
      </c>
      <c r="E1194" s="121">
        <v>7</v>
      </c>
      <c r="F1194" s="121">
        <v>8</v>
      </c>
      <c r="G1194" s="121">
        <v>1</v>
      </c>
      <c r="H1194" s="121">
        <v>4</v>
      </c>
      <c r="R1194">
        <v>7</v>
      </c>
      <c r="S1194">
        <v>11</v>
      </c>
      <c r="T1194">
        <v>6</v>
      </c>
      <c r="U1194">
        <v>5</v>
      </c>
      <c r="V1194">
        <v>0</v>
      </c>
      <c r="W1194">
        <v>0</v>
      </c>
      <c r="X1194">
        <v>25</v>
      </c>
      <c r="Y1194">
        <v>21</v>
      </c>
      <c r="Z1194">
        <v>19</v>
      </c>
      <c r="AA1194">
        <v>18</v>
      </c>
      <c r="AB1194">
        <v>21</v>
      </c>
      <c r="AC1194">
        <v>22</v>
      </c>
      <c r="AD1194">
        <v>37</v>
      </c>
      <c r="AE1194">
        <v>25</v>
      </c>
      <c r="AF1194">
        <v>0</v>
      </c>
      <c r="AG1194">
        <v>0</v>
      </c>
      <c r="AH1194">
        <v>1</v>
      </c>
      <c r="AI1194">
        <v>1</v>
      </c>
      <c r="AJ1194">
        <v>1</v>
      </c>
      <c r="AK1194">
        <v>3</v>
      </c>
      <c r="AL1194">
        <v>2</v>
      </c>
      <c r="AM1194">
        <v>1</v>
      </c>
      <c r="AN1194">
        <v>1</v>
      </c>
      <c r="AO1194">
        <v>1</v>
      </c>
      <c r="AP1194">
        <v>0</v>
      </c>
      <c r="AQ1194">
        <v>0</v>
      </c>
      <c r="AR1194">
        <v>1</v>
      </c>
      <c r="AS1194">
        <v>11</v>
      </c>
      <c r="AT1194">
        <v>5</v>
      </c>
      <c r="AU1194">
        <v>2</v>
      </c>
      <c r="AV1194">
        <v>5</v>
      </c>
      <c r="AW1194">
        <v>12</v>
      </c>
      <c r="AX1194">
        <v>3</v>
      </c>
      <c r="AY1194">
        <v>3</v>
      </c>
      <c r="AZ1194">
        <v>0</v>
      </c>
      <c r="BA1194">
        <v>0</v>
      </c>
      <c r="BB1194">
        <v>2</v>
      </c>
      <c r="BC1194">
        <v>0</v>
      </c>
      <c r="BD1194">
        <v>0</v>
      </c>
      <c r="BE1194">
        <v>6</v>
      </c>
      <c r="BF1194">
        <v>7</v>
      </c>
      <c r="BG1194">
        <v>7</v>
      </c>
      <c r="BH1194">
        <v>8</v>
      </c>
      <c r="BI1194">
        <v>1</v>
      </c>
      <c r="BJ1194">
        <v>4</v>
      </c>
    </row>
    <row r="1195" spans="3:62" x14ac:dyDescent="0.2">
      <c r="C1195" s="121">
        <v>6</v>
      </c>
      <c r="D1195" s="121">
        <v>7</v>
      </c>
      <c r="E1195" s="121">
        <v>9</v>
      </c>
      <c r="F1195" s="121">
        <v>5</v>
      </c>
      <c r="G1195" s="121">
        <v>0</v>
      </c>
      <c r="H1195" s="121">
        <v>4</v>
      </c>
      <c r="R1195">
        <v>7</v>
      </c>
      <c r="S1195">
        <v>2</v>
      </c>
      <c r="T1195">
        <v>6</v>
      </c>
      <c r="U1195">
        <v>11</v>
      </c>
      <c r="V1195">
        <v>0</v>
      </c>
      <c r="W1195">
        <v>0</v>
      </c>
      <c r="X1195">
        <v>13</v>
      </c>
      <c r="Y1195">
        <v>27</v>
      </c>
      <c r="Z1195">
        <v>17</v>
      </c>
      <c r="AA1195">
        <v>20</v>
      </c>
      <c r="AB1195">
        <v>21</v>
      </c>
      <c r="AC1195">
        <v>28</v>
      </c>
      <c r="AD1195">
        <v>23</v>
      </c>
      <c r="AE1195">
        <v>29</v>
      </c>
      <c r="AF1195">
        <v>0</v>
      </c>
      <c r="AG1195">
        <v>0</v>
      </c>
      <c r="AH1195">
        <v>1</v>
      </c>
      <c r="AI1195">
        <v>1</v>
      </c>
      <c r="AJ1195">
        <v>3</v>
      </c>
      <c r="AK1195">
        <v>1</v>
      </c>
      <c r="AL1195">
        <v>1</v>
      </c>
      <c r="AM1195">
        <v>0</v>
      </c>
      <c r="AN1195">
        <v>1</v>
      </c>
      <c r="AO1195">
        <v>2</v>
      </c>
      <c r="AP1195">
        <v>0</v>
      </c>
      <c r="AQ1195">
        <v>0</v>
      </c>
      <c r="AR1195">
        <v>3</v>
      </c>
      <c r="AS1195">
        <v>4</v>
      </c>
      <c r="AT1195">
        <v>6</v>
      </c>
      <c r="AU1195">
        <v>2</v>
      </c>
      <c r="AV1195">
        <v>5</v>
      </c>
      <c r="AW1195">
        <v>7</v>
      </c>
      <c r="AX1195">
        <v>0</v>
      </c>
      <c r="AY1195">
        <v>1</v>
      </c>
      <c r="AZ1195">
        <v>0</v>
      </c>
      <c r="BA1195">
        <v>0</v>
      </c>
      <c r="BB1195">
        <v>1</v>
      </c>
      <c r="BC1195">
        <v>0</v>
      </c>
      <c r="BD1195">
        <v>0</v>
      </c>
      <c r="BE1195">
        <v>6</v>
      </c>
      <c r="BF1195">
        <v>7</v>
      </c>
      <c r="BG1195">
        <v>9</v>
      </c>
      <c r="BH1195">
        <v>5</v>
      </c>
      <c r="BI1195">
        <v>0</v>
      </c>
      <c r="BJ1195">
        <v>4</v>
      </c>
    </row>
    <row r="1196" spans="3:62" x14ac:dyDescent="0.2">
      <c r="C1196" s="121">
        <v>5</v>
      </c>
      <c r="D1196" s="121">
        <v>9</v>
      </c>
      <c r="E1196" s="121">
        <v>7</v>
      </c>
      <c r="F1196" s="121">
        <v>10</v>
      </c>
      <c r="G1196" s="121">
        <v>3</v>
      </c>
      <c r="H1196" s="121">
        <v>8</v>
      </c>
      <c r="R1196">
        <v>6</v>
      </c>
      <c r="S1196">
        <v>4</v>
      </c>
      <c r="T1196">
        <v>4</v>
      </c>
      <c r="U1196">
        <v>10</v>
      </c>
      <c r="V1196">
        <v>0</v>
      </c>
      <c r="W1196">
        <v>0</v>
      </c>
      <c r="X1196">
        <v>10</v>
      </c>
      <c r="Y1196">
        <v>24</v>
      </c>
      <c r="Z1196">
        <v>28</v>
      </c>
      <c r="AA1196">
        <v>14</v>
      </c>
      <c r="AB1196">
        <v>18</v>
      </c>
      <c r="AC1196">
        <v>43</v>
      </c>
      <c r="AD1196">
        <v>36</v>
      </c>
      <c r="AE1196">
        <v>24</v>
      </c>
      <c r="AF1196">
        <v>0</v>
      </c>
      <c r="AG1196">
        <v>0</v>
      </c>
      <c r="AH1196">
        <v>0</v>
      </c>
      <c r="AI1196">
        <v>0</v>
      </c>
      <c r="AJ1196">
        <v>0</v>
      </c>
      <c r="AK1196">
        <v>0</v>
      </c>
      <c r="AL1196">
        <v>1</v>
      </c>
      <c r="AM1196">
        <v>2</v>
      </c>
      <c r="AN1196">
        <v>5</v>
      </c>
      <c r="AO1196">
        <v>1</v>
      </c>
      <c r="AP1196">
        <v>0</v>
      </c>
      <c r="AQ1196">
        <v>0</v>
      </c>
      <c r="AR1196">
        <v>4</v>
      </c>
      <c r="AS1196">
        <v>7</v>
      </c>
      <c r="AT1196">
        <v>6</v>
      </c>
      <c r="AU1196">
        <v>1</v>
      </c>
      <c r="AV1196">
        <v>3</v>
      </c>
      <c r="AW1196">
        <v>11</v>
      </c>
      <c r="AX1196">
        <v>1</v>
      </c>
      <c r="AY1196">
        <v>1</v>
      </c>
      <c r="AZ1196">
        <v>0</v>
      </c>
      <c r="BA1196">
        <v>0</v>
      </c>
      <c r="BB1196">
        <v>0</v>
      </c>
      <c r="BC1196">
        <v>1</v>
      </c>
      <c r="BD1196">
        <v>0</v>
      </c>
      <c r="BE1196">
        <v>5</v>
      </c>
      <c r="BF1196">
        <v>9</v>
      </c>
      <c r="BG1196">
        <v>7</v>
      </c>
      <c r="BH1196">
        <v>10</v>
      </c>
      <c r="BI1196">
        <v>3</v>
      </c>
      <c r="BJ1196">
        <v>8</v>
      </c>
    </row>
    <row r="1197" spans="3:62" x14ac:dyDescent="0.2">
      <c r="C1197" s="121">
        <v>6</v>
      </c>
      <c r="D1197" s="121">
        <v>7</v>
      </c>
      <c r="E1197" s="121">
        <v>4</v>
      </c>
      <c r="F1197" s="121">
        <v>6</v>
      </c>
      <c r="G1197" s="121">
        <v>0</v>
      </c>
      <c r="H1197" s="121">
        <v>10</v>
      </c>
      <c r="R1197">
        <v>2</v>
      </c>
      <c r="S1197">
        <v>4</v>
      </c>
      <c r="T1197">
        <v>2</v>
      </c>
      <c r="U1197">
        <v>7</v>
      </c>
      <c r="V1197">
        <v>0</v>
      </c>
      <c r="W1197">
        <v>0</v>
      </c>
      <c r="X1197">
        <v>18</v>
      </c>
      <c r="Y1197">
        <v>26</v>
      </c>
      <c r="Z1197">
        <v>15</v>
      </c>
      <c r="AA1197">
        <v>36</v>
      </c>
      <c r="AB1197">
        <v>16</v>
      </c>
      <c r="AC1197">
        <v>27</v>
      </c>
      <c r="AD1197">
        <v>22</v>
      </c>
      <c r="AE1197">
        <v>12</v>
      </c>
      <c r="AF1197">
        <v>0</v>
      </c>
      <c r="AG1197">
        <v>0</v>
      </c>
      <c r="AH1197">
        <v>0</v>
      </c>
      <c r="AI1197">
        <v>0</v>
      </c>
      <c r="AJ1197">
        <v>3</v>
      </c>
      <c r="AK1197">
        <v>0</v>
      </c>
      <c r="AL1197">
        <v>1</v>
      </c>
      <c r="AM1197">
        <v>1</v>
      </c>
      <c r="AN1197">
        <v>2</v>
      </c>
      <c r="AO1197">
        <v>1</v>
      </c>
      <c r="AP1197">
        <v>0</v>
      </c>
      <c r="AQ1197">
        <v>0</v>
      </c>
      <c r="AR1197">
        <v>1</v>
      </c>
      <c r="AS1197">
        <v>10</v>
      </c>
      <c r="AT1197">
        <v>4</v>
      </c>
      <c r="AU1197">
        <v>2</v>
      </c>
      <c r="AV1197">
        <v>2</v>
      </c>
      <c r="AW1197">
        <v>12</v>
      </c>
      <c r="AX1197">
        <v>0</v>
      </c>
      <c r="AY1197">
        <v>2</v>
      </c>
      <c r="AZ1197">
        <v>0</v>
      </c>
      <c r="BA1197">
        <v>0</v>
      </c>
      <c r="BB1197">
        <v>0</v>
      </c>
      <c r="BC1197">
        <v>2</v>
      </c>
      <c r="BD1197">
        <v>0</v>
      </c>
      <c r="BE1197">
        <v>6</v>
      </c>
      <c r="BF1197">
        <v>7</v>
      </c>
      <c r="BG1197">
        <v>4</v>
      </c>
      <c r="BH1197">
        <v>6</v>
      </c>
      <c r="BI1197">
        <v>0</v>
      </c>
      <c r="BJ1197">
        <v>10</v>
      </c>
    </row>
    <row r="1198" spans="3:62" x14ac:dyDescent="0.2">
      <c r="C1198" s="121">
        <v>0</v>
      </c>
      <c r="D1198" s="121">
        <v>5</v>
      </c>
      <c r="E1198" s="121">
        <v>3</v>
      </c>
      <c r="F1198" s="121">
        <v>4</v>
      </c>
      <c r="G1198" s="121">
        <v>1</v>
      </c>
      <c r="H1198" s="121">
        <v>5</v>
      </c>
      <c r="R1198">
        <v>4</v>
      </c>
      <c r="S1198">
        <v>6</v>
      </c>
      <c r="T1198">
        <v>2</v>
      </c>
      <c r="U1198">
        <v>8</v>
      </c>
      <c r="V1198">
        <v>0</v>
      </c>
      <c r="W1198">
        <v>0</v>
      </c>
      <c r="X1198">
        <v>21</v>
      </c>
      <c r="Y1198">
        <v>27</v>
      </c>
      <c r="Z1198">
        <v>23</v>
      </c>
      <c r="AA1198">
        <v>31</v>
      </c>
      <c r="AB1198">
        <v>20</v>
      </c>
      <c r="AC1198">
        <v>31</v>
      </c>
      <c r="AD1198">
        <v>19</v>
      </c>
      <c r="AE1198">
        <v>19</v>
      </c>
      <c r="AF1198">
        <v>0</v>
      </c>
      <c r="AG1198">
        <v>0</v>
      </c>
      <c r="AH1198">
        <v>1</v>
      </c>
      <c r="AI1198">
        <v>0</v>
      </c>
      <c r="AJ1198">
        <v>1</v>
      </c>
      <c r="AK1198">
        <v>0</v>
      </c>
      <c r="AL1198">
        <v>0</v>
      </c>
      <c r="AM1198">
        <v>1</v>
      </c>
      <c r="AN1198">
        <v>4</v>
      </c>
      <c r="AO1198">
        <v>0</v>
      </c>
      <c r="AP1198">
        <v>0</v>
      </c>
      <c r="AQ1198">
        <v>0</v>
      </c>
      <c r="AR1198">
        <v>2</v>
      </c>
      <c r="AS1198">
        <v>5</v>
      </c>
      <c r="AT1198">
        <v>4</v>
      </c>
      <c r="AU1198">
        <v>0</v>
      </c>
      <c r="AV1198">
        <v>1</v>
      </c>
      <c r="AW1198">
        <v>10</v>
      </c>
      <c r="AX1198">
        <v>1</v>
      </c>
      <c r="AY1198">
        <v>1</v>
      </c>
      <c r="AZ1198">
        <v>0</v>
      </c>
      <c r="BA1198">
        <v>0</v>
      </c>
      <c r="BB1198">
        <v>0</v>
      </c>
      <c r="BC1198">
        <v>0</v>
      </c>
      <c r="BD1198">
        <v>0</v>
      </c>
      <c r="BE1198">
        <v>0</v>
      </c>
      <c r="BF1198">
        <v>5</v>
      </c>
      <c r="BG1198">
        <v>3</v>
      </c>
      <c r="BH1198">
        <v>4</v>
      </c>
      <c r="BI1198">
        <v>1</v>
      </c>
      <c r="BJ1198">
        <v>5</v>
      </c>
    </row>
    <row r="1199" spans="3:62" x14ac:dyDescent="0.2">
      <c r="C1199" s="121">
        <v>3</v>
      </c>
      <c r="D1199" s="121">
        <v>7</v>
      </c>
      <c r="E1199" s="121">
        <v>2</v>
      </c>
      <c r="F1199" s="121">
        <v>7</v>
      </c>
      <c r="G1199" s="121">
        <v>1</v>
      </c>
      <c r="H1199" s="121">
        <v>9</v>
      </c>
      <c r="R1199">
        <v>2</v>
      </c>
      <c r="S1199">
        <v>4</v>
      </c>
      <c r="T1199">
        <v>0</v>
      </c>
      <c r="U1199">
        <v>4</v>
      </c>
      <c r="V1199">
        <v>0</v>
      </c>
      <c r="W1199">
        <v>0</v>
      </c>
      <c r="X1199">
        <v>24</v>
      </c>
      <c r="Y1199">
        <v>35</v>
      </c>
      <c r="Z1199">
        <v>19</v>
      </c>
      <c r="AA1199">
        <v>19</v>
      </c>
      <c r="AB1199">
        <v>19</v>
      </c>
      <c r="AC1199">
        <v>23</v>
      </c>
      <c r="AD1199">
        <v>20</v>
      </c>
      <c r="AE1199">
        <v>14</v>
      </c>
      <c r="AF1199">
        <v>0</v>
      </c>
      <c r="AG1199">
        <v>0</v>
      </c>
      <c r="AH1199">
        <v>2</v>
      </c>
      <c r="AI1199">
        <v>1</v>
      </c>
      <c r="AJ1199">
        <v>1</v>
      </c>
      <c r="AK1199">
        <v>0</v>
      </c>
      <c r="AL1199">
        <v>1</v>
      </c>
      <c r="AM1199">
        <v>0</v>
      </c>
      <c r="AN1199">
        <v>3</v>
      </c>
      <c r="AO1199">
        <v>1</v>
      </c>
      <c r="AP1199">
        <v>0</v>
      </c>
      <c r="AQ1199">
        <v>0</v>
      </c>
      <c r="AR1199">
        <v>0</v>
      </c>
      <c r="AS1199">
        <v>4</v>
      </c>
      <c r="AT1199">
        <v>3</v>
      </c>
      <c r="AU1199">
        <v>0</v>
      </c>
      <c r="AV1199">
        <v>5</v>
      </c>
      <c r="AW1199">
        <v>6</v>
      </c>
      <c r="AX1199">
        <v>1</v>
      </c>
      <c r="AY1199">
        <v>1</v>
      </c>
      <c r="AZ1199">
        <v>0</v>
      </c>
      <c r="BA1199">
        <v>0</v>
      </c>
      <c r="BB1199">
        <v>1</v>
      </c>
      <c r="BC1199">
        <v>0</v>
      </c>
      <c r="BD1199">
        <v>0</v>
      </c>
      <c r="BE1199">
        <v>3</v>
      </c>
      <c r="BF1199">
        <v>7</v>
      </c>
      <c r="BG1199">
        <v>2</v>
      </c>
      <c r="BH1199">
        <v>7</v>
      </c>
      <c r="BI1199">
        <v>1</v>
      </c>
      <c r="BJ1199">
        <v>9</v>
      </c>
    </row>
    <row r="1200" spans="3:62" x14ac:dyDescent="0.2">
      <c r="C1200" s="121">
        <v>1</v>
      </c>
      <c r="D1200" s="121">
        <v>1</v>
      </c>
      <c r="E1200" s="121">
        <v>4</v>
      </c>
      <c r="F1200" s="121">
        <v>2</v>
      </c>
      <c r="G1200" s="121">
        <v>0</v>
      </c>
      <c r="H1200" s="121">
        <v>2</v>
      </c>
      <c r="R1200">
        <v>0</v>
      </c>
      <c r="S1200">
        <v>5</v>
      </c>
      <c r="T1200">
        <v>3</v>
      </c>
      <c r="U1200">
        <v>6</v>
      </c>
      <c r="V1200">
        <v>0</v>
      </c>
      <c r="W1200">
        <v>0</v>
      </c>
      <c r="X1200">
        <v>29</v>
      </c>
      <c r="Y1200">
        <v>21</v>
      </c>
      <c r="Z1200">
        <v>26</v>
      </c>
      <c r="AA1200">
        <v>20</v>
      </c>
      <c r="AB1200">
        <v>19</v>
      </c>
      <c r="AC1200">
        <v>35</v>
      </c>
      <c r="AD1200">
        <v>15</v>
      </c>
      <c r="AE1200">
        <v>17</v>
      </c>
      <c r="AF1200">
        <v>0</v>
      </c>
      <c r="AG1200">
        <v>0</v>
      </c>
      <c r="AH1200">
        <v>0</v>
      </c>
      <c r="AI1200">
        <v>0</v>
      </c>
      <c r="AJ1200">
        <v>2</v>
      </c>
      <c r="AK1200">
        <v>0</v>
      </c>
      <c r="AL1200">
        <v>1</v>
      </c>
      <c r="AM1200">
        <v>1</v>
      </c>
      <c r="AN1200">
        <v>3</v>
      </c>
      <c r="AO1200">
        <v>0</v>
      </c>
      <c r="AP1200">
        <v>0</v>
      </c>
      <c r="AQ1200">
        <v>0</v>
      </c>
      <c r="AR1200">
        <v>1</v>
      </c>
      <c r="AS1200">
        <v>7</v>
      </c>
      <c r="AT1200">
        <v>4</v>
      </c>
      <c r="AU1200">
        <v>0</v>
      </c>
      <c r="AV1200">
        <v>1</v>
      </c>
      <c r="AW1200">
        <v>8</v>
      </c>
      <c r="AX1200">
        <v>1</v>
      </c>
      <c r="AY1200">
        <v>1</v>
      </c>
      <c r="AZ1200">
        <v>0</v>
      </c>
      <c r="BA1200">
        <v>0</v>
      </c>
      <c r="BB1200">
        <v>0</v>
      </c>
      <c r="BC1200">
        <v>1</v>
      </c>
      <c r="BD1200">
        <v>0</v>
      </c>
      <c r="BE1200">
        <v>1</v>
      </c>
      <c r="BF1200">
        <v>1</v>
      </c>
      <c r="BG1200">
        <v>4</v>
      </c>
      <c r="BH1200">
        <v>2</v>
      </c>
      <c r="BI1200">
        <v>0</v>
      </c>
      <c r="BJ1200">
        <v>2</v>
      </c>
    </row>
    <row r="1201" spans="3:62" x14ac:dyDescent="0.2">
      <c r="C1201" s="121">
        <v>0</v>
      </c>
      <c r="D1201" s="121">
        <v>5</v>
      </c>
      <c r="E1201" s="121">
        <v>0</v>
      </c>
      <c r="F1201" s="121">
        <v>4</v>
      </c>
      <c r="G1201" s="121">
        <v>1</v>
      </c>
      <c r="H1201" s="121">
        <v>3</v>
      </c>
      <c r="R1201">
        <v>4</v>
      </c>
      <c r="S1201">
        <v>1</v>
      </c>
      <c r="T1201">
        <v>1</v>
      </c>
      <c r="U1201">
        <v>3</v>
      </c>
      <c r="V1201">
        <v>0</v>
      </c>
      <c r="W1201">
        <v>0</v>
      </c>
      <c r="X1201">
        <v>16</v>
      </c>
      <c r="Y1201">
        <v>25</v>
      </c>
      <c r="Z1201">
        <v>18</v>
      </c>
      <c r="AA1201">
        <v>20</v>
      </c>
      <c r="AB1201">
        <v>15</v>
      </c>
      <c r="AC1201">
        <v>32</v>
      </c>
      <c r="AD1201">
        <v>22</v>
      </c>
      <c r="AE1201">
        <v>28</v>
      </c>
      <c r="AF1201">
        <v>0</v>
      </c>
      <c r="AG1201">
        <v>0</v>
      </c>
      <c r="AH1201">
        <v>0</v>
      </c>
      <c r="AI1201">
        <v>2</v>
      </c>
      <c r="AJ1201">
        <v>1</v>
      </c>
      <c r="AK1201">
        <v>0</v>
      </c>
      <c r="AL1201">
        <v>0</v>
      </c>
      <c r="AM1201">
        <v>0</v>
      </c>
      <c r="AN1201">
        <v>3</v>
      </c>
      <c r="AO1201">
        <v>0</v>
      </c>
      <c r="AP1201">
        <v>0</v>
      </c>
      <c r="AQ1201">
        <v>0</v>
      </c>
      <c r="AR1201">
        <v>1</v>
      </c>
      <c r="AS1201">
        <v>2</v>
      </c>
      <c r="AT1201">
        <v>1</v>
      </c>
      <c r="AU1201">
        <v>1</v>
      </c>
      <c r="AV1201">
        <v>5</v>
      </c>
      <c r="AW1201">
        <v>5</v>
      </c>
      <c r="AX1201">
        <v>0</v>
      </c>
      <c r="AY1201">
        <v>2</v>
      </c>
      <c r="AZ1201">
        <v>0</v>
      </c>
      <c r="BA1201">
        <v>0</v>
      </c>
      <c r="BB1201">
        <v>1</v>
      </c>
      <c r="BC1201">
        <v>2</v>
      </c>
      <c r="BD1201">
        <v>0</v>
      </c>
      <c r="BE1201">
        <v>0</v>
      </c>
      <c r="BF1201">
        <v>5</v>
      </c>
      <c r="BG1201">
        <v>0</v>
      </c>
      <c r="BH1201">
        <v>4</v>
      </c>
      <c r="BI1201">
        <v>1</v>
      </c>
      <c r="BJ1201">
        <v>3</v>
      </c>
    </row>
    <row r="1202" spans="3:62" x14ac:dyDescent="0.2">
      <c r="C1202" s="121">
        <v>2</v>
      </c>
      <c r="D1202" s="121">
        <v>0</v>
      </c>
      <c r="E1202" s="121">
        <v>1</v>
      </c>
      <c r="F1202" s="121">
        <v>0</v>
      </c>
      <c r="G1202" s="121">
        <v>2</v>
      </c>
      <c r="H1202" s="121">
        <v>5</v>
      </c>
      <c r="R1202">
        <v>4</v>
      </c>
      <c r="S1202">
        <v>4</v>
      </c>
      <c r="T1202">
        <v>1</v>
      </c>
      <c r="U1202">
        <v>3</v>
      </c>
      <c r="V1202">
        <v>0</v>
      </c>
      <c r="W1202">
        <v>0</v>
      </c>
      <c r="X1202">
        <v>15</v>
      </c>
      <c r="Y1202">
        <v>22</v>
      </c>
      <c r="Z1202">
        <v>16</v>
      </c>
      <c r="AA1202">
        <v>24</v>
      </c>
      <c r="AB1202">
        <v>21</v>
      </c>
      <c r="AC1202">
        <v>28</v>
      </c>
      <c r="AD1202">
        <v>21</v>
      </c>
      <c r="AE1202">
        <v>24</v>
      </c>
      <c r="AF1202">
        <v>0</v>
      </c>
      <c r="AG1202">
        <v>0</v>
      </c>
      <c r="AH1202">
        <v>1</v>
      </c>
      <c r="AI1202">
        <v>0</v>
      </c>
      <c r="AJ1202">
        <v>0</v>
      </c>
      <c r="AK1202">
        <v>0</v>
      </c>
      <c r="AL1202">
        <v>1</v>
      </c>
      <c r="AM1202">
        <v>0</v>
      </c>
      <c r="AN1202">
        <v>2</v>
      </c>
      <c r="AO1202">
        <v>0</v>
      </c>
      <c r="AP1202">
        <v>0</v>
      </c>
      <c r="AQ1202">
        <v>0</v>
      </c>
      <c r="AR1202">
        <v>0</v>
      </c>
      <c r="AS1202">
        <v>2</v>
      </c>
      <c r="AT1202">
        <v>1</v>
      </c>
      <c r="AU1202">
        <v>0</v>
      </c>
      <c r="AV1202">
        <v>1</v>
      </c>
      <c r="AW1202">
        <v>5</v>
      </c>
      <c r="AX1202">
        <v>1</v>
      </c>
      <c r="AY1202">
        <v>1</v>
      </c>
      <c r="AZ1202">
        <v>0</v>
      </c>
      <c r="BA1202">
        <v>0</v>
      </c>
      <c r="BB1202">
        <v>0</v>
      </c>
      <c r="BC1202">
        <v>0</v>
      </c>
      <c r="BD1202">
        <v>0</v>
      </c>
      <c r="BE1202">
        <v>2</v>
      </c>
      <c r="BF1202">
        <v>0</v>
      </c>
      <c r="BG1202">
        <v>1</v>
      </c>
      <c r="BH1202">
        <v>0</v>
      </c>
      <c r="BI1202">
        <v>2</v>
      </c>
      <c r="BJ1202">
        <v>5</v>
      </c>
    </row>
    <row r="1203" spans="3:62" x14ac:dyDescent="0.2">
      <c r="C1203" s="121">
        <v>0</v>
      </c>
      <c r="D1203" s="121">
        <v>0</v>
      </c>
      <c r="E1203" s="121">
        <v>2</v>
      </c>
      <c r="F1203" s="121">
        <v>0</v>
      </c>
      <c r="G1203" s="121">
        <v>0</v>
      </c>
      <c r="H1203" s="121">
        <v>5</v>
      </c>
      <c r="R1203">
        <v>1</v>
      </c>
      <c r="S1203">
        <v>2</v>
      </c>
      <c r="T1203">
        <v>0</v>
      </c>
      <c r="U1203">
        <v>3</v>
      </c>
      <c r="V1203">
        <v>0</v>
      </c>
      <c r="W1203">
        <v>0</v>
      </c>
      <c r="X1203">
        <v>16</v>
      </c>
      <c r="Y1203">
        <v>17</v>
      </c>
      <c r="Z1203">
        <v>16</v>
      </c>
      <c r="AA1203">
        <v>26</v>
      </c>
      <c r="AB1203">
        <v>22</v>
      </c>
      <c r="AC1203">
        <v>30</v>
      </c>
      <c r="AD1203">
        <v>22</v>
      </c>
      <c r="AE1203">
        <v>26</v>
      </c>
      <c r="AF1203">
        <v>0</v>
      </c>
      <c r="AG1203">
        <v>0</v>
      </c>
      <c r="AH1203">
        <v>2</v>
      </c>
      <c r="AI1203">
        <v>0</v>
      </c>
      <c r="AJ1203">
        <v>0</v>
      </c>
      <c r="AK1203">
        <v>0</v>
      </c>
      <c r="AL1203">
        <v>0</v>
      </c>
      <c r="AM1203">
        <v>1</v>
      </c>
      <c r="AN1203">
        <v>2</v>
      </c>
      <c r="AO1203">
        <v>0</v>
      </c>
      <c r="AP1203">
        <v>0</v>
      </c>
      <c r="AQ1203">
        <v>0</v>
      </c>
      <c r="AR1203">
        <v>1</v>
      </c>
      <c r="AS1203">
        <v>1</v>
      </c>
      <c r="AT1203">
        <v>4</v>
      </c>
      <c r="AU1203">
        <v>0</v>
      </c>
      <c r="AV1203">
        <v>1</v>
      </c>
      <c r="AW1203">
        <v>6</v>
      </c>
      <c r="AX1203">
        <v>1</v>
      </c>
      <c r="AY1203">
        <v>1</v>
      </c>
      <c r="AZ1203">
        <v>0</v>
      </c>
      <c r="BA1203">
        <v>0</v>
      </c>
      <c r="BB1203">
        <v>1</v>
      </c>
      <c r="BC1203">
        <v>1</v>
      </c>
      <c r="BD1203">
        <v>0</v>
      </c>
      <c r="BE1203">
        <v>0</v>
      </c>
      <c r="BF1203">
        <v>0</v>
      </c>
      <c r="BG1203">
        <v>2</v>
      </c>
      <c r="BH1203">
        <v>0</v>
      </c>
      <c r="BI1203">
        <v>0</v>
      </c>
      <c r="BJ1203">
        <v>5</v>
      </c>
    </row>
    <row r="1204" spans="3:62" x14ac:dyDescent="0.2">
      <c r="C1204" s="121">
        <v>5</v>
      </c>
      <c r="D1204" s="121">
        <v>1</v>
      </c>
      <c r="E1204" s="121">
        <v>0</v>
      </c>
      <c r="F1204" s="121">
        <v>2</v>
      </c>
      <c r="G1204" s="121">
        <v>1</v>
      </c>
      <c r="H1204" s="121">
        <v>1</v>
      </c>
      <c r="R1204">
        <v>7</v>
      </c>
      <c r="S1204">
        <v>2</v>
      </c>
      <c r="T1204">
        <v>0</v>
      </c>
      <c r="U1204">
        <v>1</v>
      </c>
      <c r="V1204">
        <v>0</v>
      </c>
      <c r="W1204">
        <v>0</v>
      </c>
      <c r="X1204">
        <v>15</v>
      </c>
      <c r="Y1204">
        <v>22</v>
      </c>
      <c r="Z1204">
        <v>17</v>
      </c>
      <c r="AA1204">
        <v>18</v>
      </c>
      <c r="AB1204">
        <v>7</v>
      </c>
      <c r="AC1204">
        <v>23</v>
      </c>
      <c r="AD1204">
        <v>16</v>
      </c>
      <c r="AE1204">
        <v>16</v>
      </c>
      <c r="AF1204">
        <v>0</v>
      </c>
      <c r="AG1204">
        <v>0</v>
      </c>
      <c r="AH1204">
        <v>1</v>
      </c>
      <c r="AI1204">
        <v>0</v>
      </c>
      <c r="AJ1204">
        <v>0</v>
      </c>
      <c r="AK1204">
        <v>0</v>
      </c>
      <c r="AL1204">
        <v>0</v>
      </c>
      <c r="AM1204">
        <v>0</v>
      </c>
      <c r="AN1204">
        <v>1</v>
      </c>
      <c r="AO1204">
        <v>0</v>
      </c>
      <c r="AP1204">
        <v>0</v>
      </c>
      <c r="AQ1204">
        <v>0</v>
      </c>
      <c r="AR1204">
        <v>0</v>
      </c>
      <c r="AS1204">
        <v>2</v>
      </c>
      <c r="AT1204">
        <v>3</v>
      </c>
      <c r="AU1204">
        <v>0</v>
      </c>
      <c r="AV1204">
        <v>1</v>
      </c>
      <c r="AW1204">
        <v>9</v>
      </c>
      <c r="AX1204">
        <v>0</v>
      </c>
      <c r="AY1204">
        <v>1</v>
      </c>
      <c r="AZ1204">
        <v>0</v>
      </c>
      <c r="BA1204">
        <v>0</v>
      </c>
      <c r="BB1204">
        <v>0</v>
      </c>
      <c r="BC1204">
        <v>0</v>
      </c>
      <c r="BD1204">
        <v>0</v>
      </c>
      <c r="BE1204">
        <v>5</v>
      </c>
      <c r="BF1204">
        <v>1</v>
      </c>
      <c r="BG1204">
        <v>0</v>
      </c>
      <c r="BH1204">
        <v>2</v>
      </c>
      <c r="BI1204">
        <v>1</v>
      </c>
      <c r="BJ1204">
        <v>1</v>
      </c>
    </row>
    <row r="1205" spans="3:62" x14ac:dyDescent="0.2">
      <c r="C1205" s="121">
        <v>2</v>
      </c>
      <c r="D1205" s="121">
        <v>2</v>
      </c>
      <c r="E1205" s="121">
        <v>1</v>
      </c>
      <c r="F1205" s="121">
        <v>2</v>
      </c>
      <c r="G1205" s="121">
        <v>1</v>
      </c>
      <c r="H1205" s="121">
        <v>2</v>
      </c>
      <c r="R1205">
        <v>1</v>
      </c>
      <c r="S1205">
        <v>4</v>
      </c>
      <c r="T1205">
        <v>0</v>
      </c>
      <c r="U1205">
        <v>0</v>
      </c>
      <c r="V1205">
        <v>0</v>
      </c>
      <c r="W1205">
        <v>0</v>
      </c>
      <c r="X1205">
        <v>21</v>
      </c>
      <c r="Y1205">
        <v>19</v>
      </c>
      <c r="Z1205">
        <v>18</v>
      </c>
      <c r="AA1205">
        <v>18</v>
      </c>
      <c r="AB1205">
        <v>14</v>
      </c>
      <c r="AC1205">
        <v>16</v>
      </c>
      <c r="AD1205">
        <v>12</v>
      </c>
      <c r="AE1205">
        <v>19</v>
      </c>
      <c r="AF1205">
        <v>0</v>
      </c>
      <c r="AG1205">
        <v>0</v>
      </c>
      <c r="AH1205">
        <v>0</v>
      </c>
      <c r="AI1205">
        <v>0</v>
      </c>
      <c r="AJ1205">
        <v>0</v>
      </c>
      <c r="AK1205">
        <v>0</v>
      </c>
      <c r="AL1205">
        <v>2</v>
      </c>
      <c r="AM1205">
        <v>0</v>
      </c>
      <c r="AN1205">
        <v>0</v>
      </c>
      <c r="AO1205">
        <v>0</v>
      </c>
      <c r="AP1205">
        <v>0</v>
      </c>
      <c r="AQ1205">
        <v>0</v>
      </c>
      <c r="AR1205">
        <v>0</v>
      </c>
      <c r="AS1205">
        <v>1</v>
      </c>
      <c r="AT1205">
        <v>0</v>
      </c>
      <c r="AU1205">
        <v>2</v>
      </c>
      <c r="AV1205">
        <v>1</v>
      </c>
      <c r="AW1205">
        <v>6</v>
      </c>
      <c r="AX1205">
        <v>0</v>
      </c>
      <c r="AY1205">
        <v>3</v>
      </c>
      <c r="AZ1205">
        <v>0</v>
      </c>
      <c r="BA1205">
        <v>0</v>
      </c>
      <c r="BB1205">
        <v>0</v>
      </c>
      <c r="BC1205">
        <v>0</v>
      </c>
      <c r="BD1205">
        <v>0</v>
      </c>
      <c r="BE1205">
        <v>2</v>
      </c>
      <c r="BF1205">
        <v>2</v>
      </c>
      <c r="BG1205">
        <v>1</v>
      </c>
      <c r="BH1205">
        <v>2</v>
      </c>
      <c r="BI1205">
        <v>1</v>
      </c>
      <c r="BJ1205">
        <v>2</v>
      </c>
    </row>
    <row r="1206" spans="3:62" x14ac:dyDescent="0.2">
      <c r="C1206" s="121">
        <v>0</v>
      </c>
      <c r="D1206" s="121">
        <v>3</v>
      </c>
      <c r="E1206" s="121">
        <v>3</v>
      </c>
      <c r="F1206" s="121">
        <v>3</v>
      </c>
      <c r="G1206" s="121">
        <v>2</v>
      </c>
      <c r="H1206" s="121">
        <v>3</v>
      </c>
      <c r="R1206">
        <v>0</v>
      </c>
      <c r="S1206">
        <v>0</v>
      </c>
      <c r="T1206">
        <v>0</v>
      </c>
      <c r="U1206">
        <v>1</v>
      </c>
      <c r="V1206">
        <v>0</v>
      </c>
      <c r="W1206">
        <v>0</v>
      </c>
      <c r="X1206">
        <v>12</v>
      </c>
      <c r="Y1206">
        <v>19</v>
      </c>
      <c r="Z1206">
        <v>15</v>
      </c>
      <c r="AA1206">
        <v>22</v>
      </c>
      <c r="AB1206">
        <v>18</v>
      </c>
      <c r="AC1206">
        <v>21</v>
      </c>
      <c r="AD1206">
        <v>17</v>
      </c>
      <c r="AE1206">
        <v>17</v>
      </c>
      <c r="AF1206">
        <v>0</v>
      </c>
      <c r="AG1206">
        <v>0</v>
      </c>
      <c r="AH1206">
        <v>0</v>
      </c>
      <c r="AI1206">
        <v>0</v>
      </c>
      <c r="AJ1206">
        <v>0</v>
      </c>
      <c r="AK1206">
        <v>0</v>
      </c>
      <c r="AL1206">
        <v>0</v>
      </c>
      <c r="AM1206">
        <v>0</v>
      </c>
      <c r="AN1206">
        <v>1</v>
      </c>
      <c r="AO1206">
        <v>0</v>
      </c>
      <c r="AP1206">
        <v>0</v>
      </c>
      <c r="AQ1206">
        <v>0</v>
      </c>
      <c r="AR1206">
        <v>0</v>
      </c>
      <c r="AS1206">
        <v>2</v>
      </c>
      <c r="AT1206">
        <v>2</v>
      </c>
      <c r="AU1206">
        <v>0</v>
      </c>
      <c r="AV1206">
        <v>1</v>
      </c>
      <c r="AW1206">
        <v>4</v>
      </c>
      <c r="AX1206">
        <v>0</v>
      </c>
      <c r="AY1206">
        <v>0</v>
      </c>
      <c r="AZ1206">
        <v>0</v>
      </c>
      <c r="BA1206">
        <v>0</v>
      </c>
      <c r="BB1206">
        <v>1</v>
      </c>
      <c r="BC1206">
        <v>0</v>
      </c>
      <c r="BD1206">
        <v>0</v>
      </c>
      <c r="BE1206">
        <v>0</v>
      </c>
      <c r="BF1206">
        <v>3</v>
      </c>
      <c r="BG1206">
        <v>3</v>
      </c>
      <c r="BH1206">
        <v>3</v>
      </c>
      <c r="BI1206">
        <v>2</v>
      </c>
      <c r="BJ1206">
        <v>3</v>
      </c>
    </row>
    <row r="1207" spans="3:62" x14ac:dyDescent="0.2">
      <c r="C1207" s="121">
        <v>1</v>
      </c>
      <c r="D1207" s="121">
        <v>1</v>
      </c>
      <c r="E1207" s="121">
        <v>1</v>
      </c>
      <c r="F1207" s="121">
        <v>2</v>
      </c>
      <c r="G1207" s="121">
        <v>0</v>
      </c>
      <c r="H1207" s="121">
        <v>0</v>
      </c>
      <c r="R1207">
        <v>3</v>
      </c>
      <c r="S1207">
        <v>0</v>
      </c>
      <c r="T1207">
        <v>2</v>
      </c>
      <c r="U1207">
        <v>2</v>
      </c>
      <c r="V1207">
        <v>0</v>
      </c>
      <c r="W1207">
        <v>0</v>
      </c>
      <c r="X1207">
        <v>17</v>
      </c>
      <c r="Y1207">
        <v>14</v>
      </c>
      <c r="Z1207">
        <v>14</v>
      </c>
      <c r="AA1207">
        <v>19</v>
      </c>
      <c r="AB1207">
        <v>15</v>
      </c>
      <c r="AC1207">
        <v>16</v>
      </c>
      <c r="AD1207">
        <v>18</v>
      </c>
      <c r="AE1207">
        <v>13</v>
      </c>
      <c r="AF1207">
        <v>0</v>
      </c>
      <c r="AG1207">
        <v>0</v>
      </c>
      <c r="AH1207">
        <v>1</v>
      </c>
      <c r="AI1207">
        <v>0</v>
      </c>
      <c r="AJ1207">
        <v>0</v>
      </c>
      <c r="AK1207">
        <v>0</v>
      </c>
      <c r="AL1207">
        <v>0</v>
      </c>
      <c r="AM1207">
        <v>0</v>
      </c>
      <c r="AN1207">
        <v>0</v>
      </c>
      <c r="AO1207">
        <v>0</v>
      </c>
      <c r="AP1207">
        <v>0</v>
      </c>
      <c r="AQ1207">
        <v>0</v>
      </c>
      <c r="AR1207">
        <v>1</v>
      </c>
      <c r="AS1207">
        <v>0</v>
      </c>
      <c r="AT1207">
        <v>0</v>
      </c>
      <c r="AU1207">
        <v>0</v>
      </c>
      <c r="AV1207">
        <v>1</v>
      </c>
      <c r="AW1207">
        <v>4</v>
      </c>
      <c r="AX1207">
        <v>0</v>
      </c>
      <c r="AY1207">
        <v>2</v>
      </c>
      <c r="AZ1207">
        <v>0</v>
      </c>
      <c r="BA1207">
        <v>0</v>
      </c>
      <c r="BB1207">
        <v>0</v>
      </c>
      <c r="BC1207">
        <v>0</v>
      </c>
      <c r="BD1207">
        <v>0</v>
      </c>
      <c r="BE1207">
        <v>1</v>
      </c>
      <c r="BF1207">
        <v>1</v>
      </c>
      <c r="BG1207">
        <v>1</v>
      </c>
      <c r="BH1207">
        <v>2</v>
      </c>
      <c r="BI1207">
        <v>0</v>
      </c>
      <c r="BJ1207">
        <v>0</v>
      </c>
    </row>
    <row r="1208" spans="3:62" x14ac:dyDescent="0.2">
      <c r="C1208" s="121">
        <v>0</v>
      </c>
      <c r="D1208" s="121">
        <v>4</v>
      </c>
      <c r="E1208" s="121">
        <v>1</v>
      </c>
      <c r="F1208" s="121">
        <v>2</v>
      </c>
      <c r="G1208" s="121">
        <v>0</v>
      </c>
      <c r="H1208" s="121">
        <v>1</v>
      </c>
      <c r="R1208">
        <v>1</v>
      </c>
      <c r="S1208">
        <v>0</v>
      </c>
      <c r="T1208">
        <v>0</v>
      </c>
      <c r="U1208">
        <v>0</v>
      </c>
      <c r="V1208">
        <v>0</v>
      </c>
      <c r="W1208">
        <v>0</v>
      </c>
      <c r="X1208">
        <v>18</v>
      </c>
      <c r="Y1208">
        <v>10</v>
      </c>
      <c r="Z1208">
        <v>10</v>
      </c>
      <c r="AA1208">
        <v>16</v>
      </c>
      <c r="AB1208">
        <v>13</v>
      </c>
      <c r="AC1208">
        <v>22</v>
      </c>
      <c r="AD1208">
        <v>15</v>
      </c>
      <c r="AE1208">
        <v>12</v>
      </c>
      <c r="AF1208">
        <v>0</v>
      </c>
      <c r="AG1208">
        <v>0</v>
      </c>
      <c r="AH1208">
        <v>0</v>
      </c>
      <c r="AI1208">
        <v>0</v>
      </c>
      <c r="AJ1208">
        <v>1</v>
      </c>
      <c r="AK1208">
        <v>0</v>
      </c>
      <c r="AL1208">
        <v>0</v>
      </c>
      <c r="AM1208">
        <v>0</v>
      </c>
      <c r="AN1208">
        <v>0</v>
      </c>
      <c r="AO1208">
        <v>0</v>
      </c>
      <c r="AP1208">
        <v>0</v>
      </c>
      <c r="AQ1208">
        <v>0</v>
      </c>
      <c r="AR1208">
        <v>1</v>
      </c>
      <c r="AS1208">
        <v>1</v>
      </c>
      <c r="AT1208">
        <v>4</v>
      </c>
      <c r="AU1208">
        <v>0</v>
      </c>
      <c r="AV1208">
        <v>1</v>
      </c>
      <c r="AW1208">
        <v>1</v>
      </c>
      <c r="AX1208">
        <v>0</v>
      </c>
      <c r="AY1208">
        <v>0</v>
      </c>
      <c r="AZ1208">
        <v>0</v>
      </c>
      <c r="BA1208">
        <v>0</v>
      </c>
      <c r="BB1208">
        <v>1</v>
      </c>
      <c r="BC1208">
        <v>0</v>
      </c>
      <c r="BD1208">
        <v>0</v>
      </c>
      <c r="BE1208">
        <v>0</v>
      </c>
      <c r="BF1208">
        <v>4</v>
      </c>
      <c r="BG1208">
        <v>1</v>
      </c>
      <c r="BH1208">
        <v>2</v>
      </c>
      <c r="BI1208">
        <v>0</v>
      </c>
      <c r="BJ1208">
        <v>1</v>
      </c>
    </row>
    <row r="1209" spans="3:62" x14ac:dyDescent="0.2">
      <c r="C1209" s="121">
        <v>0</v>
      </c>
      <c r="D1209" s="121">
        <v>0</v>
      </c>
      <c r="E1209" s="121">
        <v>0</v>
      </c>
      <c r="F1209" s="121">
        <v>0</v>
      </c>
      <c r="G1209" s="121">
        <v>0</v>
      </c>
      <c r="H1209" s="121">
        <v>0</v>
      </c>
      <c r="R1209">
        <v>1</v>
      </c>
      <c r="S1209">
        <v>1</v>
      </c>
      <c r="T1209">
        <v>0</v>
      </c>
      <c r="U1209">
        <v>0</v>
      </c>
      <c r="V1209">
        <v>0</v>
      </c>
      <c r="W1209">
        <v>0</v>
      </c>
      <c r="X1209">
        <v>11</v>
      </c>
      <c r="Y1209">
        <v>14</v>
      </c>
      <c r="Z1209">
        <v>8</v>
      </c>
      <c r="AA1209">
        <v>12</v>
      </c>
      <c r="AB1209">
        <v>17</v>
      </c>
      <c r="AC1209">
        <v>21</v>
      </c>
      <c r="AD1209">
        <v>7</v>
      </c>
      <c r="AE1209">
        <v>5</v>
      </c>
      <c r="AF1209">
        <v>0</v>
      </c>
      <c r="AG1209">
        <v>0</v>
      </c>
      <c r="AH1209">
        <v>0</v>
      </c>
      <c r="AI1209">
        <v>0</v>
      </c>
      <c r="AJ1209">
        <v>1</v>
      </c>
      <c r="AK1209">
        <v>0</v>
      </c>
      <c r="AL1209">
        <v>0</v>
      </c>
      <c r="AM1209">
        <v>1</v>
      </c>
      <c r="AN1209">
        <v>4</v>
      </c>
      <c r="AO1209">
        <v>0</v>
      </c>
      <c r="AP1209">
        <v>0</v>
      </c>
      <c r="AQ1209">
        <v>0</v>
      </c>
      <c r="AR1209">
        <v>0</v>
      </c>
      <c r="AS1209">
        <v>2</v>
      </c>
      <c r="AT1209">
        <v>0</v>
      </c>
      <c r="AU1209">
        <v>0</v>
      </c>
      <c r="AV1209">
        <v>0</v>
      </c>
      <c r="AW1209">
        <v>1</v>
      </c>
      <c r="AX1209">
        <v>0</v>
      </c>
      <c r="AY1209">
        <v>0</v>
      </c>
      <c r="AZ1209">
        <v>0</v>
      </c>
      <c r="BA1209">
        <v>0</v>
      </c>
      <c r="BB1209">
        <v>0</v>
      </c>
      <c r="BC1209">
        <v>0</v>
      </c>
      <c r="BD1209">
        <v>0</v>
      </c>
      <c r="BE1209">
        <v>0</v>
      </c>
      <c r="BF1209">
        <v>0</v>
      </c>
      <c r="BG1209">
        <v>0</v>
      </c>
      <c r="BH1209">
        <v>0</v>
      </c>
      <c r="BI1209">
        <v>0</v>
      </c>
      <c r="BJ1209">
        <v>0</v>
      </c>
    </row>
    <row r="1210" spans="3:62" x14ac:dyDescent="0.2">
      <c r="C1210" s="121">
        <v>1</v>
      </c>
      <c r="D1210" s="121">
        <v>1</v>
      </c>
      <c r="E1210" s="121">
        <v>0</v>
      </c>
      <c r="F1210" s="121">
        <v>2</v>
      </c>
      <c r="G1210" s="121">
        <v>2</v>
      </c>
      <c r="H1210" s="121">
        <v>0</v>
      </c>
      <c r="R1210">
        <v>1</v>
      </c>
      <c r="S1210">
        <v>0</v>
      </c>
      <c r="T1210">
        <v>1</v>
      </c>
      <c r="U1210">
        <v>1</v>
      </c>
      <c r="V1210">
        <v>0</v>
      </c>
      <c r="W1210">
        <v>0</v>
      </c>
      <c r="X1210">
        <v>11</v>
      </c>
      <c r="Y1210">
        <v>16</v>
      </c>
      <c r="Z1210">
        <v>15</v>
      </c>
      <c r="AA1210">
        <v>16</v>
      </c>
      <c r="AB1210">
        <v>13</v>
      </c>
      <c r="AC1210">
        <v>17</v>
      </c>
      <c r="AD1210">
        <v>13</v>
      </c>
      <c r="AE1210">
        <v>9</v>
      </c>
      <c r="AF1210">
        <v>0</v>
      </c>
      <c r="AG1210">
        <v>0</v>
      </c>
      <c r="AH1210">
        <v>0</v>
      </c>
      <c r="AI1210">
        <v>0</v>
      </c>
      <c r="AJ1210">
        <v>0</v>
      </c>
      <c r="AK1210">
        <v>0</v>
      </c>
      <c r="AL1210">
        <v>0</v>
      </c>
      <c r="AM1210">
        <v>0</v>
      </c>
      <c r="AN1210">
        <v>2</v>
      </c>
      <c r="AO1210">
        <v>0</v>
      </c>
      <c r="AP1210">
        <v>0</v>
      </c>
      <c r="AQ1210">
        <v>0</v>
      </c>
      <c r="AR1210">
        <v>0</v>
      </c>
      <c r="AS1210">
        <v>2</v>
      </c>
      <c r="AT1210">
        <v>3</v>
      </c>
      <c r="AU1210">
        <v>0</v>
      </c>
      <c r="AV1210">
        <v>0</v>
      </c>
      <c r="AW1210">
        <v>5</v>
      </c>
      <c r="AX1210">
        <v>0</v>
      </c>
      <c r="AY1210">
        <v>0</v>
      </c>
      <c r="AZ1210">
        <v>0</v>
      </c>
      <c r="BA1210">
        <v>0</v>
      </c>
      <c r="BB1210">
        <v>0</v>
      </c>
      <c r="BC1210">
        <v>0</v>
      </c>
      <c r="BD1210">
        <v>0</v>
      </c>
      <c r="BE1210">
        <v>1</v>
      </c>
      <c r="BF1210">
        <v>1</v>
      </c>
      <c r="BG1210">
        <v>0</v>
      </c>
      <c r="BH1210">
        <v>2</v>
      </c>
      <c r="BI1210">
        <v>2</v>
      </c>
      <c r="BJ1210">
        <v>0</v>
      </c>
    </row>
    <row r="1211" spans="3:62" x14ac:dyDescent="0.2">
      <c r="C1211" s="121">
        <v>1</v>
      </c>
      <c r="D1211" s="121">
        <v>2</v>
      </c>
      <c r="E1211" s="121">
        <v>0</v>
      </c>
      <c r="F1211" s="121">
        <v>1</v>
      </c>
      <c r="G1211" s="121">
        <v>1</v>
      </c>
      <c r="H1211" s="121">
        <v>1</v>
      </c>
      <c r="R1211">
        <v>1</v>
      </c>
      <c r="S1211">
        <v>0</v>
      </c>
      <c r="T1211">
        <v>0</v>
      </c>
      <c r="U1211">
        <v>0</v>
      </c>
      <c r="V1211">
        <v>0</v>
      </c>
      <c r="W1211">
        <v>0</v>
      </c>
      <c r="X1211">
        <v>7</v>
      </c>
      <c r="Y1211">
        <v>11</v>
      </c>
      <c r="Z1211">
        <v>11</v>
      </c>
      <c r="AA1211">
        <v>12</v>
      </c>
      <c r="AB1211">
        <v>8</v>
      </c>
      <c r="AC1211">
        <v>21</v>
      </c>
      <c r="AD1211">
        <v>16</v>
      </c>
      <c r="AE1211">
        <v>12</v>
      </c>
      <c r="AF1211">
        <v>0</v>
      </c>
      <c r="AG1211">
        <v>0</v>
      </c>
      <c r="AH1211">
        <v>0</v>
      </c>
      <c r="AI1211">
        <v>0</v>
      </c>
      <c r="AJ1211">
        <v>0</v>
      </c>
      <c r="AK1211">
        <v>0</v>
      </c>
      <c r="AL1211">
        <v>0</v>
      </c>
      <c r="AM1211">
        <v>0</v>
      </c>
      <c r="AN1211">
        <v>0</v>
      </c>
      <c r="AO1211">
        <v>0</v>
      </c>
      <c r="AP1211">
        <v>0</v>
      </c>
      <c r="AQ1211">
        <v>0</v>
      </c>
      <c r="AR1211">
        <v>0</v>
      </c>
      <c r="AS1211">
        <v>1</v>
      </c>
      <c r="AT1211">
        <v>2</v>
      </c>
      <c r="AU1211">
        <v>0</v>
      </c>
      <c r="AV1211">
        <v>1</v>
      </c>
      <c r="AW1211">
        <v>4</v>
      </c>
      <c r="AX1211">
        <v>0</v>
      </c>
      <c r="AY1211">
        <v>1</v>
      </c>
      <c r="AZ1211">
        <v>0</v>
      </c>
      <c r="BA1211">
        <v>0</v>
      </c>
      <c r="BB1211">
        <v>0</v>
      </c>
      <c r="BC1211">
        <v>0</v>
      </c>
      <c r="BD1211">
        <v>0</v>
      </c>
      <c r="BE1211">
        <v>1</v>
      </c>
      <c r="BF1211">
        <v>2</v>
      </c>
      <c r="BG1211">
        <v>0</v>
      </c>
      <c r="BH1211">
        <v>1</v>
      </c>
      <c r="BI1211">
        <v>1</v>
      </c>
      <c r="BJ1211">
        <v>1</v>
      </c>
    </row>
    <row r="1212" spans="3:62" x14ac:dyDescent="0.2">
      <c r="C1212" s="121">
        <v>0</v>
      </c>
      <c r="D1212" s="121">
        <v>0</v>
      </c>
      <c r="E1212" s="121">
        <v>1</v>
      </c>
      <c r="F1212" s="121">
        <v>0</v>
      </c>
      <c r="G1212" s="121">
        <v>0</v>
      </c>
      <c r="H1212" s="121">
        <v>1</v>
      </c>
      <c r="R1212">
        <v>1</v>
      </c>
      <c r="S1212">
        <v>2</v>
      </c>
      <c r="T1212">
        <v>0</v>
      </c>
      <c r="U1212">
        <v>0</v>
      </c>
      <c r="V1212">
        <v>0</v>
      </c>
      <c r="W1212">
        <v>0</v>
      </c>
      <c r="X1212">
        <v>11</v>
      </c>
      <c r="Y1212">
        <v>10</v>
      </c>
      <c r="Z1212">
        <v>20</v>
      </c>
      <c r="AA1212">
        <v>19</v>
      </c>
      <c r="AB1212">
        <v>6</v>
      </c>
      <c r="AC1212">
        <v>16</v>
      </c>
      <c r="AD1212">
        <v>13</v>
      </c>
      <c r="AE1212">
        <v>11</v>
      </c>
      <c r="AF1212">
        <v>0</v>
      </c>
      <c r="AG1212">
        <v>0</v>
      </c>
      <c r="AH1212">
        <v>1</v>
      </c>
      <c r="AI1212">
        <v>0</v>
      </c>
      <c r="AJ1212">
        <v>1</v>
      </c>
      <c r="AK1212">
        <v>0</v>
      </c>
      <c r="AL1212">
        <v>0</v>
      </c>
      <c r="AM1212">
        <v>0</v>
      </c>
      <c r="AN1212">
        <v>1</v>
      </c>
      <c r="AO1212">
        <v>0</v>
      </c>
      <c r="AP1212">
        <v>0</v>
      </c>
      <c r="AQ1212">
        <v>0</v>
      </c>
      <c r="AR1212">
        <v>1</v>
      </c>
      <c r="AS1212">
        <v>0</v>
      </c>
      <c r="AT1212">
        <v>1</v>
      </c>
      <c r="AU1212">
        <v>0</v>
      </c>
      <c r="AV1212">
        <v>1</v>
      </c>
      <c r="AW1212">
        <v>1</v>
      </c>
      <c r="AX1212">
        <v>0</v>
      </c>
      <c r="AY1212">
        <v>0</v>
      </c>
      <c r="AZ1212">
        <v>0</v>
      </c>
      <c r="BA1212">
        <v>0</v>
      </c>
      <c r="BB1212">
        <v>0</v>
      </c>
      <c r="BC1212">
        <v>0</v>
      </c>
      <c r="BD1212">
        <v>0</v>
      </c>
      <c r="BE1212">
        <v>0</v>
      </c>
      <c r="BF1212">
        <v>0</v>
      </c>
      <c r="BG1212">
        <v>1</v>
      </c>
      <c r="BH1212">
        <v>0</v>
      </c>
      <c r="BI1212">
        <v>0</v>
      </c>
      <c r="BJ1212">
        <v>1</v>
      </c>
    </row>
    <row r="1213" spans="3:62" x14ac:dyDescent="0.2">
      <c r="C1213" s="121">
        <v>0</v>
      </c>
      <c r="D1213" s="121">
        <v>0</v>
      </c>
      <c r="E1213" s="121">
        <v>0</v>
      </c>
      <c r="F1213" s="121">
        <v>0</v>
      </c>
      <c r="G1213" s="121">
        <v>0</v>
      </c>
      <c r="H1213" s="121">
        <v>0</v>
      </c>
      <c r="R1213">
        <v>1</v>
      </c>
      <c r="S1213">
        <v>0</v>
      </c>
      <c r="T1213">
        <v>0</v>
      </c>
      <c r="U1213">
        <v>0</v>
      </c>
      <c r="V1213">
        <v>0</v>
      </c>
      <c r="W1213">
        <v>0</v>
      </c>
      <c r="X1213">
        <v>12</v>
      </c>
      <c r="Y1213">
        <v>6</v>
      </c>
      <c r="Z1213">
        <v>6</v>
      </c>
      <c r="AA1213">
        <v>16</v>
      </c>
      <c r="AB1213">
        <v>7</v>
      </c>
      <c r="AC1213">
        <v>15</v>
      </c>
      <c r="AD1213">
        <v>9</v>
      </c>
      <c r="AE1213">
        <v>14</v>
      </c>
      <c r="AF1213">
        <v>0</v>
      </c>
      <c r="AG1213">
        <v>0</v>
      </c>
      <c r="AH1213">
        <v>0</v>
      </c>
      <c r="AI1213">
        <v>0</v>
      </c>
      <c r="AJ1213">
        <v>0</v>
      </c>
      <c r="AK1213">
        <v>1</v>
      </c>
      <c r="AL1213">
        <v>0</v>
      </c>
      <c r="AM1213">
        <v>0</v>
      </c>
      <c r="AN1213">
        <v>1</v>
      </c>
      <c r="AO1213">
        <v>0</v>
      </c>
      <c r="AP1213">
        <v>0</v>
      </c>
      <c r="AQ1213">
        <v>0</v>
      </c>
      <c r="AR1213">
        <v>0</v>
      </c>
      <c r="AS1213">
        <v>0</v>
      </c>
      <c r="AT1213">
        <v>1</v>
      </c>
      <c r="AU1213">
        <v>0</v>
      </c>
      <c r="AV1213">
        <v>0</v>
      </c>
      <c r="AW1213">
        <v>2</v>
      </c>
      <c r="AX1213">
        <v>0</v>
      </c>
      <c r="AY1213">
        <v>0</v>
      </c>
      <c r="AZ1213">
        <v>0</v>
      </c>
      <c r="BA1213">
        <v>0</v>
      </c>
      <c r="BB1213">
        <v>0</v>
      </c>
      <c r="BC1213">
        <v>0</v>
      </c>
      <c r="BD1213">
        <v>0</v>
      </c>
      <c r="BE1213">
        <v>0</v>
      </c>
      <c r="BF1213">
        <v>0</v>
      </c>
      <c r="BG1213">
        <v>0</v>
      </c>
      <c r="BH1213">
        <v>0</v>
      </c>
      <c r="BI1213">
        <v>0</v>
      </c>
      <c r="BJ1213">
        <v>0</v>
      </c>
    </row>
    <row r="1214" spans="3:62" x14ac:dyDescent="0.2">
      <c r="C1214" s="121">
        <v>0</v>
      </c>
      <c r="D1214" s="121">
        <v>0</v>
      </c>
      <c r="E1214" s="121">
        <v>0</v>
      </c>
      <c r="F1214" s="121">
        <v>0</v>
      </c>
      <c r="G1214" s="121">
        <v>0</v>
      </c>
      <c r="H1214" s="121">
        <v>2</v>
      </c>
      <c r="R1214">
        <v>0</v>
      </c>
      <c r="S1214">
        <v>1</v>
      </c>
      <c r="T1214">
        <v>0</v>
      </c>
      <c r="U1214">
        <v>0</v>
      </c>
      <c r="V1214">
        <v>0</v>
      </c>
      <c r="W1214">
        <v>0</v>
      </c>
      <c r="X1214">
        <v>6</v>
      </c>
      <c r="Y1214">
        <v>10</v>
      </c>
      <c r="Z1214">
        <v>5</v>
      </c>
      <c r="AA1214">
        <v>8</v>
      </c>
      <c r="AB1214">
        <v>7</v>
      </c>
      <c r="AC1214">
        <v>6</v>
      </c>
      <c r="AD1214">
        <v>5</v>
      </c>
      <c r="AE1214">
        <v>5</v>
      </c>
      <c r="AF1214">
        <v>0</v>
      </c>
      <c r="AG1214">
        <v>0</v>
      </c>
      <c r="AH1214">
        <v>0</v>
      </c>
      <c r="AI1214">
        <v>0</v>
      </c>
      <c r="AJ1214">
        <v>0</v>
      </c>
      <c r="AK1214">
        <v>1</v>
      </c>
      <c r="AL1214">
        <v>0</v>
      </c>
      <c r="AM1214">
        <v>0</v>
      </c>
      <c r="AN1214">
        <v>1</v>
      </c>
      <c r="AO1214">
        <v>0</v>
      </c>
      <c r="AP1214">
        <v>0</v>
      </c>
      <c r="AQ1214">
        <v>0</v>
      </c>
      <c r="AR1214">
        <v>0</v>
      </c>
      <c r="AS1214">
        <v>0</v>
      </c>
      <c r="AT1214">
        <v>1</v>
      </c>
      <c r="AU1214">
        <v>0</v>
      </c>
      <c r="AV1214">
        <v>1</v>
      </c>
      <c r="AW1214">
        <v>4</v>
      </c>
      <c r="AX1214">
        <v>0</v>
      </c>
      <c r="AY1214">
        <v>0</v>
      </c>
      <c r="AZ1214">
        <v>0</v>
      </c>
      <c r="BA1214">
        <v>0</v>
      </c>
      <c r="BB1214">
        <v>0</v>
      </c>
      <c r="BC1214">
        <v>0</v>
      </c>
      <c r="BD1214">
        <v>0</v>
      </c>
      <c r="BE1214">
        <v>0</v>
      </c>
      <c r="BF1214">
        <v>0</v>
      </c>
      <c r="BG1214">
        <v>0</v>
      </c>
      <c r="BH1214">
        <v>0</v>
      </c>
      <c r="BI1214">
        <v>0</v>
      </c>
      <c r="BJ1214">
        <v>2</v>
      </c>
    </row>
    <row r="1215" spans="3:62" x14ac:dyDescent="0.2">
      <c r="C1215" s="121">
        <v>0</v>
      </c>
      <c r="D1215" s="121">
        <v>0</v>
      </c>
      <c r="E1215" s="121">
        <v>0</v>
      </c>
      <c r="F1215" s="121">
        <v>0</v>
      </c>
      <c r="G1215" s="121">
        <v>0</v>
      </c>
      <c r="H1215" s="121">
        <v>1</v>
      </c>
      <c r="R1215">
        <v>0</v>
      </c>
      <c r="S1215">
        <v>0</v>
      </c>
      <c r="T1215">
        <v>0</v>
      </c>
      <c r="U1215">
        <v>0</v>
      </c>
      <c r="V1215">
        <v>0</v>
      </c>
      <c r="W1215">
        <v>0</v>
      </c>
      <c r="X1215">
        <v>5</v>
      </c>
      <c r="Y1215">
        <v>4</v>
      </c>
      <c r="Z1215">
        <v>4</v>
      </c>
      <c r="AA1215">
        <v>10</v>
      </c>
      <c r="AB1215">
        <v>4</v>
      </c>
      <c r="AC1215">
        <v>8</v>
      </c>
      <c r="AD1215">
        <v>5</v>
      </c>
      <c r="AE1215">
        <v>3</v>
      </c>
      <c r="AF1215">
        <v>0</v>
      </c>
      <c r="AG1215">
        <v>0</v>
      </c>
      <c r="AH1215">
        <v>0</v>
      </c>
      <c r="AI1215">
        <v>0</v>
      </c>
      <c r="AJ1215">
        <v>1</v>
      </c>
      <c r="AK1215">
        <v>0</v>
      </c>
      <c r="AL1215">
        <v>1</v>
      </c>
      <c r="AM1215">
        <v>0</v>
      </c>
      <c r="AN1215">
        <v>1</v>
      </c>
      <c r="AO1215">
        <v>0</v>
      </c>
      <c r="AP1215">
        <v>0</v>
      </c>
      <c r="AQ1215">
        <v>0</v>
      </c>
      <c r="AR1215">
        <v>1</v>
      </c>
      <c r="AS1215">
        <v>1</v>
      </c>
      <c r="AT1215">
        <v>2</v>
      </c>
      <c r="AU1215">
        <v>0</v>
      </c>
      <c r="AV1215">
        <v>1</v>
      </c>
      <c r="AW1215">
        <v>2</v>
      </c>
      <c r="AX1215">
        <v>1</v>
      </c>
      <c r="AY1215">
        <v>0</v>
      </c>
      <c r="AZ1215">
        <v>0</v>
      </c>
      <c r="BA1215">
        <v>0</v>
      </c>
      <c r="BB1215">
        <v>0</v>
      </c>
      <c r="BC1215">
        <v>0</v>
      </c>
      <c r="BD1215">
        <v>0</v>
      </c>
      <c r="BE1215">
        <v>0</v>
      </c>
      <c r="BF1215">
        <v>0</v>
      </c>
      <c r="BG1215">
        <v>0</v>
      </c>
      <c r="BH1215">
        <v>0</v>
      </c>
      <c r="BI1215">
        <v>0</v>
      </c>
      <c r="BJ1215">
        <v>1</v>
      </c>
    </row>
    <row r="1216" spans="3:62" x14ac:dyDescent="0.2">
      <c r="C1216" s="121">
        <v>0</v>
      </c>
      <c r="D1216" s="121">
        <v>0</v>
      </c>
      <c r="E1216" s="121">
        <v>0</v>
      </c>
      <c r="F1216" s="121">
        <v>0</v>
      </c>
      <c r="G1216" s="121">
        <v>0</v>
      </c>
      <c r="H1216" s="121">
        <v>0</v>
      </c>
      <c r="R1216">
        <v>0</v>
      </c>
      <c r="S1216">
        <v>1</v>
      </c>
      <c r="T1216">
        <v>2</v>
      </c>
      <c r="U1216">
        <v>0</v>
      </c>
      <c r="V1216">
        <v>0</v>
      </c>
      <c r="W1216">
        <v>0</v>
      </c>
      <c r="X1216">
        <v>5</v>
      </c>
      <c r="Y1216">
        <v>4</v>
      </c>
      <c r="Z1216">
        <v>2</v>
      </c>
      <c r="AA1216">
        <v>5</v>
      </c>
      <c r="AB1216">
        <v>4</v>
      </c>
      <c r="AC1216">
        <v>4</v>
      </c>
      <c r="AD1216">
        <v>7</v>
      </c>
      <c r="AE1216">
        <v>4</v>
      </c>
      <c r="AF1216">
        <v>0</v>
      </c>
      <c r="AG1216">
        <v>0</v>
      </c>
      <c r="AH1216">
        <v>0</v>
      </c>
      <c r="AI1216">
        <v>0</v>
      </c>
      <c r="AJ1216">
        <v>0</v>
      </c>
      <c r="AK1216">
        <v>0</v>
      </c>
      <c r="AL1216">
        <v>0</v>
      </c>
      <c r="AM1216">
        <v>1</v>
      </c>
      <c r="AN1216">
        <v>1</v>
      </c>
      <c r="AO1216">
        <v>0</v>
      </c>
      <c r="AP1216">
        <v>0</v>
      </c>
      <c r="AQ1216">
        <v>0</v>
      </c>
      <c r="AR1216">
        <v>0</v>
      </c>
      <c r="AS1216">
        <v>0</v>
      </c>
      <c r="AT1216">
        <v>0</v>
      </c>
      <c r="AU1216">
        <v>0</v>
      </c>
      <c r="AV1216">
        <v>0</v>
      </c>
      <c r="AW1216">
        <v>0</v>
      </c>
      <c r="AX1216">
        <v>0</v>
      </c>
      <c r="AY1216">
        <v>1</v>
      </c>
      <c r="AZ1216">
        <v>0</v>
      </c>
      <c r="BA1216">
        <v>0</v>
      </c>
      <c r="BB1216">
        <v>0</v>
      </c>
      <c r="BC1216">
        <v>0</v>
      </c>
      <c r="BD1216">
        <v>0</v>
      </c>
      <c r="BE1216">
        <v>0</v>
      </c>
      <c r="BF1216">
        <v>0</v>
      </c>
      <c r="BG1216">
        <v>0</v>
      </c>
      <c r="BH1216">
        <v>0</v>
      </c>
      <c r="BI1216">
        <v>0</v>
      </c>
      <c r="BJ1216">
        <v>0</v>
      </c>
    </row>
    <row r="1217" spans="3:62" x14ac:dyDescent="0.2">
      <c r="C1217" s="121">
        <v>0</v>
      </c>
      <c r="D1217" s="121">
        <v>0</v>
      </c>
      <c r="E1217" s="121">
        <v>0</v>
      </c>
      <c r="F1217" s="121">
        <v>0</v>
      </c>
      <c r="G1217" s="121">
        <v>0</v>
      </c>
      <c r="H1217" s="121">
        <v>0</v>
      </c>
      <c r="R1217">
        <v>0</v>
      </c>
      <c r="S1217">
        <v>0</v>
      </c>
      <c r="T1217">
        <v>0</v>
      </c>
      <c r="U1217">
        <v>0</v>
      </c>
      <c r="V1217">
        <v>0</v>
      </c>
      <c r="W1217">
        <v>0</v>
      </c>
      <c r="X1217">
        <v>7</v>
      </c>
      <c r="Y1217">
        <v>3</v>
      </c>
      <c r="Z1217">
        <v>1</v>
      </c>
      <c r="AA1217">
        <v>4</v>
      </c>
      <c r="AB1217">
        <v>2</v>
      </c>
      <c r="AC1217">
        <v>4</v>
      </c>
      <c r="AD1217">
        <v>5</v>
      </c>
      <c r="AE1217">
        <v>1</v>
      </c>
      <c r="AF1217">
        <v>0</v>
      </c>
      <c r="AG1217">
        <v>0</v>
      </c>
      <c r="AH1217">
        <v>0</v>
      </c>
      <c r="AI1217">
        <v>0</v>
      </c>
      <c r="AJ1217">
        <v>0</v>
      </c>
      <c r="AK1217">
        <v>0</v>
      </c>
      <c r="AL1217">
        <v>0</v>
      </c>
      <c r="AM1217">
        <v>0</v>
      </c>
      <c r="AN1217">
        <v>0</v>
      </c>
      <c r="AO1217">
        <v>0</v>
      </c>
      <c r="AP1217">
        <v>0</v>
      </c>
      <c r="AQ1217">
        <v>0</v>
      </c>
      <c r="AR1217">
        <v>0</v>
      </c>
      <c r="AS1217">
        <v>0</v>
      </c>
      <c r="AT1217">
        <v>0</v>
      </c>
      <c r="AU1217">
        <v>0</v>
      </c>
      <c r="AV1217">
        <v>0</v>
      </c>
      <c r="AW1217">
        <v>1</v>
      </c>
      <c r="AX1217">
        <v>0</v>
      </c>
      <c r="AY1217">
        <v>0</v>
      </c>
      <c r="AZ1217">
        <v>0</v>
      </c>
      <c r="BA1217">
        <v>0</v>
      </c>
      <c r="BB1217">
        <v>0</v>
      </c>
      <c r="BC1217">
        <v>0</v>
      </c>
      <c r="BD1217">
        <v>0</v>
      </c>
      <c r="BE1217">
        <v>0</v>
      </c>
      <c r="BF1217">
        <v>0</v>
      </c>
      <c r="BG1217">
        <v>0</v>
      </c>
      <c r="BH1217">
        <v>0</v>
      </c>
      <c r="BI1217">
        <v>0</v>
      </c>
      <c r="BJ1217">
        <v>0</v>
      </c>
    </row>
    <row r="1218" spans="3:62" x14ac:dyDescent="0.2">
      <c r="C1218" s="121">
        <v>0</v>
      </c>
      <c r="D1218" s="121">
        <v>0</v>
      </c>
      <c r="E1218" s="121">
        <v>0</v>
      </c>
      <c r="F1218" s="121">
        <v>0</v>
      </c>
      <c r="G1218" s="121">
        <v>0</v>
      </c>
      <c r="H1218" s="121">
        <v>0</v>
      </c>
      <c r="R1218">
        <v>0</v>
      </c>
      <c r="S1218">
        <v>0</v>
      </c>
      <c r="T1218">
        <v>0</v>
      </c>
      <c r="U1218">
        <v>0</v>
      </c>
      <c r="V1218">
        <v>0</v>
      </c>
      <c r="W1218">
        <v>0</v>
      </c>
      <c r="X1218">
        <v>4</v>
      </c>
      <c r="Y1218">
        <v>4</v>
      </c>
      <c r="Z1218">
        <v>1</v>
      </c>
      <c r="AA1218">
        <v>3</v>
      </c>
      <c r="AB1218">
        <v>3</v>
      </c>
      <c r="AC1218">
        <v>2</v>
      </c>
      <c r="AD1218">
        <v>3</v>
      </c>
      <c r="AE1218">
        <v>1</v>
      </c>
      <c r="AF1218">
        <v>0</v>
      </c>
      <c r="AG1218">
        <v>0</v>
      </c>
      <c r="AH1218">
        <v>0</v>
      </c>
      <c r="AI1218">
        <v>1</v>
      </c>
      <c r="AJ1218">
        <v>0</v>
      </c>
      <c r="AK1218">
        <v>0</v>
      </c>
      <c r="AL1218">
        <v>0</v>
      </c>
      <c r="AM1218">
        <v>0</v>
      </c>
      <c r="AN1218">
        <v>2</v>
      </c>
      <c r="AO1218">
        <v>0</v>
      </c>
      <c r="AP1218">
        <v>0</v>
      </c>
      <c r="AQ1218">
        <v>0</v>
      </c>
      <c r="AR1218">
        <v>0</v>
      </c>
      <c r="AS1218">
        <v>0</v>
      </c>
      <c r="AT1218">
        <v>0</v>
      </c>
      <c r="AU1218">
        <v>0</v>
      </c>
      <c r="AV1218">
        <v>1</v>
      </c>
      <c r="AW1218">
        <v>0</v>
      </c>
      <c r="AX1218">
        <v>0</v>
      </c>
      <c r="AY1218">
        <v>0</v>
      </c>
      <c r="AZ1218">
        <v>0</v>
      </c>
      <c r="BA1218">
        <v>0</v>
      </c>
      <c r="BB1218">
        <v>0</v>
      </c>
      <c r="BC1218">
        <v>0</v>
      </c>
      <c r="BD1218">
        <v>0</v>
      </c>
      <c r="BE1218">
        <v>0</v>
      </c>
      <c r="BF1218">
        <v>0</v>
      </c>
      <c r="BG1218">
        <v>0</v>
      </c>
      <c r="BH1218">
        <v>0</v>
      </c>
      <c r="BI1218">
        <v>0</v>
      </c>
      <c r="BJ1218">
        <v>0</v>
      </c>
    </row>
    <row r="1219" spans="3:62" x14ac:dyDescent="0.2">
      <c r="C1219" s="121">
        <v>0</v>
      </c>
      <c r="D1219" s="121">
        <v>0</v>
      </c>
      <c r="E1219" s="121">
        <v>0</v>
      </c>
      <c r="F1219" s="121">
        <v>0</v>
      </c>
      <c r="G1219" s="121">
        <v>0</v>
      </c>
      <c r="H1219" s="121">
        <v>0</v>
      </c>
      <c r="R1219">
        <v>1</v>
      </c>
      <c r="S1219">
        <v>1</v>
      </c>
      <c r="T1219">
        <v>0</v>
      </c>
      <c r="U1219">
        <v>0</v>
      </c>
      <c r="V1219">
        <v>0</v>
      </c>
      <c r="W1219">
        <v>0</v>
      </c>
      <c r="X1219">
        <v>3</v>
      </c>
      <c r="Y1219">
        <v>0</v>
      </c>
      <c r="Z1219">
        <v>1</v>
      </c>
      <c r="AA1219">
        <v>4</v>
      </c>
      <c r="AB1219">
        <v>3</v>
      </c>
      <c r="AC1219">
        <v>4</v>
      </c>
      <c r="AD1219">
        <v>3</v>
      </c>
      <c r="AE1219">
        <v>1</v>
      </c>
      <c r="AF1219">
        <v>0</v>
      </c>
      <c r="AG1219">
        <v>0</v>
      </c>
      <c r="AH1219">
        <v>0</v>
      </c>
      <c r="AI1219">
        <v>0</v>
      </c>
      <c r="AJ1219">
        <v>1</v>
      </c>
      <c r="AK1219">
        <v>1</v>
      </c>
      <c r="AL1219">
        <v>1</v>
      </c>
      <c r="AM1219">
        <v>1</v>
      </c>
      <c r="AN1219">
        <v>0</v>
      </c>
      <c r="AO1219">
        <v>0</v>
      </c>
      <c r="AP1219">
        <v>0</v>
      </c>
      <c r="AQ1219">
        <v>0</v>
      </c>
      <c r="AR1219">
        <v>1</v>
      </c>
      <c r="AS1219">
        <v>2</v>
      </c>
      <c r="AT1219">
        <v>2</v>
      </c>
      <c r="AU1219">
        <v>0</v>
      </c>
      <c r="AV1219">
        <v>2</v>
      </c>
      <c r="AW1219">
        <v>1</v>
      </c>
      <c r="AX1219">
        <v>0</v>
      </c>
      <c r="AY1219">
        <v>1</v>
      </c>
      <c r="AZ1219">
        <v>0</v>
      </c>
      <c r="BA1219">
        <v>0</v>
      </c>
      <c r="BB1219">
        <v>1</v>
      </c>
      <c r="BC1219">
        <v>1</v>
      </c>
      <c r="BD1219">
        <v>0</v>
      </c>
      <c r="BE1219">
        <v>0</v>
      </c>
      <c r="BF1219">
        <v>0</v>
      </c>
      <c r="BG1219">
        <v>0</v>
      </c>
      <c r="BH1219">
        <v>0</v>
      </c>
      <c r="BI1219">
        <v>0</v>
      </c>
      <c r="BJ1219">
        <v>0</v>
      </c>
    </row>
    <row r="1220" spans="3:62" x14ac:dyDescent="0.2">
      <c r="C1220" s="121"/>
      <c r="E1220" s="121"/>
      <c r="F1220" s="121"/>
      <c r="G1220" s="121"/>
      <c r="H1220" s="121"/>
    </row>
    <row r="1221" spans="3:62" x14ac:dyDescent="0.2">
      <c r="C1221" s="121"/>
      <c r="E1221" s="121"/>
      <c r="F1221" s="121"/>
      <c r="G1221" s="121"/>
      <c r="H1221" s="121"/>
    </row>
    <row r="1222" spans="3:62" x14ac:dyDescent="0.2">
      <c r="C1222" s="121"/>
      <c r="E1222" s="121"/>
      <c r="F1222" s="121"/>
      <c r="G1222" s="121"/>
      <c r="H1222" s="121"/>
    </row>
    <row r="1223" spans="3:62" x14ac:dyDescent="0.2">
      <c r="C1223" s="121"/>
      <c r="E1223" s="121"/>
      <c r="F1223" s="121"/>
      <c r="G1223" s="121"/>
      <c r="H1223" s="121"/>
    </row>
    <row r="1224" spans="3:62" x14ac:dyDescent="0.2">
      <c r="C1224" s="121"/>
      <c r="E1224" s="121"/>
      <c r="F1224" s="121"/>
      <c r="G1224" s="121"/>
      <c r="H1224" s="121"/>
    </row>
    <row r="1225" spans="3:62" x14ac:dyDescent="0.2">
      <c r="C1225" s="121"/>
      <c r="E1225" s="121"/>
      <c r="F1225" s="121"/>
      <c r="G1225" s="121"/>
      <c r="H1225" s="121"/>
    </row>
    <row r="1226" spans="3:62" x14ac:dyDescent="0.2">
      <c r="C1226" s="121"/>
      <c r="E1226" s="121"/>
      <c r="F1226" s="121"/>
      <c r="G1226" s="121"/>
      <c r="H1226" s="121"/>
    </row>
    <row r="1227" spans="3:62" x14ac:dyDescent="0.2">
      <c r="C1227" s="121"/>
      <c r="E1227" s="121"/>
      <c r="F1227" s="121"/>
      <c r="G1227" s="121"/>
      <c r="H1227" s="121"/>
    </row>
    <row r="1228" spans="3:62" x14ac:dyDescent="0.2">
      <c r="C1228" s="121"/>
      <c r="E1228" s="121"/>
      <c r="F1228" s="121"/>
      <c r="G1228" s="121"/>
      <c r="H1228" s="121"/>
    </row>
    <row r="1229" spans="3:62" x14ac:dyDescent="0.2">
      <c r="C1229" s="121"/>
      <c r="E1229" s="121"/>
      <c r="F1229" s="121"/>
      <c r="G1229" s="121"/>
      <c r="H1229" s="121"/>
    </row>
    <row r="1230" spans="3:62" x14ac:dyDescent="0.2">
      <c r="C1230" s="121"/>
      <c r="E1230" s="121"/>
      <c r="F1230" s="121"/>
      <c r="G1230" s="121"/>
      <c r="H1230" s="121"/>
    </row>
    <row r="1231" spans="3:62" x14ac:dyDescent="0.2">
      <c r="C1231" s="121"/>
      <c r="E1231" s="121"/>
      <c r="F1231" s="121"/>
      <c r="G1231" s="121"/>
      <c r="H1231" s="121"/>
    </row>
    <row r="1232" spans="3:62" x14ac:dyDescent="0.2">
      <c r="C1232" s="121"/>
      <c r="E1232" s="121"/>
      <c r="F1232" s="121"/>
      <c r="G1232" s="121"/>
      <c r="H1232" s="121"/>
    </row>
    <row r="1233" spans="3:8" x14ac:dyDescent="0.2">
      <c r="C1233" s="121"/>
      <c r="E1233" s="121"/>
      <c r="F1233" s="121"/>
      <c r="G1233" s="121"/>
      <c r="H1233" s="121"/>
    </row>
    <row r="1234" spans="3:8" x14ac:dyDescent="0.2">
      <c r="C1234" s="121"/>
      <c r="E1234" s="121"/>
      <c r="F1234" s="121"/>
      <c r="G1234" s="121"/>
      <c r="H1234" s="121"/>
    </row>
    <row r="1235" spans="3:8" x14ac:dyDescent="0.2">
      <c r="C1235" s="121"/>
      <c r="E1235" s="121"/>
      <c r="F1235" s="121"/>
      <c r="G1235" s="121"/>
      <c r="H1235" s="121"/>
    </row>
    <row r="1236" spans="3:8" x14ac:dyDescent="0.2">
      <c r="C1236" s="121"/>
      <c r="E1236" s="121"/>
      <c r="F1236" s="121"/>
      <c r="G1236" s="121"/>
      <c r="H1236" s="121"/>
    </row>
    <row r="1237" spans="3:8" x14ac:dyDescent="0.2">
      <c r="C1237" s="121"/>
      <c r="E1237" s="121"/>
      <c r="F1237" s="121"/>
      <c r="G1237" s="121"/>
      <c r="H1237" s="121"/>
    </row>
    <row r="1238" spans="3:8" x14ac:dyDescent="0.2">
      <c r="C1238" s="121"/>
      <c r="E1238" s="121"/>
      <c r="F1238" s="121"/>
      <c r="G1238" s="121"/>
      <c r="H1238" s="121"/>
    </row>
    <row r="1239" spans="3:8" x14ac:dyDescent="0.2">
      <c r="C1239" s="121"/>
      <c r="E1239" s="121"/>
      <c r="F1239" s="121"/>
      <c r="G1239" s="121"/>
      <c r="H1239" s="121"/>
    </row>
    <row r="1240" spans="3:8" x14ac:dyDescent="0.2">
      <c r="C1240" s="121"/>
      <c r="E1240" s="121"/>
      <c r="F1240" s="121"/>
      <c r="G1240" s="121"/>
      <c r="H1240" s="121"/>
    </row>
    <row r="1241" spans="3:8" x14ac:dyDescent="0.2">
      <c r="C1241" s="121"/>
      <c r="E1241" s="121"/>
      <c r="F1241" s="121"/>
      <c r="G1241" s="121"/>
      <c r="H1241" s="121"/>
    </row>
    <row r="1242" spans="3:8" x14ac:dyDescent="0.2">
      <c r="C1242" s="121"/>
      <c r="E1242" s="121"/>
      <c r="F1242" s="121"/>
      <c r="G1242" s="121"/>
      <c r="H1242" s="121"/>
    </row>
    <row r="1243" spans="3:8" x14ac:dyDescent="0.2">
      <c r="C1243" s="121"/>
      <c r="E1243" s="121"/>
      <c r="F1243" s="121"/>
      <c r="G1243" s="121"/>
      <c r="H1243" s="121"/>
    </row>
    <row r="1244" spans="3:8" x14ac:dyDescent="0.2">
      <c r="C1244" s="121"/>
      <c r="E1244" s="121"/>
      <c r="F1244" s="121"/>
      <c r="G1244" s="121"/>
      <c r="H1244" s="121"/>
    </row>
    <row r="1245" spans="3:8" x14ac:dyDescent="0.2">
      <c r="C1245" s="121"/>
      <c r="E1245" s="121"/>
      <c r="F1245" s="121"/>
      <c r="G1245" s="121"/>
      <c r="H1245" s="121"/>
    </row>
    <row r="1246" spans="3:8" x14ac:dyDescent="0.2">
      <c r="C1246" s="121"/>
      <c r="E1246" s="121"/>
      <c r="F1246" s="121"/>
      <c r="G1246" s="121"/>
      <c r="H1246" s="121"/>
    </row>
    <row r="1247" spans="3:8" x14ac:dyDescent="0.2">
      <c r="C1247" s="121"/>
      <c r="E1247" s="121"/>
      <c r="F1247" s="121"/>
      <c r="G1247" s="121"/>
      <c r="H1247" s="121"/>
    </row>
    <row r="1248" spans="3:8" x14ac:dyDescent="0.2">
      <c r="C1248" s="121"/>
      <c r="E1248" s="121"/>
      <c r="F1248" s="121"/>
      <c r="G1248" s="121"/>
      <c r="H1248" s="121"/>
    </row>
    <row r="1249" spans="3:8" x14ac:dyDescent="0.2">
      <c r="C1249" s="121"/>
      <c r="E1249" s="121"/>
      <c r="F1249" s="121"/>
      <c r="G1249" s="121"/>
      <c r="H1249" s="121"/>
    </row>
    <row r="1250" spans="3:8" x14ac:dyDescent="0.2">
      <c r="C1250" s="121"/>
      <c r="E1250" s="121"/>
      <c r="F1250" s="121"/>
      <c r="G1250" s="121"/>
      <c r="H1250" s="121"/>
    </row>
    <row r="1251" spans="3:8" x14ac:dyDescent="0.2">
      <c r="C1251" s="121"/>
      <c r="E1251" s="121"/>
      <c r="F1251" s="121"/>
      <c r="G1251" s="121"/>
      <c r="H1251" s="121"/>
    </row>
    <row r="1252" spans="3:8" x14ac:dyDescent="0.2">
      <c r="C1252" s="121"/>
      <c r="E1252" s="121"/>
      <c r="F1252" s="121"/>
      <c r="G1252" s="121"/>
      <c r="H1252" s="121"/>
    </row>
    <row r="1253" spans="3:8" x14ac:dyDescent="0.2">
      <c r="C1253" s="121"/>
      <c r="E1253" s="121"/>
      <c r="F1253" s="121"/>
      <c r="G1253" s="121"/>
      <c r="H1253" s="121"/>
    </row>
    <row r="1254" spans="3:8" x14ac:dyDescent="0.2">
      <c r="C1254" s="121"/>
      <c r="E1254" s="121"/>
      <c r="F1254" s="121"/>
      <c r="G1254" s="121"/>
      <c r="H1254" s="121"/>
    </row>
    <row r="1255" spans="3:8" x14ac:dyDescent="0.2">
      <c r="C1255" s="121"/>
      <c r="E1255" s="121"/>
      <c r="F1255" s="121"/>
      <c r="G1255" s="121"/>
      <c r="H1255" s="121"/>
    </row>
    <row r="1256" spans="3:8" x14ac:dyDescent="0.2">
      <c r="C1256" s="121"/>
      <c r="E1256" s="121"/>
      <c r="F1256" s="121"/>
      <c r="G1256" s="121"/>
      <c r="H1256" s="121"/>
    </row>
    <row r="1257" spans="3:8" x14ac:dyDescent="0.2">
      <c r="C1257" s="121"/>
      <c r="E1257" s="121"/>
      <c r="F1257" s="121"/>
      <c r="G1257" s="121"/>
      <c r="H1257" s="121"/>
    </row>
    <row r="1258" spans="3:8" x14ac:dyDescent="0.2">
      <c r="C1258" s="121"/>
      <c r="E1258" s="121"/>
      <c r="F1258" s="121"/>
      <c r="G1258" s="121"/>
      <c r="H1258" s="121"/>
    </row>
    <row r="1259" spans="3:8" x14ac:dyDescent="0.2">
      <c r="C1259" s="121"/>
      <c r="E1259" s="121"/>
      <c r="F1259" s="121"/>
      <c r="G1259" s="121"/>
      <c r="H1259" s="121"/>
    </row>
    <row r="1260" spans="3:8" x14ac:dyDescent="0.2">
      <c r="C1260" s="121"/>
      <c r="E1260" s="121"/>
      <c r="F1260" s="121"/>
      <c r="G1260" s="121"/>
      <c r="H1260" s="121"/>
    </row>
    <row r="1261" spans="3:8" x14ac:dyDescent="0.2">
      <c r="C1261" s="121"/>
      <c r="E1261" s="121"/>
      <c r="F1261" s="121"/>
      <c r="G1261" s="121"/>
      <c r="H1261" s="121"/>
    </row>
    <row r="1262" spans="3:8" x14ac:dyDescent="0.2">
      <c r="C1262" s="121"/>
      <c r="E1262" s="121"/>
      <c r="F1262" s="121"/>
      <c r="G1262" s="121"/>
      <c r="H1262" s="121"/>
    </row>
    <row r="1263" spans="3:8" x14ac:dyDescent="0.2">
      <c r="C1263" s="121"/>
      <c r="E1263" s="121"/>
      <c r="F1263" s="121"/>
      <c r="G1263" s="121"/>
      <c r="H1263" s="121"/>
    </row>
    <row r="1264" spans="3:8" x14ac:dyDescent="0.2">
      <c r="C1264" s="121"/>
      <c r="E1264" s="121"/>
      <c r="F1264" s="121"/>
      <c r="G1264" s="121"/>
      <c r="H1264" s="121"/>
    </row>
    <row r="1265" spans="3:8" x14ac:dyDescent="0.2">
      <c r="C1265" s="121"/>
      <c r="E1265" s="121"/>
      <c r="F1265" s="121"/>
      <c r="G1265" s="121"/>
      <c r="H1265" s="121"/>
    </row>
    <row r="1266" spans="3:8" x14ac:dyDescent="0.2">
      <c r="C1266" s="121"/>
      <c r="E1266" s="121"/>
      <c r="F1266" s="121"/>
      <c r="G1266" s="121"/>
      <c r="H1266" s="121"/>
    </row>
    <row r="1267" spans="3:8" x14ac:dyDescent="0.2">
      <c r="C1267" s="121"/>
      <c r="E1267" s="121"/>
      <c r="F1267" s="121"/>
      <c r="G1267" s="121"/>
      <c r="H1267" s="121"/>
    </row>
    <row r="1268" spans="3:8" x14ac:dyDescent="0.2">
      <c r="C1268" s="121"/>
      <c r="E1268" s="121"/>
      <c r="F1268" s="121"/>
      <c r="G1268" s="121"/>
      <c r="H1268" s="121"/>
    </row>
    <row r="1269" spans="3:8" x14ac:dyDescent="0.2">
      <c r="C1269" s="121"/>
      <c r="E1269" s="121"/>
      <c r="F1269" s="121"/>
      <c r="G1269" s="121"/>
      <c r="H1269" s="121"/>
    </row>
    <row r="1270" spans="3:8" x14ac:dyDescent="0.2">
      <c r="C1270" s="121"/>
      <c r="E1270" s="121"/>
      <c r="F1270" s="121"/>
      <c r="G1270" s="121"/>
      <c r="H1270" s="121"/>
    </row>
    <row r="1271" spans="3:8" x14ac:dyDescent="0.2">
      <c r="C1271" s="121"/>
      <c r="E1271" s="121"/>
      <c r="F1271" s="121"/>
      <c r="G1271" s="121"/>
      <c r="H1271" s="121"/>
    </row>
    <row r="1272" spans="3:8" x14ac:dyDescent="0.2">
      <c r="C1272" s="121"/>
      <c r="E1272" s="121"/>
      <c r="F1272" s="121"/>
      <c r="G1272" s="121"/>
      <c r="H1272" s="121"/>
    </row>
    <row r="1273" spans="3:8" x14ac:dyDescent="0.2">
      <c r="C1273" s="121"/>
      <c r="E1273" s="121"/>
      <c r="F1273" s="121"/>
      <c r="G1273" s="121"/>
      <c r="H1273" s="121"/>
    </row>
    <row r="1274" spans="3:8" x14ac:dyDescent="0.2">
      <c r="C1274" s="121"/>
      <c r="E1274" s="121"/>
      <c r="F1274" s="121"/>
      <c r="G1274" s="121"/>
      <c r="H1274" s="121"/>
    </row>
    <row r="1275" spans="3:8" x14ac:dyDescent="0.2">
      <c r="C1275" s="121"/>
      <c r="E1275" s="121"/>
      <c r="F1275" s="121"/>
      <c r="G1275" s="121"/>
      <c r="H1275" s="121"/>
    </row>
    <row r="1276" spans="3:8" x14ac:dyDescent="0.2">
      <c r="C1276" s="121"/>
      <c r="E1276" s="121"/>
      <c r="F1276" s="121"/>
      <c r="G1276" s="121"/>
      <c r="H1276" s="121"/>
    </row>
    <row r="1277" spans="3:8" x14ac:dyDescent="0.2">
      <c r="C1277" s="121"/>
      <c r="E1277" s="121"/>
      <c r="F1277" s="121"/>
      <c r="G1277" s="121"/>
      <c r="H1277" s="121"/>
    </row>
    <row r="1278" spans="3:8" x14ac:dyDescent="0.2">
      <c r="C1278" s="121"/>
      <c r="E1278" s="121"/>
      <c r="F1278" s="121"/>
      <c r="G1278" s="121"/>
      <c r="H1278" s="121"/>
    </row>
    <row r="1279" spans="3:8" x14ac:dyDescent="0.2">
      <c r="C1279" s="121"/>
      <c r="E1279" s="121"/>
      <c r="F1279" s="121"/>
      <c r="G1279" s="121"/>
      <c r="H1279" s="121"/>
    </row>
    <row r="1280" spans="3:8" x14ac:dyDescent="0.2">
      <c r="C1280" s="121"/>
      <c r="E1280" s="121"/>
      <c r="F1280" s="121"/>
      <c r="G1280" s="121"/>
      <c r="H1280" s="121"/>
    </row>
    <row r="1281" spans="3:8" x14ac:dyDescent="0.2">
      <c r="C1281" s="121"/>
      <c r="E1281" s="121"/>
      <c r="F1281" s="121"/>
      <c r="G1281" s="121"/>
      <c r="H1281" s="121"/>
    </row>
    <row r="1282" spans="3:8" x14ac:dyDescent="0.2">
      <c r="C1282" s="121"/>
      <c r="E1282" s="121"/>
      <c r="F1282" s="121"/>
      <c r="G1282" s="121"/>
      <c r="H1282" s="121"/>
    </row>
    <row r="1283" spans="3:8" x14ac:dyDescent="0.2">
      <c r="C1283" s="121"/>
      <c r="E1283" s="121"/>
      <c r="F1283" s="121"/>
      <c r="G1283" s="121"/>
      <c r="H1283" s="121"/>
    </row>
    <row r="1284" spans="3:8" x14ac:dyDescent="0.2">
      <c r="C1284" s="121"/>
      <c r="E1284" s="121"/>
      <c r="F1284" s="121"/>
      <c r="G1284" s="121"/>
      <c r="H1284" s="121"/>
    </row>
    <row r="1285" spans="3:8" x14ac:dyDescent="0.2">
      <c r="C1285" s="121"/>
      <c r="E1285" s="121"/>
      <c r="F1285" s="121"/>
      <c r="G1285" s="121"/>
      <c r="H1285" s="121"/>
    </row>
    <row r="1286" spans="3:8" x14ac:dyDescent="0.2">
      <c r="C1286" s="121"/>
      <c r="E1286" s="121"/>
      <c r="F1286" s="121"/>
      <c r="G1286" s="121"/>
      <c r="H1286" s="121"/>
    </row>
    <row r="1287" spans="3:8" x14ac:dyDescent="0.2">
      <c r="C1287" s="121"/>
      <c r="E1287" s="121"/>
      <c r="F1287" s="121"/>
      <c r="G1287" s="121"/>
      <c r="H1287" s="121"/>
    </row>
    <row r="1288" spans="3:8" x14ac:dyDescent="0.2">
      <c r="C1288" s="121"/>
      <c r="E1288" s="121"/>
      <c r="F1288" s="121"/>
      <c r="G1288" s="121"/>
      <c r="H1288" s="121"/>
    </row>
    <row r="1289" spans="3:8" x14ac:dyDescent="0.2">
      <c r="C1289" s="121"/>
      <c r="E1289" s="121"/>
      <c r="F1289" s="121"/>
      <c r="G1289" s="121"/>
      <c r="H1289" s="121"/>
    </row>
    <row r="1290" spans="3:8" x14ac:dyDescent="0.2">
      <c r="C1290" s="121"/>
      <c r="E1290" s="121"/>
      <c r="F1290" s="121"/>
      <c r="G1290" s="121"/>
      <c r="H1290" s="121"/>
    </row>
    <row r="1291" spans="3:8" x14ac:dyDescent="0.2">
      <c r="C1291" s="121"/>
      <c r="E1291" s="121"/>
      <c r="F1291" s="121"/>
      <c r="G1291" s="121"/>
      <c r="H1291" s="121"/>
    </row>
    <row r="1292" spans="3:8" x14ac:dyDescent="0.2">
      <c r="C1292" s="121"/>
      <c r="E1292" s="121"/>
      <c r="F1292" s="121"/>
      <c r="G1292" s="121"/>
      <c r="H1292" s="121"/>
    </row>
    <row r="1293" spans="3:8" x14ac:dyDescent="0.2">
      <c r="C1293" s="121"/>
      <c r="E1293" s="121"/>
      <c r="F1293" s="121"/>
      <c r="G1293" s="121"/>
      <c r="H1293" s="121"/>
    </row>
    <row r="1294" spans="3:8" x14ac:dyDescent="0.2">
      <c r="C1294" s="121"/>
      <c r="E1294" s="121"/>
      <c r="F1294" s="121"/>
      <c r="G1294" s="121"/>
      <c r="H1294" s="121"/>
    </row>
    <row r="1295" spans="3:8" x14ac:dyDescent="0.2">
      <c r="C1295" s="121"/>
      <c r="E1295" s="121"/>
      <c r="F1295" s="121"/>
      <c r="G1295" s="121"/>
      <c r="H1295" s="121"/>
    </row>
    <row r="1296" spans="3:8" x14ac:dyDescent="0.2">
      <c r="C1296" s="121"/>
      <c r="E1296" s="121"/>
      <c r="F1296" s="121"/>
      <c r="G1296" s="121"/>
      <c r="H1296" s="121"/>
    </row>
    <row r="1297" spans="3:8" x14ac:dyDescent="0.2">
      <c r="C1297" s="121"/>
      <c r="E1297" s="121"/>
      <c r="F1297" s="121"/>
      <c r="G1297" s="121"/>
      <c r="H1297" s="121"/>
    </row>
    <row r="1298" spans="3:8" x14ac:dyDescent="0.2">
      <c r="C1298" s="121"/>
      <c r="E1298" s="121"/>
      <c r="F1298" s="121"/>
      <c r="G1298" s="121"/>
      <c r="H1298" s="121"/>
    </row>
    <row r="1299" spans="3:8" x14ac:dyDescent="0.2">
      <c r="C1299" s="121"/>
      <c r="E1299" s="121"/>
      <c r="F1299" s="121"/>
      <c r="G1299" s="121"/>
      <c r="H1299" s="121"/>
    </row>
    <row r="1300" spans="3:8" x14ac:dyDescent="0.2">
      <c r="C1300" s="121"/>
      <c r="E1300" s="121"/>
      <c r="F1300" s="121"/>
      <c r="G1300" s="121"/>
      <c r="H1300" s="121"/>
    </row>
    <row r="1301" spans="3:8" x14ac:dyDescent="0.2">
      <c r="C1301" s="121"/>
      <c r="E1301" s="121"/>
      <c r="F1301" s="121"/>
      <c r="G1301" s="121"/>
      <c r="H1301" s="121"/>
    </row>
    <row r="1302" spans="3:8" x14ac:dyDescent="0.2">
      <c r="C1302" s="121"/>
      <c r="E1302" s="121"/>
      <c r="F1302" s="121"/>
      <c r="G1302" s="121"/>
      <c r="H1302" s="121"/>
    </row>
    <row r="1303" spans="3:8" x14ac:dyDescent="0.2">
      <c r="C1303" s="121"/>
      <c r="E1303" s="121"/>
      <c r="F1303" s="121"/>
      <c r="G1303" s="121"/>
      <c r="H1303" s="121"/>
    </row>
    <row r="1304" spans="3:8" x14ac:dyDescent="0.2">
      <c r="C1304" s="121"/>
      <c r="E1304" s="121"/>
      <c r="F1304" s="121"/>
      <c r="G1304" s="121"/>
      <c r="H1304" s="121"/>
    </row>
    <row r="1305" spans="3:8" x14ac:dyDescent="0.2">
      <c r="C1305" s="121"/>
      <c r="E1305" s="121"/>
      <c r="F1305" s="121"/>
      <c r="G1305" s="121"/>
      <c r="H1305" s="121"/>
    </row>
    <row r="1306" spans="3:8" x14ac:dyDescent="0.2">
      <c r="C1306" s="121"/>
      <c r="E1306" s="121"/>
      <c r="F1306" s="121"/>
      <c r="G1306" s="121"/>
      <c r="H1306" s="121"/>
    </row>
    <row r="1307" spans="3:8" x14ac:dyDescent="0.2">
      <c r="C1307" s="121"/>
      <c r="E1307" s="121"/>
      <c r="F1307" s="121"/>
      <c r="G1307" s="121"/>
      <c r="H1307" s="121"/>
    </row>
    <row r="1308" spans="3:8" x14ac:dyDescent="0.2">
      <c r="C1308" s="121"/>
      <c r="E1308" s="121"/>
      <c r="F1308" s="121"/>
      <c r="G1308" s="121"/>
      <c r="H1308" s="121"/>
    </row>
    <row r="1309" spans="3:8" x14ac:dyDescent="0.2">
      <c r="C1309" s="121"/>
      <c r="E1309" s="121"/>
      <c r="F1309" s="121"/>
      <c r="G1309" s="121"/>
      <c r="H1309" s="121"/>
    </row>
    <row r="1310" spans="3:8" x14ac:dyDescent="0.2">
      <c r="C1310" s="121"/>
      <c r="E1310" s="121"/>
      <c r="F1310" s="121"/>
      <c r="G1310" s="121"/>
      <c r="H1310" s="121"/>
    </row>
    <row r="1311" spans="3:8" x14ac:dyDescent="0.2">
      <c r="C1311" s="121"/>
      <c r="E1311" s="121"/>
      <c r="F1311" s="121"/>
      <c r="G1311" s="121"/>
      <c r="H1311" s="121"/>
    </row>
    <row r="1312" spans="3:8" x14ac:dyDescent="0.2">
      <c r="C1312" s="121"/>
      <c r="E1312" s="121"/>
      <c r="F1312" s="121"/>
      <c r="G1312" s="121"/>
      <c r="H1312" s="121"/>
    </row>
    <row r="1313" spans="3:8" x14ac:dyDescent="0.2">
      <c r="C1313" s="121"/>
      <c r="E1313" s="121"/>
      <c r="F1313" s="121"/>
      <c r="G1313" s="121"/>
      <c r="H1313" s="121"/>
    </row>
    <row r="1314" spans="3:8" x14ac:dyDescent="0.2">
      <c r="C1314" s="121"/>
      <c r="E1314" s="121"/>
      <c r="F1314" s="121"/>
      <c r="G1314" s="121"/>
      <c r="H1314" s="121"/>
    </row>
    <row r="1315" spans="3:8" x14ac:dyDescent="0.2">
      <c r="C1315" s="121"/>
      <c r="E1315" s="121"/>
      <c r="F1315" s="121"/>
      <c r="G1315" s="121"/>
      <c r="H1315" s="121"/>
    </row>
    <row r="1316" spans="3:8" x14ac:dyDescent="0.2">
      <c r="C1316" s="121"/>
      <c r="E1316" s="121"/>
      <c r="F1316" s="121"/>
      <c r="G1316" s="121"/>
      <c r="H1316" s="121"/>
    </row>
    <row r="1317" spans="3:8" x14ac:dyDescent="0.2">
      <c r="C1317" s="121"/>
      <c r="E1317" s="121"/>
      <c r="F1317" s="121"/>
      <c r="G1317" s="121"/>
      <c r="H1317" s="121"/>
    </row>
    <row r="1318" spans="3:8" x14ac:dyDescent="0.2">
      <c r="C1318" s="121"/>
      <c r="E1318" s="121"/>
      <c r="F1318" s="121"/>
      <c r="G1318" s="121"/>
      <c r="H1318" s="121"/>
    </row>
    <row r="1319" spans="3:8" x14ac:dyDescent="0.2">
      <c r="C1319" s="121"/>
      <c r="E1319" s="121"/>
      <c r="F1319" s="121"/>
      <c r="G1319" s="121"/>
      <c r="H1319" s="121"/>
    </row>
    <row r="1320" spans="3:8" x14ac:dyDescent="0.2">
      <c r="C1320" s="121"/>
      <c r="E1320" s="121"/>
      <c r="F1320" s="121"/>
      <c r="G1320" s="121"/>
      <c r="H1320" s="121"/>
    </row>
    <row r="1321" spans="3:8" x14ac:dyDescent="0.2">
      <c r="C1321" s="121"/>
      <c r="E1321" s="121"/>
      <c r="F1321" s="121"/>
      <c r="G1321" s="121"/>
      <c r="H1321" s="121"/>
    </row>
    <row r="1322" spans="3:8" x14ac:dyDescent="0.2">
      <c r="C1322" s="121"/>
      <c r="E1322" s="121"/>
      <c r="F1322" s="121"/>
      <c r="G1322" s="121"/>
      <c r="H1322" s="121"/>
    </row>
    <row r="1323" spans="3:8" x14ac:dyDescent="0.2">
      <c r="C1323" s="121"/>
      <c r="E1323" s="121"/>
      <c r="F1323" s="121"/>
      <c r="G1323" s="121"/>
      <c r="H1323" s="121"/>
    </row>
    <row r="1324" spans="3:8" x14ac:dyDescent="0.2">
      <c r="C1324" s="121"/>
      <c r="E1324" s="121"/>
      <c r="F1324" s="121"/>
      <c r="G1324" s="121"/>
      <c r="H1324" s="121"/>
    </row>
    <row r="1325" spans="3:8" x14ac:dyDescent="0.2">
      <c r="C1325" s="121"/>
      <c r="E1325" s="121"/>
      <c r="F1325" s="121"/>
      <c r="G1325" s="121"/>
      <c r="H1325" s="121"/>
    </row>
    <row r="1326" spans="3:8" x14ac:dyDescent="0.2">
      <c r="C1326" s="121"/>
      <c r="E1326" s="121"/>
      <c r="F1326" s="121"/>
      <c r="G1326" s="121"/>
      <c r="H1326" s="121"/>
    </row>
    <row r="1327" spans="3:8" x14ac:dyDescent="0.2">
      <c r="C1327" s="121"/>
      <c r="E1327" s="121"/>
      <c r="F1327" s="121"/>
      <c r="G1327" s="121"/>
      <c r="H1327" s="121"/>
    </row>
    <row r="1328" spans="3:8" x14ac:dyDescent="0.2">
      <c r="C1328" s="121"/>
      <c r="E1328" s="121"/>
      <c r="F1328" s="121"/>
      <c r="G1328" s="121"/>
      <c r="H1328" s="121"/>
    </row>
    <row r="1329" spans="3:8" x14ac:dyDescent="0.2">
      <c r="C1329" s="121"/>
      <c r="E1329" s="121"/>
      <c r="F1329" s="121"/>
      <c r="G1329" s="121"/>
      <c r="H1329" s="121"/>
    </row>
    <row r="1330" spans="3:8" x14ac:dyDescent="0.2">
      <c r="C1330" s="121"/>
      <c r="E1330" s="121"/>
      <c r="F1330" s="121"/>
      <c r="G1330" s="121"/>
      <c r="H1330" s="121"/>
    </row>
    <row r="1331" spans="3:8" x14ac:dyDescent="0.2">
      <c r="C1331" s="121"/>
      <c r="E1331" s="121"/>
      <c r="F1331" s="121"/>
      <c r="G1331" s="121"/>
      <c r="H1331" s="121"/>
    </row>
    <row r="1332" spans="3:8" x14ac:dyDescent="0.2">
      <c r="C1332" s="121"/>
      <c r="E1332" s="121"/>
      <c r="F1332" s="121"/>
      <c r="G1332" s="121"/>
      <c r="H1332" s="121"/>
    </row>
    <row r="1333" spans="3:8" x14ac:dyDescent="0.2">
      <c r="C1333" s="121"/>
      <c r="E1333" s="121"/>
      <c r="F1333" s="121"/>
      <c r="G1333" s="121"/>
      <c r="H1333" s="121"/>
    </row>
    <row r="1334" spans="3:8" x14ac:dyDescent="0.2">
      <c r="C1334" s="121"/>
      <c r="E1334" s="121"/>
      <c r="F1334" s="121"/>
      <c r="G1334" s="121"/>
      <c r="H1334" s="121"/>
    </row>
    <row r="1335" spans="3:8" x14ac:dyDescent="0.2">
      <c r="C1335" s="121"/>
      <c r="E1335" s="121"/>
      <c r="F1335" s="121"/>
      <c r="G1335" s="121"/>
      <c r="H1335" s="121"/>
    </row>
    <row r="1336" spans="3:8" x14ac:dyDescent="0.2">
      <c r="C1336" s="121"/>
      <c r="E1336" s="121"/>
      <c r="F1336" s="121"/>
      <c r="G1336" s="121"/>
      <c r="H1336" s="121"/>
    </row>
    <row r="1337" spans="3:8" x14ac:dyDescent="0.2">
      <c r="C1337" s="121"/>
      <c r="E1337" s="121"/>
      <c r="F1337" s="121"/>
      <c r="G1337" s="121"/>
      <c r="H1337" s="121"/>
    </row>
    <row r="1338" spans="3:8" x14ac:dyDescent="0.2">
      <c r="C1338" s="121"/>
      <c r="E1338" s="121"/>
      <c r="F1338" s="121"/>
      <c r="G1338" s="121"/>
      <c r="H1338" s="121"/>
    </row>
    <row r="1339" spans="3:8" x14ac:dyDescent="0.2">
      <c r="C1339" s="121"/>
      <c r="E1339" s="121"/>
      <c r="F1339" s="121"/>
      <c r="G1339" s="121"/>
      <c r="H1339" s="121"/>
    </row>
    <row r="1340" spans="3:8" x14ac:dyDescent="0.2">
      <c r="C1340" s="121"/>
      <c r="E1340" s="121"/>
      <c r="F1340" s="121"/>
      <c r="G1340" s="121"/>
      <c r="H1340" s="121"/>
    </row>
    <row r="1341" spans="3:8" x14ac:dyDescent="0.2">
      <c r="C1341" s="121"/>
      <c r="E1341" s="121"/>
      <c r="F1341" s="121"/>
      <c r="G1341" s="121"/>
      <c r="H1341" s="121"/>
    </row>
    <row r="1342" spans="3:8" x14ac:dyDescent="0.2">
      <c r="C1342" s="121"/>
      <c r="E1342" s="121"/>
      <c r="F1342" s="121"/>
      <c r="G1342" s="121"/>
      <c r="H1342" s="121"/>
    </row>
    <row r="1343" spans="3:8" x14ac:dyDescent="0.2">
      <c r="C1343" s="121"/>
      <c r="E1343" s="121"/>
      <c r="F1343" s="121"/>
      <c r="G1343" s="121"/>
      <c r="H1343" s="121"/>
    </row>
    <row r="1344" spans="3:8" x14ac:dyDescent="0.2">
      <c r="C1344" s="121"/>
      <c r="E1344" s="121"/>
      <c r="F1344" s="121"/>
      <c r="G1344" s="121"/>
      <c r="H1344" s="121"/>
    </row>
    <row r="1345" spans="3:8" x14ac:dyDescent="0.2">
      <c r="C1345" s="121"/>
      <c r="E1345" s="121"/>
      <c r="F1345" s="121"/>
      <c r="G1345" s="121"/>
      <c r="H1345" s="121"/>
    </row>
    <row r="1346" spans="3:8" x14ac:dyDescent="0.2">
      <c r="C1346" s="121"/>
      <c r="E1346" s="121"/>
      <c r="F1346" s="121"/>
      <c r="G1346" s="121"/>
      <c r="H1346" s="121"/>
    </row>
    <row r="1347" spans="3:8" x14ac:dyDescent="0.2">
      <c r="C1347" s="121"/>
      <c r="E1347" s="121"/>
      <c r="F1347" s="121"/>
      <c r="G1347" s="121"/>
      <c r="H1347" s="121"/>
    </row>
    <row r="1348" spans="3:8" x14ac:dyDescent="0.2">
      <c r="C1348" s="121"/>
      <c r="E1348" s="121"/>
      <c r="F1348" s="121"/>
      <c r="G1348" s="121"/>
      <c r="H1348" s="121"/>
    </row>
    <row r="1349" spans="3:8" x14ac:dyDescent="0.2">
      <c r="C1349" s="121"/>
      <c r="E1349" s="121"/>
      <c r="F1349" s="121"/>
      <c r="G1349" s="121"/>
      <c r="H1349" s="121"/>
    </row>
    <row r="1350" spans="3:8" x14ac:dyDescent="0.2">
      <c r="C1350" s="121"/>
      <c r="E1350" s="121"/>
      <c r="F1350" s="121"/>
      <c r="G1350" s="121"/>
      <c r="H1350" s="121"/>
    </row>
    <row r="1351" spans="3:8" x14ac:dyDescent="0.2">
      <c r="C1351" s="121"/>
      <c r="E1351" s="121"/>
      <c r="F1351" s="121"/>
      <c r="G1351" s="121"/>
      <c r="H1351" s="121"/>
    </row>
    <row r="1352" spans="3:8" x14ac:dyDescent="0.2">
      <c r="C1352" s="121"/>
      <c r="E1352" s="121"/>
      <c r="F1352" s="121"/>
      <c r="G1352" s="121"/>
      <c r="H1352" s="121"/>
    </row>
    <row r="1353" spans="3:8" x14ac:dyDescent="0.2">
      <c r="C1353" s="121"/>
      <c r="E1353" s="121"/>
      <c r="F1353" s="121"/>
      <c r="G1353" s="121"/>
      <c r="H1353" s="121"/>
    </row>
    <row r="1354" spans="3:8" x14ac:dyDescent="0.2">
      <c r="C1354" s="121"/>
      <c r="E1354" s="121"/>
      <c r="F1354" s="121"/>
      <c r="G1354" s="121"/>
      <c r="H1354" s="121"/>
    </row>
    <row r="1355" spans="3:8" x14ac:dyDescent="0.2">
      <c r="C1355" s="121"/>
      <c r="E1355" s="121"/>
      <c r="F1355" s="121"/>
      <c r="G1355" s="121"/>
      <c r="H1355" s="121"/>
    </row>
    <row r="1356" spans="3:8" x14ac:dyDescent="0.2">
      <c r="C1356" s="121"/>
      <c r="E1356" s="121"/>
      <c r="F1356" s="121"/>
      <c r="G1356" s="121"/>
      <c r="H1356" s="121"/>
    </row>
    <row r="1357" spans="3:8" x14ac:dyDescent="0.2">
      <c r="C1357" s="121"/>
      <c r="E1357" s="121"/>
      <c r="F1357" s="121"/>
      <c r="G1357" s="121"/>
      <c r="H1357" s="121"/>
    </row>
    <row r="1358" spans="3:8" x14ac:dyDescent="0.2">
      <c r="C1358" s="121"/>
      <c r="E1358" s="121"/>
      <c r="F1358" s="121"/>
      <c r="G1358" s="121"/>
      <c r="H1358" s="121"/>
    </row>
    <row r="1359" spans="3:8" x14ac:dyDescent="0.2">
      <c r="C1359" s="121"/>
      <c r="E1359" s="121"/>
      <c r="F1359" s="121"/>
      <c r="G1359" s="121"/>
      <c r="H1359" s="121"/>
    </row>
    <row r="1360" spans="3:8" x14ac:dyDescent="0.2">
      <c r="C1360" s="121"/>
      <c r="E1360" s="121"/>
      <c r="F1360" s="121"/>
      <c r="G1360" s="121"/>
      <c r="H1360" s="121"/>
    </row>
    <row r="1361" spans="3:8" x14ac:dyDescent="0.2">
      <c r="C1361" s="121"/>
      <c r="E1361" s="121"/>
      <c r="F1361" s="121"/>
      <c r="G1361" s="121"/>
      <c r="H1361" s="121"/>
    </row>
    <row r="1362" spans="3:8" x14ac:dyDescent="0.2">
      <c r="C1362" s="121"/>
      <c r="E1362" s="121"/>
      <c r="F1362" s="121"/>
      <c r="G1362" s="121"/>
      <c r="H1362" s="121"/>
    </row>
    <row r="1363" spans="3:8" x14ac:dyDescent="0.2">
      <c r="C1363" s="121"/>
      <c r="E1363" s="121"/>
      <c r="F1363" s="121"/>
      <c r="G1363" s="121"/>
      <c r="H1363" s="121"/>
    </row>
    <row r="1364" spans="3:8" x14ac:dyDescent="0.2">
      <c r="C1364" s="121"/>
      <c r="E1364" s="121"/>
      <c r="F1364" s="121"/>
      <c r="G1364" s="121"/>
      <c r="H1364" s="121"/>
    </row>
    <row r="1365" spans="3:8" x14ac:dyDescent="0.2">
      <c r="C1365" s="121"/>
      <c r="E1365" s="121"/>
      <c r="F1365" s="121"/>
      <c r="G1365" s="121"/>
      <c r="H1365" s="121"/>
    </row>
    <row r="1366" spans="3:8" x14ac:dyDescent="0.2">
      <c r="C1366" s="121"/>
      <c r="E1366" s="121"/>
      <c r="F1366" s="121"/>
      <c r="G1366" s="121"/>
      <c r="H1366" s="121"/>
    </row>
    <row r="1367" spans="3:8" x14ac:dyDescent="0.2">
      <c r="C1367" s="121"/>
      <c r="E1367" s="121"/>
      <c r="F1367" s="121"/>
      <c r="G1367" s="121"/>
      <c r="H1367" s="121"/>
    </row>
    <row r="1368" spans="3:8" x14ac:dyDescent="0.2">
      <c r="C1368" s="121"/>
      <c r="E1368" s="121"/>
      <c r="F1368" s="121"/>
      <c r="G1368" s="121"/>
      <c r="H1368" s="121"/>
    </row>
    <row r="1369" spans="3:8" x14ac:dyDescent="0.2">
      <c r="C1369" s="121"/>
      <c r="E1369" s="121"/>
      <c r="F1369" s="121"/>
      <c r="G1369" s="121"/>
      <c r="H1369" s="121"/>
    </row>
    <row r="1370" spans="3:8" x14ac:dyDescent="0.2">
      <c r="C1370" s="121"/>
      <c r="E1370" s="121"/>
      <c r="F1370" s="121"/>
      <c r="G1370" s="121"/>
      <c r="H1370" s="121"/>
    </row>
    <row r="1371" spans="3:8" x14ac:dyDescent="0.2">
      <c r="C1371" s="121"/>
      <c r="E1371" s="121"/>
      <c r="F1371" s="121"/>
      <c r="G1371" s="121"/>
      <c r="H1371" s="121"/>
    </row>
    <row r="1372" spans="3:8" x14ac:dyDescent="0.2">
      <c r="C1372" s="121"/>
      <c r="E1372" s="121"/>
      <c r="F1372" s="121"/>
      <c r="G1372" s="121"/>
      <c r="H1372" s="121"/>
    </row>
    <row r="1373" spans="3:8" x14ac:dyDescent="0.2">
      <c r="C1373" s="121"/>
      <c r="E1373" s="121"/>
      <c r="F1373" s="121"/>
      <c r="G1373" s="121"/>
      <c r="H1373" s="121"/>
    </row>
    <row r="1374" spans="3:8" x14ac:dyDescent="0.2">
      <c r="C1374" s="121"/>
      <c r="E1374" s="121"/>
      <c r="F1374" s="121"/>
      <c r="G1374" s="121"/>
      <c r="H1374" s="121"/>
    </row>
    <row r="1375" spans="3:8" x14ac:dyDescent="0.2">
      <c r="C1375" s="121"/>
      <c r="E1375" s="121"/>
      <c r="F1375" s="121"/>
      <c r="G1375" s="121"/>
      <c r="H1375" s="121"/>
    </row>
    <row r="1376" spans="3:8" x14ac:dyDescent="0.2">
      <c r="C1376" s="121"/>
      <c r="E1376" s="121"/>
      <c r="F1376" s="121"/>
      <c r="G1376" s="121"/>
      <c r="H1376" s="121"/>
    </row>
    <row r="1377" spans="3:8" x14ac:dyDescent="0.2">
      <c r="C1377" s="121"/>
      <c r="E1377" s="121"/>
      <c r="F1377" s="121"/>
      <c r="G1377" s="121"/>
      <c r="H1377" s="121"/>
    </row>
    <row r="1378" spans="3:8" x14ac:dyDescent="0.2">
      <c r="C1378" s="121"/>
      <c r="E1378" s="121"/>
      <c r="F1378" s="121"/>
      <c r="G1378" s="121"/>
      <c r="H1378" s="121"/>
    </row>
    <row r="1379" spans="3:8" x14ac:dyDescent="0.2">
      <c r="C1379" s="121"/>
      <c r="E1379" s="121"/>
      <c r="F1379" s="121"/>
      <c r="G1379" s="121"/>
      <c r="H1379" s="121"/>
    </row>
    <row r="1380" spans="3:8" x14ac:dyDescent="0.2">
      <c r="C1380" s="121"/>
      <c r="E1380" s="121"/>
      <c r="F1380" s="121"/>
      <c r="G1380" s="121"/>
      <c r="H1380" s="121"/>
    </row>
    <row r="1381" spans="3:8" x14ac:dyDescent="0.2">
      <c r="C1381" s="121"/>
      <c r="E1381" s="121"/>
      <c r="F1381" s="121"/>
      <c r="G1381" s="121"/>
      <c r="H1381" s="121"/>
    </row>
    <row r="1382" spans="3:8" x14ac:dyDescent="0.2">
      <c r="C1382" s="121"/>
      <c r="E1382" s="121"/>
      <c r="F1382" s="121"/>
      <c r="G1382" s="121"/>
      <c r="H1382" s="121"/>
    </row>
    <row r="1383" spans="3:8" x14ac:dyDescent="0.2">
      <c r="C1383" s="121"/>
      <c r="E1383" s="121"/>
      <c r="F1383" s="121"/>
      <c r="G1383" s="121"/>
      <c r="H1383" s="121"/>
    </row>
    <row r="1384" spans="3:8" x14ac:dyDescent="0.2">
      <c r="C1384" s="121"/>
      <c r="E1384" s="121"/>
      <c r="F1384" s="121"/>
      <c r="G1384" s="121"/>
      <c r="H1384" s="121"/>
    </row>
    <row r="1385" spans="3:8" x14ac:dyDescent="0.2">
      <c r="C1385" s="121"/>
      <c r="E1385" s="121"/>
      <c r="F1385" s="121"/>
      <c r="G1385" s="121"/>
      <c r="H1385" s="121"/>
    </row>
    <row r="1386" spans="3:8" x14ac:dyDescent="0.2">
      <c r="C1386" s="121"/>
      <c r="E1386" s="121"/>
      <c r="F1386" s="121"/>
      <c r="G1386" s="121"/>
      <c r="H1386" s="121"/>
    </row>
    <row r="1387" spans="3:8" x14ac:dyDescent="0.2">
      <c r="C1387" s="121"/>
      <c r="E1387" s="121"/>
      <c r="F1387" s="121"/>
      <c r="G1387" s="121"/>
      <c r="H1387" s="121"/>
    </row>
    <row r="1388" spans="3:8" x14ac:dyDescent="0.2">
      <c r="C1388" s="121"/>
      <c r="E1388" s="121"/>
      <c r="F1388" s="121"/>
      <c r="G1388" s="121"/>
      <c r="H1388" s="121"/>
    </row>
    <row r="1389" spans="3:8" x14ac:dyDescent="0.2">
      <c r="C1389" s="121"/>
      <c r="E1389" s="121"/>
      <c r="F1389" s="121"/>
      <c r="G1389" s="121"/>
      <c r="H1389" s="121"/>
    </row>
    <row r="1390" spans="3:8" x14ac:dyDescent="0.2">
      <c r="C1390" s="121"/>
      <c r="E1390" s="121"/>
      <c r="F1390" s="121"/>
      <c r="G1390" s="121"/>
      <c r="H1390" s="121"/>
    </row>
    <row r="1391" spans="3:8" x14ac:dyDescent="0.2">
      <c r="C1391" s="121"/>
      <c r="E1391" s="121"/>
      <c r="F1391" s="121"/>
      <c r="G1391" s="121"/>
      <c r="H1391" s="121"/>
    </row>
    <row r="1392" spans="3:8" x14ac:dyDescent="0.2">
      <c r="C1392" s="121"/>
      <c r="E1392" s="121"/>
      <c r="F1392" s="121"/>
      <c r="G1392" s="121"/>
      <c r="H1392" s="121"/>
    </row>
    <row r="1393" spans="3:8" x14ac:dyDescent="0.2">
      <c r="C1393" s="121"/>
      <c r="E1393" s="121"/>
      <c r="F1393" s="121"/>
      <c r="G1393" s="121"/>
      <c r="H1393" s="121"/>
    </row>
    <row r="1394" spans="3:8" x14ac:dyDescent="0.2">
      <c r="C1394" s="121"/>
      <c r="E1394" s="121"/>
      <c r="F1394" s="121"/>
      <c r="G1394" s="121"/>
      <c r="H1394" s="121"/>
    </row>
    <row r="1395" spans="3:8" x14ac:dyDescent="0.2">
      <c r="C1395" s="121"/>
      <c r="E1395" s="121"/>
      <c r="F1395" s="121"/>
      <c r="G1395" s="121"/>
      <c r="H1395" s="121"/>
    </row>
    <row r="1396" spans="3:8" x14ac:dyDescent="0.2">
      <c r="C1396" s="121"/>
      <c r="E1396" s="121"/>
      <c r="F1396" s="121"/>
      <c r="G1396" s="121"/>
      <c r="H1396" s="121"/>
    </row>
    <row r="1397" spans="3:8" x14ac:dyDescent="0.2">
      <c r="C1397" s="121"/>
      <c r="E1397" s="121"/>
      <c r="F1397" s="121"/>
      <c r="G1397" s="121"/>
      <c r="H1397" s="121"/>
    </row>
    <row r="1398" spans="3:8" x14ac:dyDescent="0.2">
      <c r="C1398" s="121"/>
      <c r="E1398" s="121"/>
      <c r="F1398" s="121"/>
      <c r="G1398" s="121"/>
      <c r="H1398" s="121"/>
    </row>
    <row r="1399" spans="3:8" x14ac:dyDescent="0.2">
      <c r="C1399" s="121"/>
      <c r="E1399" s="121"/>
      <c r="F1399" s="121"/>
      <c r="G1399" s="121"/>
      <c r="H1399" s="121"/>
    </row>
    <row r="1400" spans="3:8" x14ac:dyDescent="0.2">
      <c r="C1400" s="121"/>
      <c r="E1400" s="121"/>
      <c r="F1400" s="121"/>
      <c r="G1400" s="121"/>
      <c r="H1400" s="121"/>
    </row>
    <row r="1401" spans="3:8" x14ac:dyDescent="0.2">
      <c r="C1401" s="121"/>
      <c r="E1401" s="121"/>
      <c r="F1401" s="121"/>
      <c r="G1401" s="121"/>
      <c r="H1401" s="121"/>
    </row>
    <row r="1402" spans="3:8" x14ac:dyDescent="0.2">
      <c r="C1402" s="121"/>
      <c r="E1402" s="121"/>
      <c r="F1402" s="121"/>
      <c r="G1402" s="121"/>
      <c r="H1402" s="121"/>
    </row>
    <row r="1403" spans="3:8" x14ac:dyDescent="0.2">
      <c r="C1403" s="121"/>
      <c r="E1403" s="121"/>
      <c r="F1403" s="121"/>
      <c r="G1403" s="121"/>
      <c r="H1403" s="121"/>
    </row>
    <row r="1404" spans="3:8" x14ac:dyDescent="0.2">
      <c r="C1404" s="121"/>
      <c r="E1404" s="121"/>
      <c r="F1404" s="121"/>
      <c r="G1404" s="121"/>
      <c r="H1404" s="121"/>
    </row>
    <row r="1405" spans="3:8" x14ac:dyDescent="0.2">
      <c r="C1405" s="121"/>
      <c r="E1405" s="121"/>
      <c r="F1405" s="121"/>
      <c r="G1405" s="121"/>
      <c r="H1405" s="121"/>
    </row>
    <row r="1406" spans="3:8" x14ac:dyDescent="0.2">
      <c r="C1406" s="121"/>
      <c r="E1406" s="121"/>
      <c r="F1406" s="121"/>
      <c r="G1406" s="121"/>
      <c r="H1406" s="121"/>
    </row>
    <row r="1407" spans="3:8" x14ac:dyDescent="0.2">
      <c r="C1407" s="121"/>
      <c r="E1407" s="121"/>
      <c r="F1407" s="121"/>
      <c r="G1407" s="121"/>
      <c r="H1407" s="121"/>
    </row>
    <row r="1408" spans="3:8" x14ac:dyDescent="0.2">
      <c r="C1408" s="121"/>
      <c r="E1408" s="121"/>
      <c r="F1408" s="121"/>
      <c r="G1408" s="121"/>
      <c r="H1408" s="121"/>
    </row>
    <row r="1409" spans="3:8" x14ac:dyDescent="0.2">
      <c r="C1409" s="121"/>
      <c r="E1409" s="121"/>
      <c r="F1409" s="121"/>
      <c r="G1409" s="121"/>
      <c r="H1409" s="121"/>
    </row>
    <row r="1410" spans="3:8" x14ac:dyDescent="0.2">
      <c r="C1410" s="121"/>
      <c r="E1410" s="121"/>
      <c r="F1410" s="121"/>
      <c r="G1410" s="121"/>
      <c r="H1410" s="121"/>
    </row>
    <row r="1411" spans="3:8" x14ac:dyDescent="0.2">
      <c r="C1411" s="121"/>
      <c r="E1411" s="121"/>
      <c r="F1411" s="121"/>
      <c r="G1411" s="121"/>
      <c r="H1411" s="121"/>
    </row>
    <row r="1412" spans="3:8" x14ac:dyDescent="0.2">
      <c r="C1412" s="121"/>
      <c r="E1412" s="121"/>
      <c r="F1412" s="121"/>
      <c r="G1412" s="121"/>
      <c r="H1412" s="121"/>
    </row>
    <row r="1413" spans="3:8" x14ac:dyDescent="0.2">
      <c r="C1413" s="121"/>
      <c r="E1413" s="121"/>
      <c r="F1413" s="121"/>
      <c r="G1413" s="121"/>
      <c r="H1413" s="121"/>
    </row>
    <row r="1414" spans="3:8" x14ac:dyDescent="0.2">
      <c r="C1414" s="121"/>
      <c r="E1414" s="121"/>
      <c r="F1414" s="121"/>
      <c r="G1414" s="121"/>
      <c r="H1414" s="121"/>
    </row>
    <row r="1415" spans="3:8" x14ac:dyDescent="0.2">
      <c r="C1415" s="121"/>
      <c r="E1415" s="121"/>
      <c r="F1415" s="121"/>
      <c r="G1415" s="121"/>
      <c r="H1415" s="121"/>
    </row>
    <row r="1416" spans="3:8" x14ac:dyDescent="0.2">
      <c r="C1416" s="121"/>
      <c r="E1416" s="121"/>
      <c r="F1416" s="121"/>
      <c r="G1416" s="121"/>
      <c r="H1416" s="121"/>
    </row>
    <row r="1417" spans="3:8" x14ac:dyDescent="0.2">
      <c r="C1417" s="121"/>
      <c r="E1417" s="121"/>
      <c r="F1417" s="121"/>
      <c r="G1417" s="121"/>
      <c r="H1417" s="121"/>
    </row>
    <row r="1418" spans="3:8" x14ac:dyDescent="0.2">
      <c r="C1418" s="121"/>
      <c r="E1418" s="121"/>
      <c r="F1418" s="121"/>
      <c r="G1418" s="121"/>
      <c r="H1418" s="121"/>
    </row>
    <row r="1419" spans="3:8" x14ac:dyDescent="0.2">
      <c r="C1419" s="121"/>
      <c r="E1419" s="121"/>
      <c r="F1419" s="121"/>
      <c r="G1419" s="121"/>
      <c r="H1419" s="121"/>
    </row>
    <row r="1420" spans="3:8" x14ac:dyDescent="0.2">
      <c r="C1420" s="121"/>
      <c r="E1420" s="121"/>
      <c r="F1420" s="121"/>
      <c r="G1420" s="121"/>
      <c r="H1420" s="121"/>
    </row>
    <row r="1421" spans="3:8" x14ac:dyDescent="0.2">
      <c r="C1421" s="121"/>
      <c r="E1421" s="121"/>
      <c r="F1421" s="121"/>
      <c r="G1421" s="121"/>
      <c r="H1421" s="121"/>
    </row>
    <row r="1422" spans="3:8" x14ac:dyDescent="0.2">
      <c r="C1422" s="121"/>
      <c r="E1422" s="121"/>
      <c r="F1422" s="121"/>
      <c r="G1422" s="121"/>
      <c r="H1422" s="121"/>
    </row>
    <row r="1423" spans="3:8" x14ac:dyDescent="0.2">
      <c r="C1423" s="121"/>
      <c r="E1423" s="121"/>
      <c r="F1423" s="121"/>
      <c r="G1423" s="121"/>
      <c r="H1423" s="121"/>
    </row>
    <row r="1424" spans="3:8" x14ac:dyDescent="0.2">
      <c r="C1424" s="121"/>
      <c r="E1424" s="121"/>
      <c r="F1424" s="121"/>
      <c r="G1424" s="121"/>
      <c r="H1424" s="121"/>
    </row>
    <row r="1425" spans="3:8" x14ac:dyDescent="0.2">
      <c r="C1425" s="121"/>
      <c r="E1425" s="121"/>
      <c r="F1425" s="121"/>
      <c r="G1425" s="121"/>
      <c r="H1425" s="121"/>
    </row>
    <row r="1426" spans="3:8" x14ac:dyDescent="0.2">
      <c r="C1426" s="121"/>
      <c r="E1426" s="121"/>
      <c r="F1426" s="121"/>
      <c r="G1426" s="121"/>
      <c r="H1426" s="121"/>
    </row>
    <row r="1427" spans="3:8" x14ac:dyDescent="0.2">
      <c r="C1427" s="121"/>
      <c r="E1427" s="121"/>
      <c r="F1427" s="121"/>
      <c r="G1427" s="121"/>
      <c r="H1427" s="121"/>
    </row>
    <row r="1428" spans="3:8" x14ac:dyDescent="0.2">
      <c r="C1428" s="121"/>
      <c r="E1428" s="121"/>
      <c r="F1428" s="121"/>
      <c r="G1428" s="121"/>
      <c r="H1428" s="121"/>
    </row>
    <row r="1429" spans="3:8" x14ac:dyDescent="0.2">
      <c r="C1429" s="121"/>
      <c r="E1429" s="121"/>
      <c r="F1429" s="121"/>
      <c r="G1429" s="121"/>
      <c r="H1429" s="121"/>
    </row>
    <row r="1430" spans="3:8" x14ac:dyDescent="0.2">
      <c r="C1430" s="121"/>
      <c r="E1430" s="121"/>
      <c r="F1430" s="121"/>
      <c r="G1430" s="121"/>
      <c r="H1430" s="121"/>
    </row>
    <row r="1431" spans="3:8" x14ac:dyDescent="0.2">
      <c r="C1431" s="121"/>
      <c r="E1431" s="121"/>
      <c r="F1431" s="121"/>
      <c r="G1431" s="121"/>
      <c r="H1431" s="121"/>
    </row>
    <row r="1432" spans="3:8" x14ac:dyDescent="0.2">
      <c r="C1432" s="121"/>
      <c r="E1432" s="121"/>
      <c r="F1432" s="121"/>
      <c r="G1432" s="121"/>
      <c r="H1432" s="121"/>
    </row>
    <row r="1433" spans="3:8" x14ac:dyDescent="0.2">
      <c r="C1433" s="121"/>
      <c r="E1433" s="121"/>
      <c r="F1433" s="121"/>
      <c r="G1433" s="121"/>
      <c r="H1433" s="121"/>
    </row>
    <row r="1434" spans="3:8" x14ac:dyDescent="0.2">
      <c r="C1434" s="121"/>
      <c r="E1434" s="121"/>
      <c r="F1434" s="121"/>
      <c r="G1434" s="121"/>
      <c r="H1434" s="121"/>
    </row>
    <row r="1435" spans="3:8" x14ac:dyDescent="0.2">
      <c r="C1435" s="121"/>
      <c r="E1435" s="121"/>
      <c r="F1435" s="121"/>
      <c r="G1435" s="121"/>
      <c r="H1435" s="121"/>
    </row>
    <row r="1436" spans="3:8" x14ac:dyDescent="0.2">
      <c r="C1436" s="121"/>
      <c r="E1436" s="121"/>
      <c r="F1436" s="121"/>
      <c r="G1436" s="121"/>
      <c r="H1436" s="121"/>
    </row>
    <row r="1437" spans="3:8" x14ac:dyDescent="0.2">
      <c r="C1437" s="121"/>
      <c r="E1437" s="121"/>
      <c r="F1437" s="121"/>
      <c r="G1437" s="121"/>
      <c r="H1437" s="121"/>
    </row>
    <row r="1438" spans="3:8" x14ac:dyDescent="0.2">
      <c r="C1438" s="121"/>
      <c r="E1438" s="121"/>
      <c r="F1438" s="121"/>
      <c r="G1438" s="121"/>
      <c r="H1438" s="121"/>
    </row>
    <row r="1439" spans="3:8" x14ac:dyDescent="0.2">
      <c r="C1439" s="121"/>
      <c r="E1439" s="121"/>
      <c r="F1439" s="121"/>
      <c r="G1439" s="121"/>
      <c r="H1439" s="121"/>
    </row>
    <row r="1440" spans="3:8" x14ac:dyDescent="0.2">
      <c r="C1440" s="121"/>
      <c r="E1440" s="121"/>
      <c r="F1440" s="121"/>
      <c r="G1440" s="121"/>
      <c r="H1440" s="121"/>
    </row>
    <row r="1441" spans="3:8" x14ac:dyDescent="0.2">
      <c r="C1441" s="121"/>
      <c r="E1441" s="121"/>
      <c r="F1441" s="121"/>
      <c r="G1441" s="121"/>
      <c r="H1441" s="121"/>
    </row>
    <row r="1442" spans="3:8" x14ac:dyDescent="0.2">
      <c r="C1442" s="121"/>
      <c r="E1442" s="121"/>
      <c r="F1442" s="121"/>
      <c r="G1442" s="121"/>
      <c r="H1442" s="121"/>
    </row>
    <row r="1443" spans="3:8" x14ac:dyDescent="0.2">
      <c r="C1443" s="121"/>
      <c r="E1443" s="121"/>
      <c r="F1443" s="121"/>
      <c r="G1443" s="121"/>
      <c r="H1443" s="121"/>
    </row>
    <row r="1444" spans="3:8" x14ac:dyDescent="0.2">
      <c r="C1444" s="121"/>
      <c r="E1444" s="121"/>
      <c r="F1444" s="121"/>
      <c r="G1444" s="121"/>
      <c r="H1444" s="121"/>
    </row>
    <row r="1445" spans="3:8" x14ac:dyDescent="0.2">
      <c r="C1445" s="121"/>
      <c r="E1445" s="121"/>
      <c r="F1445" s="121"/>
      <c r="G1445" s="121"/>
      <c r="H1445" s="121"/>
    </row>
    <row r="1446" spans="3:8" x14ac:dyDescent="0.2">
      <c r="C1446" s="121"/>
      <c r="E1446" s="121"/>
      <c r="F1446" s="121"/>
      <c r="G1446" s="121"/>
      <c r="H1446" s="121"/>
    </row>
    <row r="1447" spans="3:8" x14ac:dyDescent="0.2">
      <c r="C1447" s="121"/>
      <c r="E1447" s="121"/>
      <c r="F1447" s="121"/>
      <c r="G1447" s="121"/>
      <c r="H1447" s="121"/>
    </row>
    <row r="1448" spans="3:8" x14ac:dyDescent="0.2">
      <c r="C1448" s="121"/>
      <c r="E1448" s="121"/>
      <c r="F1448" s="121"/>
      <c r="G1448" s="121"/>
      <c r="H1448" s="121"/>
    </row>
    <row r="1449" spans="3:8" x14ac:dyDescent="0.2">
      <c r="C1449" s="121"/>
      <c r="E1449" s="121"/>
      <c r="F1449" s="121"/>
      <c r="G1449" s="121"/>
      <c r="H1449" s="121"/>
    </row>
    <row r="1450" spans="3:8" x14ac:dyDescent="0.2">
      <c r="C1450" s="121"/>
      <c r="E1450" s="121"/>
      <c r="F1450" s="121"/>
      <c r="G1450" s="121"/>
      <c r="H1450" s="121"/>
    </row>
    <row r="1451" spans="3:8" x14ac:dyDescent="0.2">
      <c r="C1451" s="121"/>
      <c r="E1451" s="121"/>
      <c r="F1451" s="121"/>
      <c r="G1451" s="121"/>
      <c r="H1451" s="121"/>
    </row>
    <row r="1452" spans="3:8" x14ac:dyDescent="0.2">
      <c r="C1452" s="121"/>
      <c r="E1452" s="121"/>
      <c r="F1452" s="121"/>
      <c r="G1452" s="121"/>
      <c r="H1452" s="121"/>
    </row>
    <row r="1453" spans="3:8" x14ac:dyDescent="0.2">
      <c r="C1453" s="121"/>
      <c r="E1453" s="121"/>
      <c r="F1453" s="121"/>
      <c r="G1453" s="121"/>
      <c r="H1453" s="121"/>
    </row>
    <row r="1454" spans="3:8" x14ac:dyDescent="0.2">
      <c r="C1454" s="121"/>
      <c r="E1454" s="121"/>
      <c r="F1454" s="121"/>
      <c r="G1454" s="121"/>
      <c r="H1454" s="121"/>
    </row>
    <row r="1455" spans="3:8" x14ac:dyDescent="0.2">
      <c r="C1455" s="121"/>
      <c r="E1455" s="121"/>
      <c r="F1455" s="121"/>
      <c r="G1455" s="121"/>
      <c r="H1455" s="121"/>
    </row>
    <row r="1456" spans="3:8" x14ac:dyDescent="0.2">
      <c r="C1456" s="121"/>
      <c r="E1456" s="121"/>
      <c r="F1456" s="121"/>
      <c r="G1456" s="121"/>
      <c r="H1456" s="121"/>
    </row>
    <row r="1457" spans="3:8" x14ac:dyDescent="0.2">
      <c r="C1457" s="121"/>
      <c r="E1457" s="121"/>
      <c r="F1457" s="121"/>
      <c r="G1457" s="121"/>
      <c r="H1457" s="121"/>
    </row>
    <row r="1458" spans="3:8" x14ac:dyDescent="0.2">
      <c r="C1458" s="121"/>
      <c r="E1458" s="121"/>
      <c r="F1458" s="121"/>
      <c r="G1458" s="121"/>
      <c r="H1458" s="121"/>
    </row>
    <row r="1459" spans="3:8" x14ac:dyDescent="0.2">
      <c r="C1459" s="121"/>
      <c r="E1459" s="121"/>
      <c r="F1459" s="121"/>
      <c r="G1459" s="121"/>
      <c r="H1459" s="121"/>
    </row>
    <row r="1460" spans="3:8" x14ac:dyDescent="0.2">
      <c r="C1460" s="121"/>
      <c r="E1460" s="121"/>
      <c r="F1460" s="121"/>
      <c r="G1460" s="121"/>
      <c r="H1460" s="121"/>
    </row>
    <row r="1461" spans="3:8" x14ac:dyDescent="0.2">
      <c r="C1461" s="121"/>
      <c r="E1461" s="121"/>
      <c r="F1461" s="121"/>
      <c r="G1461" s="121"/>
      <c r="H1461" s="121"/>
    </row>
    <row r="1462" spans="3:8" x14ac:dyDescent="0.2">
      <c r="C1462" s="121"/>
      <c r="E1462" s="121"/>
      <c r="F1462" s="121"/>
      <c r="G1462" s="121"/>
      <c r="H1462" s="121"/>
    </row>
    <row r="1463" spans="3:8" x14ac:dyDescent="0.2">
      <c r="C1463" s="121"/>
      <c r="E1463" s="121"/>
      <c r="F1463" s="121"/>
      <c r="G1463" s="121"/>
      <c r="H1463" s="121"/>
    </row>
    <row r="1464" spans="3:8" x14ac:dyDescent="0.2">
      <c r="C1464" s="121"/>
      <c r="E1464" s="121"/>
      <c r="F1464" s="121"/>
      <c r="G1464" s="121"/>
      <c r="H1464" s="121"/>
    </row>
    <row r="1465" spans="3:8" x14ac:dyDescent="0.2">
      <c r="C1465" s="121"/>
      <c r="E1465" s="121"/>
      <c r="F1465" s="121"/>
      <c r="G1465" s="121"/>
      <c r="H1465" s="121"/>
    </row>
    <row r="1466" spans="3:8" x14ac:dyDescent="0.2">
      <c r="C1466" s="121"/>
      <c r="E1466" s="121"/>
      <c r="F1466" s="121"/>
      <c r="G1466" s="121"/>
      <c r="H1466" s="121"/>
    </row>
    <row r="1467" spans="3:8" x14ac:dyDescent="0.2">
      <c r="C1467" s="121"/>
      <c r="E1467" s="121"/>
      <c r="F1467" s="121"/>
      <c r="G1467" s="121"/>
      <c r="H1467" s="121"/>
    </row>
    <row r="1468" spans="3:8" x14ac:dyDescent="0.2">
      <c r="C1468" s="121"/>
      <c r="E1468" s="121"/>
      <c r="F1468" s="121"/>
      <c r="G1468" s="121"/>
      <c r="H1468" s="121"/>
    </row>
    <row r="1469" spans="3:8" x14ac:dyDescent="0.2">
      <c r="C1469" s="121"/>
      <c r="E1469" s="121"/>
      <c r="F1469" s="121"/>
      <c r="G1469" s="121"/>
      <c r="H1469" s="121"/>
    </row>
    <row r="1470" spans="3:8" x14ac:dyDescent="0.2">
      <c r="C1470" s="121"/>
      <c r="E1470" s="121"/>
      <c r="F1470" s="121"/>
      <c r="G1470" s="121"/>
      <c r="H1470" s="121"/>
    </row>
    <row r="1471" spans="3:8" x14ac:dyDescent="0.2">
      <c r="C1471" s="121"/>
      <c r="E1471" s="121"/>
      <c r="F1471" s="121"/>
      <c r="G1471" s="121"/>
      <c r="H1471" s="121"/>
    </row>
    <row r="1472" spans="3:8" x14ac:dyDescent="0.2">
      <c r="C1472" s="121"/>
      <c r="E1472" s="121"/>
      <c r="F1472" s="121"/>
      <c r="G1472" s="121"/>
      <c r="H1472" s="121"/>
    </row>
    <row r="1473" spans="3:8" x14ac:dyDescent="0.2">
      <c r="C1473" s="121"/>
      <c r="E1473" s="121"/>
      <c r="F1473" s="121"/>
      <c r="G1473" s="121"/>
      <c r="H1473" s="121"/>
    </row>
    <row r="1474" spans="3:8" x14ac:dyDescent="0.2">
      <c r="C1474" s="121"/>
      <c r="E1474" s="121"/>
      <c r="F1474" s="121"/>
      <c r="G1474" s="121"/>
      <c r="H1474" s="121"/>
    </row>
    <row r="1475" spans="3:8" x14ac:dyDescent="0.2">
      <c r="C1475" s="121"/>
      <c r="E1475" s="121"/>
      <c r="F1475" s="121"/>
      <c r="G1475" s="121"/>
      <c r="H1475" s="121"/>
    </row>
    <row r="1476" spans="3:8" x14ac:dyDescent="0.2">
      <c r="C1476" s="121"/>
      <c r="E1476" s="121"/>
      <c r="F1476" s="121"/>
      <c r="G1476" s="121"/>
      <c r="H1476" s="121"/>
    </row>
    <row r="1477" spans="3:8" x14ac:dyDescent="0.2">
      <c r="C1477" s="121"/>
      <c r="E1477" s="121"/>
      <c r="F1477" s="121"/>
      <c r="G1477" s="121"/>
      <c r="H1477" s="121"/>
    </row>
    <row r="1478" spans="3:8" x14ac:dyDescent="0.2">
      <c r="C1478" s="121"/>
      <c r="E1478" s="121"/>
      <c r="F1478" s="121"/>
      <c r="G1478" s="121"/>
      <c r="H1478" s="121"/>
    </row>
    <row r="1479" spans="3:8" x14ac:dyDescent="0.2">
      <c r="C1479" s="121"/>
      <c r="E1479" s="121"/>
      <c r="F1479" s="121"/>
      <c r="G1479" s="121"/>
      <c r="H1479" s="121"/>
    </row>
    <row r="1480" spans="3:8" x14ac:dyDescent="0.2">
      <c r="C1480" s="121"/>
      <c r="E1480" s="121"/>
      <c r="F1480" s="121"/>
      <c r="G1480" s="121"/>
      <c r="H1480" s="121"/>
    </row>
    <row r="1481" spans="3:8" x14ac:dyDescent="0.2">
      <c r="C1481" s="121"/>
      <c r="E1481" s="121"/>
      <c r="F1481" s="121"/>
      <c r="G1481" s="121"/>
      <c r="H1481" s="121"/>
    </row>
    <row r="1482" spans="3:8" x14ac:dyDescent="0.2">
      <c r="C1482" s="121"/>
      <c r="E1482" s="121"/>
      <c r="F1482" s="121"/>
      <c r="G1482" s="121"/>
      <c r="H1482" s="121"/>
    </row>
    <row r="1483" spans="3:8" x14ac:dyDescent="0.2">
      <c r="C1483" s="121"/>
      <c r="E1483" s="121"/>
      <c r="F1483" s="121"/>
      <c r="G1483" s="121"/>
      <c r="H1483" s="121"/>
    </row>
    <row r="1484" spans="3:8" x14ac:dyDescent="0.2">
      <c r="C1484" s="121"/>
      <c r="E1484" s="121"/>
      <c r="F1484" s="121"/>
      <c r="G1484" s="121"/>
      <c r="H1484" s="121"/>
    </row>
    <row r="1485" spans="3:8" x14ac:dyDescent="0.2">
      <c r="C1485" s="121"/>
      <c r="E1485" s="121"/>
      <c r="F1485" s="121"/>
      <c r="G1485" s="121"/>
      <c r="H1485" s="121"/>
    </row>
    <row r="1486" spans="3:8" x14ac:dyDescent="0.2">
      <c r="C1486" s="121"/>
      <c r="E1486" s="121"/>
      <c r="F1486" s="121"/>
      <c r="G1486" s="121"/>
      <c r="H1486" s="121"/>
    </row>
    <row r="1487" spans="3:8" x14ac:dyDescent="0.2">
      <c r="C1487" s="121"/>
      <c r="E1487" s="121"/>
      <c r="F1487" s="121"/>
      <c r="G1487" s="121"/>
      <c r="H1487" s="121"/>
    </row>
    <row r="1488" spans="3:8" x14ac:dyDescent="0.2">
      <c r="C1488" s="121"/>
      <c r="E1488" s="121"/>
      <c r="F1488" s="121"/>
      <c r="G1488" s="121"/>
      <c r="H1488" s="121"/>
    </row>
    <row r="1489" spans="3:8" x14ac:dyDescent="0.2">
      <c r="C1489" s="121"/>
      <c r="E1489" s="121"/>
      <c r="F1489" s="121"/>
      <c r="G1489" s="121"/>
      <c r="H1489" s="121"/>
    </row>
    <row r="1490" spans="3:8" x14ac:dyDescent="0.2">
      <c r="C1490" s="121"/>
      <c r="E1490" s="121"/>
      <c r="F1490" s="121"/>
      <c r="G1490" s="121"/>
      <c r="H1490" s="121"/>
    </row>
    <row r="1491" spans="3:8" x14ac:dyDescent="0.2">
      <c r="C1491" s="121"/>
      <c r="E1491" s="121"/>
      <c r="F1491" s="121"/>
      <c r="G1491" s="121"/>
      <c r="H1491" s="121"/>
    </row>
    <row r="1492" spans="3:8" x14ac:dyDescent="0.2">
      <c r="C1492" s="121"/>
      <c r="E1492" s="121"/>
      <c r="F1492" s="121"/>
      <c r="G1492" s="121"/>
      <c r="H1492" s="121"/>
    </row>
    <row r="1493" spans="3:8" x14ac:dyDescent="0.2">
      <c r="C1493" s="121"/>
      <c r="E1493" s="121"/>
      <c r="F1493" s="121"/>
      <c r="G1493" s="121"/>
      <c r="H1493" s="121"/>
    </row>
    <row r="1494" spans="3:8" x14ac:dyDescent="0.2">
      <c r="C1494" s="121"/>
      <c r="E1494" s="121"/>
      <c r="F1494" s="121"/>
      <c r="G1494" s="121"/>
      <c r="H1494" s="121"/>
    </row>
    <row r="1495" spans="3:8" x14ac:dyDescent="0.2">
      <c r="C1495" s="121"/>
      <c r="E1495" s="121"/>
      <c r="F1495" s="121"/>
      <c r="G1495" s="121"/>
      <c r="H1495" s="121"/>
    </row>
    <row r="1496" spans="3:8" x14ac:dyDescent="0.2">
      <c r="C1496" s="121"/>
      <c r="E1496" s="121"/>
      <c r="F1496" s="121"/>
      <c r="G1496" s="121"/>
      <c r="H1496" s="121"/>
    </row>
    <row r="1497" spans="3:8" x14ac:dyDescent="0.2">
      <c r="C1497" s="121"/>
      <c r="E1497" s="121"/>
      <c r="F1497" s="121"/>
      <c r="G1497" s="121"/>
      <c r="H1497" s="121"/>
    </row>
    <row r="1498" spans="3:8" x14ac:dyDescent="0.2">
      <c r="C1498" s="121"/>
      <c r="E1498" s="121"/>
      <c r="F1498" s="121"/>
      <c r="G1498" s="121"/>
      <c r="H1498" s="121"/>
    </row>
    <row r="1499" spans="3:8" x14ac:dyDescent="0.2">
      <c r="C1499" s="121"/>
      <c r="E1499" s="121"/>
      <c r="F1499" s="121"/>
      <c r="G1499" s="121"/>
      <c r="H1499" s="121"/>
    </row>
    <row r="1500" spans="3:8" x14ac:dyDescent="0.2">
      <c r="C1500" s="121"/>
      <c r="E1500" s="121"/>
      <c r="F1500" s="121"/>
      <c r="G1500" s="121"/>
      <c r="H1500" s="121"/>
    </row>
    <row r="1501" spans="3:8" x14ac:dyDescent="0.2">
      <c r="C1501" s="121"/>
      <c r="E1501" s="121"/>
      <c r="F1501" s="121"/>
      <c r="G1501" s="121"/>
      <c r="H1501" s="121"/>
    </row>
    <row r="1502" spans="3:8" x14ac:dyDescent="0.2">
      <c r="C1502" s="121"/>
      <c r="E1502" s="121"/>
      <c r="F1502" s="121"/>
      <c r="G1502" s="121"/>
      <c r="H1502" s="121"/>
    </row>
    <row r="1503" spans="3:8" x14ac:dyDescent="0.2">
      <c r="C1503" s="121"/>
      <c r="E1503" s="121"/>
      <c r="F1503" s="121"/>
      <c r="G1503" s="121"/>
      <c r="H1503" s="121"/>
    </row>
    <row r="1504" spans="3:8" x14ac:dyDescent="0.2">
      <c r="C1504" s="121"/>
      <c r="E1504" s="121"/>
      <c r="F1504" s="121"/>
      <c r="G1504" s="121"/>
      <c r="H1504" s="121"/>
    </row>
    <row r="1505" spans="3:8" x14ac:dyDescent="0.2">
      <c r="C1505" s="121"/>
      <c r="E1505" s="121"/>
      <c r="F1505" s="121"/>
      <c r="G1505" s="121"/>
      <c r="H1505" s="121"/>
    </row>
    <row r="1506" spans="3:8" x14ac:dyDescent="0.2">
      <c r="C1506" s="121"/>
      <c r="E1506" s="121"/>
      <c r="F1506" s="121"/>
      <c r="G1506" s="121"/>
      <c r="H1506" s="121"/>
    </row>
    <row r="1507" spans="3:8" x14ac:dyDescent="0.2">
      <c r="C1507" s="121"/>
      <c r="E1507" s="121"/>
      <c r="F1507" s="121"/>
      <c r="G1507" s="121"/>
      <c r="H1507" s="121"/>
    </row>
    <row r="1508" spans="3:8" x14ac:dyDescent="0.2">
      <c r="C1508" s="121"/>
      <c r="E1508" s="121"/>
      <c r="F1508" s="121"/>
      <c r="G1508" s="121"/>
      <c r="H1508" s="121"/>
    </row>
    <row r="1509" spans="3:8" x14ac:dyDescent="0.2">
      <c r="C1509" s="121"/>
      <c r="E1509" s="121"/>
      <c r="F1509" s="121"/>
      <c r="G1509" s="121"/>
      <c r="H1509" s="121"/>
    </row>
    <row r="1510" spans="3:8" x14ac:dyDescent="0.2">
      <c r="C1510" s="121"/>
      <c r="E1510" s="121"/>
      <c r="F1510" s="121"/>
      <c r="G1510" s="121"/>
      <c r="H1510" s="121"/>
    </row>
    <row r="1511" spans="3:8" x14ac:dyDescent="0.2">
      <c r="C1511" s="121"/>
      <c r="E1511" s="121"/>
      <c r="F1511" s="121"/>
      <c r="G1511" s="121"/>
      <c r="H1511" s="121"/>
    </row>
    <row r="1512" spans="3:8" x14ac:dyDescent="0.2">
      <c r="C1512" s="121"/>
      <c r="E1512" s="121"/>
      <c r="F1512" s="121"/>
      <c r="G1512" s="121"/>
      <c r="H1512" s="121"/>
    </row>
    <row r="1513" spans="3:8" x14ac:dyDescent="0.2">
      <c r="C1513" s="121"/>
      <c r="E1513" s="121"/>
      <c r="F1513" s="121"/>
      <c r="G1513" s="121"/>
      <c r="H1513" s="121"/>
    </row>
    <row r="1514" spans="3:8" x14ac:dyDescent="0.2">
      <c r="C1514" s="121"/>
      <c r="E1514" s="121"/>
      <c r="F1514" s="121"/>
      <c r="G1514" s="121"/>
      <c r="H1514" s="121"/>
    </row>
    <row r="1515" spans="3:8" x14ac:dyDescent="0.2">
      <c r="C1515" s="121"/>
      <c r="E1515" s="121"/>
      <c r="F1515" s="121"/>
      <c r="G1515" s="121"/>
      <c r="H1515" s="121"/>
    </row>
    <row r="1516" spans="3:8" x14ac:dyDescent="0.2">
      <c r="C1516" s="121"/>
      <c r="E1516" s="121"/>
      <c r="F1516" s="121"/>
      <c r="G1516" s="121"/>
      <c r="H1516" s="121"/>
    </row>
    <row r="1517" spans="3:8" x14ac:dyDescent="0.2">
      <c r="C1517" s="121"/>
      <c r="E1517" s="121"/>
      <c r="F1517" s="121"/>
      <c r="G1517" s="121"/>
      <c r="H1517" s="121"/>
    </row>
    <row r="1518" spans="3:8" x14ac:dyDescent="0.2">
      <c r="C1518" s="121"/>
      <c r="E1518" s="121"/>
      <c r="F1518" s="121"/>
      <c r="G1518" s="121"/>
      <c r="H1518" s="121"/>
    </row>
    <row r="1519" spans="3:8" x14ac:dyDescent="0.2">
      <c r="C1519" s="121"/>
      <c r="E1519" s="121"/>
      <c r="F1519" s="121"/>
      <c r="G1519" s="121"/>
      <c r="H1519" s="121"/>
    </row>
    <row r="1520" spans="3:8" x14ac:dyDescent="0.2">
      <c r="C1520" s="121"/>
      <c r="E1520" s="121"/>
      <c r="F1520" s="121"/>
      <c r="G1520" s="121"/>
      <c r="H1520" s="121"/>
    </row>
    <row r="1521" spans="3:8" x14ac:dyDescent="0.2">
      <c r="C1521" s="121"/>
      <c r="E1521" s="121"/>
      <c r="F1521" s="121"/>
      <c r="G1521" s="121"/>
      <c r="H1521" s="121"/>
    </row>
    <row r="1522" spans="3:8" x14ac:dyDescent="0.2">
      <c r="C1522" s="121"/>
      <c r="E1522" s="121"/>
      <c r="F1522" s="121"/>
      <c r="G1522" s="121"/>
      <c r="H1522" s="121"/>
    </row>
    <row r="1523" spans="3:8" x14ac:dyDescent="0.2">
      <c r="C1523" s="121"/>
      <c r="E1523" s="121"/>
      <c r="F1523" s="121"/>
      <c r="G1523" s="121"/>
      <c r="H1523" s="121"/>
    </row>
    <row r="1524" spans="3:8" x14ac:dyDescent="0.2">
      <c r="C1524" s="121"/>
      <c r="E1524" s="121"/>
      <c r="F1524" s="121"/>
      <c r="G1524" s="121"/>
      <c r="H1524" s="121"/>
    </row>
    <row r="1525" spans="3:8" x14ac:dyDescent="0.2">
      <c r="C1525" s="121"/>
      <c r="E1525" s="121"/>
      <c r="F1525" s="121"/>
      <c r="G1525" s="121"/>
      <c r="H1525" s="121"/>
    </row>
    <row r="1526" spans="3:8" x14ac:dyDescent="0.2">
      <c r="C1526" s="121"/>
      <c r="E1526" s="121"/>
      <c r="F1526" s="121"/>
      <c r="G1526" s="121"/>
      <c r="H1526" s="121"/>
    </row>
    <row r="1527" spans="3:8" x14ac:dyDescent="0.2">
      <c r="C1527" s="121"/>
      <c r="E1527" s="121"/>
      <c r="F1527" s="121"/>
      <c r="G1527" s="121"/>
      <c r="H1527" s="121"/>
    </row>
    <row r="1528" spans="3:8" x14ac:dyDescent="0.2">
      <c r="C1528" s="121"/>
      <c r="E1528" s="121"/>
      <c r="F1528" s="121"/>
      <c r="G1528" s="121"/>
      <c r="H1528" s="121"/>
    </row>
    <row r="1529" spans="3:8" x14ac:dyDescent="0.2">
      <c r="C1529" s="121"/>
      <c r="E1529" s="121"/>
      <c r="F1529" s="121"/>
      <c r="G1529" s="121"/>
      <c r="H1529" s="121"/>
    </row>
    <row r="1530" spans="3:8" x14ac:dyDescent="0.2">
      <c r="C1530" s="121"/>
      <c r="E1530" s="121"/>
      <c r="F1530" s="121"/>
      <c r="G1530" s="121"/>
      <c r="H1530" s="121"/>
    </row>
    <row r="1531" spans="3:8" x14ac:dyDescent="0.2">
      <c r="C1531" s="121"/>
      <c r="E1531" s="121"/>
      <c r="F1531" s="121"/>
      <c r="G1531" s="121"/>
      <c r="H1531" s="121"/>
    </row>
    <row r="1532" spans="3:8" x14ac:dyDescent="0.2">
      <c r="C1532" s="121"/>
      <c r="E1532" s="121"/>
      <c r="F1532" s="121"/>
      <c r="G1532" s="121"/>
      <c r="H1532" s="121"/>
    </row>
    <row r="1533" spans="3:8" x14ac:dyDescent="0.2">
      <c r="C1533" s="121"/>
      <c r="E1533" s="121"/>
      <c r="F1533" s="121"/>
      <c r="G1533" s="121"/>
      <c r="H1533" s="121"/>
    </row>
    <row r="1534" spans="3:8" x14ac:dyDescent="0.2">
      <c r="C1534" s="121"/>
      <c r="E1534" s="121"/>
      <c r="F1534" s="121"/>
      <c r="G1534" s="121"/>
      <c r="H1534" s="121"/>
    </row>
    <row r="1535" spans="3:8" x14ac:dyDescent="0.2">
      <c r="C1535" s="121"/>
      <c r="E1535" s="121"/>
      <c r="F1535" s="121"/>
      <c r="G1535" s="121"/>
      <c r="H1535" s="121"/>
    </row>
    <row r="1536" spans="3:8" x14ac:dyDescent="0.2">
      <c r="C1536" s="121"/>
      <c r="E1536" s="121"/>
      <c r="F1536" s="121"/>
      <c r="G1536" s="121"/>
      <c r="H1536" s="121"/>
    </row>
    <row r="1537" spans="3:8" x14ac:dyDescent="0.2">
      <c r="C1537" s="121"/>
      <c r="E1537" s="121"/>
      <c r="F1537" s="121"/>
      <c r="G1537" s="121"/>
      <c r="H1537" s="121"/>
    </row>
    <row r="1538" spans="3:8" x14ac:dyDescent="0.2">
      <c r="C1538" s="121"/>
      <c r="E1538" s="121"/>
      <c r="F1538" s="121"/>
      <c r="G1538" s="121"/>
      <c r="H1538" s="121"/>
    </row>
    <row r="1539" spans="3:8" x14ac:dyDescent="0.2">
      <c r="C1539" s="121"/>
      <c r="E1539" s="121"/>
      <c r="F1539" s="121"/>
      <c r="G1539" s="121"/>
      <c r="H1539" s="121"/>
    </row>
    <row r="1540" spans="3:8" x14ac:dyDescent="0.2">
      <c r="C1540" s="121"/>
      <c r="E1540" s="121"/>
      <c r="F1540" s="121"/>
      <c r="G1540" s="121"/>
      <c r="H1540" s="121"/>
    </row>
    <row r="1541" spans="3:8" x14ac:dyDescent="0.2">
      <c r="C1541" s="121"/>
      <c r="E1541" s="121"/>
      <c r="F1541" s="121"/>
      <c r="G1541" s="121"/>
      <c r="H1541" s="121"/>
    </row>
    <row r="1542" spans="3:8" x14ac:dyDescent="0.2">
      <c r="C1542" s="121"/>
      <c r="E1542" s="121"/>
      <c r="F1542" s="121"/>
      <c r="G1542" s="121"/>
      <c r="H1542" s="121"/>
    </row>
    <row r="1543" spans="3:8" x14ac:dyDescent="0.2">
      <c r="C1543" s="121"/>
      <c r="E1543" s="121"/>
      <c r="F1543" s="121"/>
      <c r="G1543" s="121"/>
      <c r="H1543" s="121"/>
    </row>
    <row r="1544" spans="3:8" x14ac:dyDescent="0.2">
      <c r="C1544" s="121"/>
      <c r="E1544" s="121"/>
      <c r="F1544" s="121"/>
      <c r="G1544" s="121"/>
      <c r="H1544" s="121"/>
    </row>
    <row r="1545" spans="3:8" x14ac:dyDescent="0.2">
      <c r="C1545" s="121"/>
      <c r="E1545" s="121"/>
      <c r="F1545" s="121"/>
      <c r="G1545" s="121"/>
      <c r="H1545" s="121"/>
    </row>
    <row r="1546" spans="3:8" x14ac:dyDescent="0.2">
      <c r="C1546" s="121"/>
      <c r="E1546" s="121"/>
      <c r="F1546" s="121"/>
      <c r="G1546" s="121"/>
      <c r="H1546" s="121"/>
    </row>
    <row r="1547" spans="3:8" x14ac:dyDescent="0.2">
      <c r="C1547" s="121"/>
      <c r="E1547" s="121"/>
      <c r="F1547" s="121"/>
      <c r="G1547" s="121"/>
      <c r="H1547" s="121"/>
    </row>
    <row r="1548" spans="3:8" x14ac:dyDescent="0.2">
      <c r="C1548" s="121"/>
      <c r="E1548" s="121"/>
      <c r="F1548" s="121"/>
      <c r="G1548" s="121"/>
      <c r="H1548" s="121"/>
    </row>
    <row r="1549" spans="3:8" x14ac:dyDescent="0.2">
      <c r="C1549" s="121"/>
      <c r="E1549" s="121"/>
      <c r="F1549" s="121"/>
      <c r="G1549" s="121"/>
      <c r="H1549" s="121"/>
    </row>
    <row r="1550" spans="3:8" x14ac:dyDescent="0.2">
      <c r="C1550" s="121"/>
      <c r="E1550" s="121"/>
      <c r="F1550" s="121"/>
      <c r="G1550" s="121"/>
      <c r="H1550" s="121"/>
    </row>
    <row r="1551" spans="3:8" x14ac:dyDescent="0.2">
      <c r="C1551" s="121"/>
      <c r="E1551" s="121"/>
      <c r="F1551" s="121"/>
      <c r="G1551" s="121"/>
      <c r="H1551" s="121"/>
    </row>
    <row r="1552" spans="3:8" x14ac:dyDescent="0.2">
      <c r="C1552" s="121"/>
      <c r="E1552" s="121"/>
      <c r="F1552" s="121"/>
      <c r="G1552" s="121"/>
      <c r="H1552" s="121"/>
    </row>
    <row r="1553" spans="3:8" x14ac:dyDescent="0.2">
      <c r="C1553" s="121"/>
      <c r="E1553" s="121"/>
      <c r="F1553" s="121"/>
      <c r="G1553" s="121"/>
      <c r="H1553" s="121"/>
    </row>
    <row r="1554" spans="3:8" x14ac:dyDescent="0.2">
      <c r="C1554" s="121"/>
      <c r="E1554" s="121"/>
      <c r="F1554" s="121"/>
      <c r="G1554" s="121"/>
      <c r="H1554" s="121"/>
    </row>
    <row r="1555" spans="3:8" x14ac:dyDescent="0.2">
      <c r="C1555" s="121"/>
      <c r="E1555" s="121"/>
      <c r="F1555" s="121"/>
      <c r="G1555" s="121"/>
      <c r="H1555" s="121"/>
    </row>
    <row r="1556" spans="3:8" x14ac:dyDescent="0.2">
      <c r="C1556" s="121"/>
      <c r="E1556" s="121"/>
      <c r="F1556" s="121"/>
      <c r="G1556" s="121"/>
      <c r="H1556" s="121"/>
    </row>
    <row r="1557" spans="3:8" x14ac:dyDescent="0.2">
      <c r="C1557" s="121"/>
      <c r="E1557" s="121"/>
      <c r="F1557" s="121"/>
      <c r="G1557" s="121"/>
      <c r="H1557" s="121"/>
    </row>
    <row r="1558" spans="3:8" x14ac:dyDescent="0.2">
      <c r="C1558" s="121"/>
      <c r="E1558" s="121"/>
      <c r="F1558" s="121"/>
      <c r="G1558" s="121"/>
      <c r="H1558" s="121"/>
    </row>
    <row r="1559" spans="3:8" x14ac:dyDescent="0.2">
      <c r="C1559" s="121"/>
      <c r="E1559" s="121"/>
      <c r="F1559" s="121"/>
      <c r="G1559" s="121"/>
      <c r="H1559" s="121"/>
    </row>
    <row r="1560" spans="3:8" x14ac:dyDescent="0.2">
      <c r="C1560" s="121"/>
      <c r="E1560" s="121"/>
      <c r="F1560" s="121"/>
      <c r="G1560" s="121"/>
      <c r="H1560" s="121"/>
    </row>
    <row r="1561" spans="3:8" x14ac:dyDescent="0.2">
      <c r="C1561" s="121"/>
      <c r="E1561" s="121"/>
      <c r="F1561" s="121"/>
      <c r="G1561" s="121"/>
      <c r="H1561" s="121"/>
    </row>
    <row r="1562" spans="3:8" x14ac:dyDescent="0.2">
      <c r="C1562" s="121"/>
      <c r="E1562" s="121"/>
      <c r="F1562" s="121"/>
      <c r="G1562" s="121"/>
      <c r="H1562" s="121"/>
    </row>
    <row r="1563" spans="3:8" x14ac:dyDescent="0.2">
      <c r="C1563" s="121"/>
      <c r="E1563" s="121"/>
      <c r="F1563" s="121"/>
      <c r="G1563" s="121"/>
      <c r="H1563" s="121"/>
    </row>
    <row r="1564" spans="3:8" x14ac:dyDescent="0.2">
      <c r="C1564" s="121"/>
      <c r="E1564" s="121"/>
      <c r="F1564" s="121"/>
      <c r="G1564" s="121"/>
      <c r="H1564" s="121"/>
    </row>
    <row r="1565" spans="3:8" x14ac:dyDescent="0.2">
      <c r="C1565" s="121"/>
      <c r="E1565" s="121"/>
      <c r="F1565" s="121"/>
      <c r="G1565" s="121"/>
      <c r="H1565" s="121"/>
    </row>
    <row r="1566" spans="3:8" x14ac:dyDescent="0.2">
      <c r="C1566" s="121"/>
      <c r="E1566" s="121"/>
      <c r="F1566" s="121"/>
      <c r="G1566" s="121"/>
      <c r="H1566" s="121"/>
    </row>
    <row r="1567" spans="3:8" x14ac:dyDescent="0.2">
      <c r="C1567" s="121"/>
      <c r="E1567" s="121"/>
      <c r="F1567" s="121"/>
      <c r="G1567" s="121"/>
      <c r="H1567" s="121"/>
    </row>
    <row r="1568" spans="3:8" x14ac:dyDescent="0.2">
      <c r="C1568" s="121"/>
      <c r="E1568" s="121"/>
      <c r="F1568" s="121"/>
      <c r="G1568" s="121"/>
      <c r="H1568" s="121"/>
    </row>
    <row r="1569" spans="3:8" x14ac:dyDescent="0.2">
      <c r="C1569" s="121"/>
      <c r="E1569" s="121"/>
      <c r="F1569" s="121"/>
      <c r="G1569" s="121"/>
      <c r="H1569" s="121"/>
    </row>
    <row r="1570" spans="3:8" x14ac:dyDescent="0.2">
      <c r="C1570" s="121"/>
      <c r="E1570" s="121"/>
      <c r="F1570" s="121"/>
      <c r="G1570" s="121"/>
      <c r="H1570" s="121"/>
    </row>
    <row r="1571" spans="3:8" x14ac:dyDescent="0.2">
      <c r="C1571" s="121"/>
      <c r="E1571" s="121"/>
      <c r="F1571" s="121"/>
      <c r="G1571" s="121"/>
      <c r="H1571" s="121"/>
    </row>
    <row r="1572" spans="3:8" x14ac:dyDescent="0.2">
      <c r="C1572" s="121"/>
      <c r="E1572" s="121"/>
      <c r="F1572" s="121"/>
      <c r="G1572" s="121"/>
      <c r="H1572" s="121"/>
    </row>
    <row r="1573" spans="3:8" x14ac:dyDescent="0.2">
      <c r="C1573" s="121"/>
      <c r="E1573" s="121"/>
      <c r="F1573" s="121"/>
      <c r="G1573" s="121"/>
      <c r="H1573" s="121"/>
    </row>
    <row r="1574" spans="3:8" x14ac:dyDescent="0.2">
      <c r="C1574" s="121"/>
      <c r="E1574" s="121"/>
      <c r="F1574" s="121"/>
      <c r="G1574" s="121"/>
      <c r="H1574" s="121"/>
    </row>
    <row r="1575" spans="3:8" x14ac:dyDescent="0.2">
      <c r="C1575" s="121"/>
      <c r="E1575" s="121"/>
      <c r="F1575" s="121"/>
      <c r="G1575" s="121"/>
      <c r="H1575" s="121"/>
    </row>
    <row r="1576" spans="3:8" x14ac:dyDescent="0.2">
      <c r="C1576" s="121"/>
      <c r="E1576" s="121"/>
      <c r="F1576" s="121"/>
      <c r="G1576" s="121"/>
      <c r="H1576" s="121"/>
    </row>
    <row r="1577" spans="3:8" x14ac:dyDescent="0.2">
      <c r="C1577" s="121"/>
      <c r="E1577" s="121"/>
      <c r="F1577" s="121"/>
      <c r="G1577" s="121"/>
      <c r="H1577" s="121"/>
    </row>
    <row r="1578" spans="3:8" x14ac:dyDescent="0.2">
      <c r="C1578" s="121"/>
      <c r="E1578" s="121"/>
      <c r="F1578" s="121"/>
      <c r="G1578" s="121"/>
      <c r="H1578" s="121"/>
    </row>
    <row r="1579" spans="3:8" x14ac:dyDescent="0.2">
      <c r="C1579" s="121"/>
      <c r="E1579" s="121"/>
      <c r="F1579" s="121"/>
      <c r="G1579" s="121"/>
      <c r="H1579" s="121"/>
    </row>
    <row r="1580" spans="3:8" x14ac:dyDescent="0.2">
      <c r="C1580" s="121"/>
      <c r="E1580" s="121"/>
      <c r="F1580" s="121"/>
      <c r="G1580" s="121"/>
      <c r="H1580" s="121"/>
    </row>
    <row r="1581" spans="3:8" x14ac:dyDescent="0.2">
      <c r="C1581" s="121"/>
      <c r="E1581" s="121"/>
      <c r="F1581" s="121"/>
      <c r="G1581" s="121"/>
      <c r="H1581" s="121"/>
    </row>
    <row r="1582" spans="3:8" x14ac:dyDescent="0.2">
      <c r="C1582" s="121"/>
      <c r="E1582" s="121"/>
      <c r="F1582" s="121"/>
      <c r="G1582" s="121"/>
      <c r="H1582" s="121"/>
    </row>
    <row r="1583" spans="3:8" x14ac:dyDescent="0.2">
      <c r="C1583" s="121"/>
      <c r="E1583" s="121"/>
      <c r="F1583" s="121"/>
      <c r="G1583" s="121"/>
      <c r="H1583" s="121"/>
    </row>
    <row r="1584" spans="3:8" x14ac:dyDescent="0.2">
      <c r="C1584" s="121"/>
      <c r="E1584" s="121"/>
      <c r="F1584" s="121"/>
      <c r="G1584" s="121"/>
      <c r="H1584" s="121"/>
    </row>
    <row r="1585" spans="3:8" x14ac:dyDescent="0.2">
      <c r="C1585" s="121"/>
      <c r="E1585" s="121"/>
      <c r="F1585" s="121"/>
      <c r="G1585" s="121"/>
      <c r="H1585" s="121"/>
    </row>
    <row r="1586" spans="3:8" x14ac:dyDescent="0.2">
      <c r="C1586" s="121"/>
      <c r="E1586" s="121"/>
      <c r="F1586" s="121"/>
      <c r="G1586" s="121"/>
      <c r="H1586" s="121"/>
    </row>
    <row r="1587" spans="3:8" x14ac:dyDescent="0.2">
      <c r="C1587" s="121"/>
      <c r="E1587" s="121"/>
      <c r="F1587" s="121"/>
      <c r="G1587" s="121"/>
      <c r="H1587" s="121"/>
    </row>
    <row r="1588" spans="3:8" x14ac:dyDescent="0.2">
      <c r="C1588" s="121"/>
      <c r="E1588" s="121"/>
      <c r="F1588" s="121"/>
      <c r="G1588" s="121"/>
      <c r="H1588" s="121"/>
    </row>
    <row r="1589" spans="3:8" x14ac:dyDescent="0.2">
      <c r="C1589" s="121"/>
      <c r="E1589" s="121"/>
      <c r="F1589" s="121"/>
      <c r="G1589" s="121"/>
      <c r="H1589" s="121"/>
    </row>
    <row r="1590" spans="3:8" x14ac:dyDescent="0.2">
      <c r="C1590" s="121"/>
      <c r="E1590" s="121"/>
      <c r="F1590" s="121"/>
      <c r="G1590" s="121"/>
      <c r="H1590" s="121"/>
    </row>
    <row r="1591" spans="3:8" x14ac:dyDescent="0.2">
      <c r="C1591" s="121"/>
      <c r="E1591" s="121"/>
      <c r="F1591" s="121"/>
      <c r="G1591" s="121"/>
      <c r="H1591" s="121"/>
    </row>
    <row r="1592" spans="3:8" x14ac:dyDescent="0.2">
      <c r="C1592" s="121"/>
      <c r="E1592" s="121"/>
      <c r="F1592" s="121"/>
      <c r="G1592" s="121"/>
      <c r="H1592" s="121"/>
    </row>
    <row r="1593" spans="3:8" x14ac:dyDescent="0.2">
      <c r="C1593" s="121"/>
      <c r="E1593" s="121"/>
      <c r="F1593" s="121"/>
      <c r="G1593" s="121"/>
      <c r="H1593" s="121"/>
    </row>
    <row r="1594" spans="3:8" x14ac:dyDescent="0.2">
      <c r="C1594" s="121"/>
      <c r="E1594" s="121"/>
      <c r="F1594" s="121"/>
      <c r="G1594" s="121"/>
      <c r="H1594" s="121"/>
    </row>
    <row r="1595" spans="3:8" x14ac:dyDescent="0.2">
      <c r="C1595" s="121"/>
      <c r="E1595" s="121"/>
      <c r="F1595" s="121"/>
      <c r="G1595" s="121"/>
      <c r="H1595" s="121"/>
    </row>
    <row r="1596" spans="3:8" x14ac:dyDescent="0.2">
      <c r="C1596" s="121"/>
      <c r="E1596" s="121"/>
      <c r="F1596" s="121"/>
      <c r="G1596" s="121"/>
      <c r="H1596" s="121"/>
    </row>
    <row r="1597" spans="3:8" x14ac:dyDescent="0.2">
      <c r="C1597" s="121"/>
      <c r="E1597" s="121"/>
      <c r="F1597" s="121"/>
      <c r="G1597" s="121"/>
      <c r="H1597" s="121"/>
    </row>
    <row r="1598" spans="3:8" x14ac:dyDescent="0.2">
      <c r="C1598" s="121"/>
      <c r="E1598" s="121"/>
      <c r="F1598" s="121"/>
      <c r="G1598" s="121"/>
      <c r="H1598" s="121"/>
    </row>
    <row r="1599" spans="3:8" x14ac:dyDescent="0.2">
      <c r="C1599" s="121"/>
      <c r="E1599" s="121"/>
      <c r="F1599" s="121"/>
      <c r="G1599" s="121"/>
      <c r="H1599" s="121"/>
    </row>
    <row r="1600" spans="3:8" x14ac:dyDescent="0.2">
      <c r="C1600" s="121"/>
      <c r="E1600" s="121"/>
      <c r="F1600" s="121"/>
      <c r="G1600" s="121"/>
      <c r="H1600" s="121"/>
    </row>
    <row r="1601" spans="3:8" x14ac:dyDescent="0.2">
      <c r="C1601" s="121"/>
      <c r="E1601" s="121"/>
      <c r="F1601" s="121"/>
      <c r="G1601" s="121"/>
      <c r="H1601" s="121"/>
    </row>
    <row r="1602" spans="3:8" x14ac:dyDescent="0.2">
      <c r="C1602" s="121"/>
      <c r="E1602" s="121"/>
      <c r="F1602" s="121"/>
      <c r="G1602" s="121"/>
      <c r="H1602" s="121"/>
    </row>
    <row r="1603" spans="3:8" x14ac:dyDescent="0.2">
      <c r="C1603" s="121"/>
      <c r="E1603" s="121"/>
      <c r="F1603" s="121"/>
      <c r="G1603" s="121"/>
      <c r="H1603" s="121"/>
    </row>
    <row r="1604" spans="3:8" x14ac:dyDescent="0.2">
      <c r="C1604" s="121"/>
      <c r="E1604" s="121"/>
      <c r="F1604" s="121"/>
      <c r="G1604" s="121"/>
      <c r="H1604" s="121"/>
    </row>
    <row r="1605" spans="3:8" x14ac:dyDescent="0.2">
      <c r="C1605" s="121"/>
      <c r="E1605" s="121"/>
      <c r="F1605" s="121"/>
      <c r="G1605" s="121"/>
      <c r="H1605" s="121"/>
    </row>
    <row r="1606" spans="3:8" x14ac:dyDescent="0.2">
      <c r="C1606" s="121"/>
      <c r="E1606" s="121"/>
      <c r="F1606" s="121"/>
      <c r="G1606" s="121"/>
      <c r="H1606" s="121"/>
    </row>
    <row r="1607" spans="3:8" x14ac:dyDescent="0.2">
      <c r="C1607" s="121"/>
      <c r="E1607" s="121"/>
      <c r="F1607" s="121"/>
      <c r="G1607" s="121"/>
      <c r="H1607" s="121"/>
    </row>
    <row r="1608" spans="3:8" x14ac:dyDescent="0.2">
      <c r="C1608" s="121"/>
      <c r="E1608" s="121"/>
      <c r="F1608" s="121"/>
      <c r="G1608" s="121"/>
      <c r="H1608" s="121"/>
    </row>
    <row r="1609" spans="3:8" x14ac:dyDescent="0.2">
      <c r="C1609" s="121"/>
      <c r="E1609" s="121"/>
      <c r="F1609" s="121"/>
      <c r="G1609" s="121"/>
      <c r="H1609" s="121"/>
    </row>
    <row r="1610" spans="3:8" x14ac:dyDescent="0.2">
      <c r="C1610" s="121"/>
      <c r="E1610" s="121"/>
      <c r="F1610" s="121"/>
      <c r="G1610" s="121"/>
      <c r="H1610" s="121"/>
    </row>
    <row r="1611" spans="3:8" x14ac:dyDescent="0.2">
      <c r="C1611" s="121"/>
      <c r="E1611" s="121"/>
      <c r="F1611" s="121"/>
      <c r="G1611" s="121"/>
      <c r="H1611" s="121"/>
    </row>
    <row r="1612" spans="3:8" x14ac:dyDescent="0.2">
      <c r="C1612" s="121"/>
      <c r="E1612" s="121"/>
      <c r="F1612" s="121"/>
      <c r="G1612" s="121"/>
      <c r="H1612" s="121"/>
    </row>
    <row r="1613" spans="3:8" x14ac:dyDescent="0.2">
      <c r="C1613" s="121"/>
      <c r="E1613" s="121"/>
      <c r="F1613" s="121"/>
      <c r="G1613" s="121"/>
      <c r="H1613" s="121"/>
    </row>
    <row r="1614" spans="3:8" x14ac:dyDescent="0.2">
      <c r="C1614" s="121"/>
      <c r="E1614" s="121"/>
      <c r="F1614" s="121"/>
      <c r="G1614" s="121"/>
      <c r="H1614" s="121"/>
    </row>
    <row r="1615" spans="3:8" x14ac:dyDescent="0.2">
      <c r="C1615" s="121"/>
      <c r="E1615" s="121"/>
      <c r="F1615" s="121"/>
      <c r="G1615" s="121"/>
      <c r="H1615" s="121"/>
    </row>
    <row r="1616" spans="3:8" x14ac:dyDescent="0.2">
      <c r="C1616" s="121"/>
      <c r="E1616" s="121"/>
      <c r="F1616" s="121"/>
      <c r="G1616" s="121"/>
      <c r="H1616" s="121"/>
    </row>
    <row r="1617" spans="3:8" x14ac:dyDescent="0.2">
      <c r="C1617" s="121"/>
      <c r="E1617" s="121"/>
      <c r="F1617" s="121"/>
      <c r="G1617" s="121"/>
      <c r="H1617" s="121"/>
    </row>
    <row r="1618" spans="3:8" x14ac:dyDescent="0.2">
      <c r="C1618" s="121"/>
      <c r="E1618" s="121"/>
      <c r="F1618" s="121"/>
      <c r="G1618" s="121"/>
      <c r="H1618" s="121"/>
    </row>
    <row r="1619" spans="3:8" x14ac:dyDescent="0.2">
      <c r="C1619" s="121"/>
      <c r="E1619" s="121"/>
      <c r="F1619" s="121"/>
      <c r="G1619" s="121"/>
      <c r="H1619" s="121"/>
    </row>
    <row r="1620" spans="3:8" x14ac:dyDescent="0.2">
      <c r="C1620" s="121"/>
      <c r="E1620" s="121"/>
      <c r="F1620" s="121"/>
      <c r="G1620" s="121"/>
      <c r="H1620" s="121"/>
    </row>
    <row r="1621" spans="3:8" x14ac:dyDescent="0.2">
      <c r="C1621" s="121"/>
      <c r="E1621" s="121"/>
      <c r="F1621" s="121"/>
      <c r="G1621" s="121"/>
      <c r="H1621" s="121"/>
    </row>
    <row r="1622" spans="3:8" x14ac:dyDescent="0.2">
      <c r="C1622" s="121"/>
      <c r="E1622" s="121"/>
      <c r="F1622" s="121"/>
      <c r="G1622" s="121"/>
      <c r="H1622" s="121"/>
    </row>
    <row r="1623" spans="3:8" x14ac:dyDescent="0.2">
      <c r="C1623" s="121"/>
      <c r="E1623" s="121"/>
      <c r="F1623" s="121"/>
      <c r="G1623" s="121"/>
      <c r="H1623" s="121"/>
    </row>
    <row r="1624" spans="3:8" x14ac:dyDescent="0.2">
      <c r="C1624" s="121"/>
      <c r="E1624" s="121"/>
      <c r="F1624" s="121"/>
      <c r="G1624" s="121"/>
      <c r="H1624" s="121"/>
    </row>
    <row r="1625" spans="3:8" x14ac:dyDescent="0.2">
      <c r="C1625" s="121"/>
      <c r="E1625" s="121"/>
      <c r="F1625" s="121"/>
      <c r="G1625" s="121"/>
      <c r="H1625" s="121"/>
    </row>
    <row r="1626" spans="3:8" x14ac:dyDescent="0.2">
      <c r="C1626" s="121"/>
      <c r="E1626" s="121"/>
      <c r="F1626" s="121"/>
      <c r="G1626" s="121"/>
      <c r="H1626" s="121"/>
    </row>
    <row r="1627" spans="3:8" x14ac:dyDescent="0.2">
      <c r="C1627" s="121"/>
      <c r="E1627" s="121"/>
      <c r="F1627" s="121"/>
      <c r="G1627" s="121"/>
      <c r="H1627" s="121"/>
    </row>
    <row r="1628" spans="3:8" x14ac:dyDescent="0.2">
      <c r="C1628" s="121"/>
      <c r="E1628" s="121"/>
      <c r="F1628" s="121"/>
      <c r="G1628" s="121"/>
      <c r="H1628" s="121"/>
    </row>
    <row r="1629" spans="3:8" x14ac:dyDescent="0.2">
      <c r="C1629" s="121"/>
      <c r="E1629" s="121"/>
      <c r="F1629" s="121"/>
      <c r="G1629" s="121"/>
      <c r="H1629" s="121"/>
    </row>
    <row r="1630" spans="3:8" x14ac:dyDescent="0.2">
      <c r="C1630" s="121"/>
      <c r="E1630" s="121"/>
      <c r="F1630" s="121"/>
      <c r="G1630" s="121"/>
      <c r="H1630" s="121"/>
    </row>
    <row r="1631" spans="3:8" x14ac:dyDescent="0.2">
      <c r="C1631" s="121"/>
      <c r="E1631" s="121"/>
      <c r="F1631" s="121"/>
      <c r="G1631" s="121"/>
      <c r="H1631" s="121"/>
    </row>
    <row r="1632" spans="3:8" x14ac:dyDescent="0.2">
      <c r="C1632" s="121"/>
      <c r="E1632" s="121"/>
      <c r="F1632" s="121"/>
      <c r="G1632" s="121"/>
      <c r="H1632" s="121"/>
    </row>
    <row r="1633" spans="3:8" x14ac:dyDescent="0.2">
      <c r="C1633" s="121"/>
      <c r="E1633" s="121"/>
      <c r="F1633" s="121"/>
      <c r="G1633" s="121"/>
      <c r="H1633" s="121"/>
    </row>
    <row r="1634" spans="3:8" x14ac:dyDescent="0.2">
      <c r="C1634" s="121"/>
      <c r="E1634" s="121"/>
      <c r="F1634" s="121"/>
      <c r="G1634" s="121"/>
      <c r="H1634" s="121"/>
    </row>
    <row r="1635" spans="3:8" x14ac:dyDescent="0.2">
      <c r="C1635" s="121"/>
      <c r="E1635" s="121"/>
      <c r="F1635" s="121"/>
      <c r="G1635" s="121"/>
      <c r="H1635" s="121"/>
    </row>
    <row r="1636" spans="3:8" x14ac:dyDescent="0.2">
      <c r="C1636" s="121"/>
      <c r="E1636" s="121"/>
      <c r="F1636" s="121"/>
      <c r="G1636" s="121"/>
      <c r="H1636" s="121"/>
    </row>
    <row r="1637" spans="3:8" x14ac:dyDescent="0.2">
      <c r="C1637" s="121"/>
      <c r="E1637" s="121"/>
      <c r="F1637" s="121"/>
      <c r="G1637" s="121"/>
      <c r="H1637" s="121"/>
    </row>
    <row r="1638" spans="3:8" x14ac:dyDescent="0.2">
      <c r="C1638" s="121"/>
      <c r="E1638" s="121"/>
      <c r="F1638" s="121"/>
      <c r="G1638" s="121"/>
      <c r="H1638" s="121"/>
    </row>
    <row r="1639" spans="3:8" x14ac:dyDescent="0.2">
      <c r="C1639" s="121"/>
      <c r="E1639" s="121"/>
      <c r="F1639" s="121"/>
      <c r="G1639" s="121"/>
      <c r="H1639" s="121"/>
    </row>
    <row r="1640" spans="3:8" x14ac:dyDescent="0.2">
      <c r="C1640" s="121"/>
      <c r="E1640" s="121"/>
      <c r="F1640" s="121"/>
      <c r="G1640" s="121"/>
      <c r="H1640" s="121"/>
    </row>
    <row r="1641" spans="3:8" x14ac:dyDescent="0.2">
      <c r="C1641" s="121"/>
      <c r="E1641" s="121"/>
      <c r="F1641" s="121"/>
      <c r="G1641" s="121"/>
      <c r="H1641" s="121"/>
    </row>
    <row r="1642" spans="3:8" x14ac:dyDescent="0.2">
      <c r="C1642" s="121"/>
      <c r="E1642" s="121"/>
      <c r="F1642" s="121"/>
      <c r="G1642" s="121"/>
      <c r="H1642" s="121"/>
    </row>
    <row r="1643" spans="3:8" x14ac:dyDescent="0.2">
      <c r="C1643" s="121"/>
      <c r="E1643" s="121"/>
      <c r="F1643" s="121"/>
      <c r="G1643" s="121"/>
      <c r="H1643" s="121"/>
    </row>
    <row r="1644" spans="3:8" x14ac:dyDescent="0.2">
      <c r="C1644" s="121"/>
      <c r="E1644" s="121"/>
      <c r="F1644" s="121"/>
      <c r="G1644" s="121"/>
      <c r="H1644" s="121"/>
    </row>
    <row r="1645" spans="3:8" x14ac:dyDescent="0.2">
      <c r="C1645" s="121"/>
      <c r="E1645" s="121"/>
      <c r="F1645" s="121"/>
      <c r="G1645" s="121"/>
      <c r="H1645" s="121"/>
    </row>
    <row r="1646" spans="3:8" x14ac:dyDescent="0.2">
      <c r="C1646" s="121"/>
      <c r="E1646" s="121"/>
      <c r="F1646" s="121"/>
      <c r="G1646" s="121"/>
      <c r="H1646" s="121"/>
    </row>
    <row r="1647" spans="3:8" x14ac:dyDescent="0.2">
      <c r="C1647" s="121"/>
      <c r="E1647" s="121"/>
      <c r="F1647" s="121"/>
      <c r="G1647" s="121"/>
      <c r="H1647" s="121"/>
    </row>
    <row r="1648" spans="3:8" x14ac:dyDescent="0.2">
      <c r="C1648" s="121"/>
      <c r="E1648" s="121"/>
      <c r="F1648" s="121"/>
      <c r="G1648" s="121"/>
      <c r="H1648" s="121"/>
    </row>
    <row r="1649" spans="3:8" x14ac:dyDescent="0.2">
      <c r="C1649" s="121"/>
      <c r="E1649" s="121"/>
      <c r="F1649" s="121"/>
      <c r="G1649" s="121"/>
      <c r="H1649" s="121"/>
    </row>
    <row r="1650" spans="3:8" x14ac:dyDescent="0.2">
      <c r="C1650" s="121"/>
      <c r="E1650" s="121"/>
      <c r="F1650" s="121"/>
      <c r="G1650" s="121"/>
      <c r="H1650" s="121"/>
    </row>
    <row r="1651" spans="3:8" x14ac:dyDescent="0.2">
      <c r="C1651" s="121"/>
      <c r="E1651" s="121"/>
      <c r="F1651" s="121"/>
      <c r="G1651" s="121"/>
      <c r="H1651" s="121"/>
    </row>
    <row r="1652" spans="3:8" x14ac:dyDescent="0.2">
      <c r="C1652" s="121"/>
      <c r="E1652" s="121"/>
      <c r="F1652" s="121"/>
      <c r="G1652" s="121"/>
      <c r="H1652" s="121"/>
    </row>
    <row r="1653" spans="3:8" x14ac:dyDescent="0.2">
      <c r="C1653" s="121"/>
      <c r="E1653" s="121"/>
      <c r="F1653" s="121"/>
      <c r="G1653" s="121"/>
      <c r="H1653" s="121"/>
    </row>
    <row r="1654" spans="3:8" x14ac:dyDescent="0.2">
      <c r="C1654" s="121"/>
      <c r="E1654" s="121"/>
      <c r="F1654" s="121"/>
      <c r="G1654" s="121"/>
      <c r="H1654" s="121"/>
    </row>
    <row r="1655" spans="3:8" x14ac:dyDescent="0.2">
      <c r="C1655" s="121"/>
      <c r="E1655" s="121"/>
      <c r="F1655" s="121"/>
      <c r="G1655" s="121"/>
      <c r="H1655" s="121"/>
    </row>
    <row r="1656" spans="3:8" x14ac:dyDescent="0.2">
      <c r="C1656" s="121"/>
      <c r="E1656" s="121"/>
      <c r="F1656" s="121"/>
      <c r="G1656" s="121"/>
      <c r="H1656" s="121"/>
    </row>
    <row r="1657" spans="3:8" x14ac:dyDescent="0.2">
      <c r="C1657" s="121"/>
      <c r="E1657" s="121"/>
      <c r="F1657" s="121"/>
      <c r="G1657" s="121"/>
      <c r="H1657" s="121"/>
    </row>
    <row r="1658" spans="3:8" x14ac:dyDescent="0.2">
      <c r="C1658" s="121"/>
      <c r="E1658" s="121"/>
      <c r="F1658" s="121"/>
      <c r="G1658" s="121"/>
      <c r="H1658" s="121"/>
    </row>
    <row r="1659" spans="3:8" x14ac:dyDescent="0.2">
      <c r="C1659" s="121"/>
      <c r="E1659" s="121"/>
      <c r="F1659" s="121"/>
      <c r="G1659" s="121"/>
      <c r="H1659" s="121"/>
    </row>
    <row r="1660" spans="3:8" x14ac:dyDescent="0.2">
      <c r="C1660" s="121"/>
      <c r="E1660" s="121"/>
      <c r="F1660" s="121"/>
      <c r="G1660" s="121"/>
      <c r="H1660" s="121"/>
    </row>
    <row r="1661" spans="3:8" x14ac:dyDescent="0.2">
      <c r="C1661" s="121"/>
      <c r="E1661" s="121"/>
      <c r="F1661" s="121"/>
      <c r="G1661" s="121"/>
      <c r="H1661" s="121"/>
    </row>
    <row r="1662" spans="3:8" x14ac:dyDescent="0.2">
      <c r="C1662" s="121"/>
      <c r="E1662" s="121"/>
      <c r="F1662" s="121"/>
      <c r="G1662" s="121"/>
      <c r="H1662" s="121"/>
    </row>
    <row r="1663" spans="3:8" x14ac:dyDescent="0.2">
      <c r="C1663" s="121"/>
      <c r="E1663" s="121"/>
      <c r="F1663" s="121"/>
      <c r="G1663" s="121"/>
      <c r="H1663" s="121"/>
    </row>
    <row r="1664" spans="3:8" x14ac:dyDescent="0.2">
      <c r="C1664" s="121"/>
      <c r="E1664" s="121"/>
      <c r="F1664" s="121"/>
      <c r="G1664" s="121"/>
      <c r="H1664" s="121"/>
    </row>
    <row r="1665" spans="3:8" x14ac:dyDescent="0.2">
      <c r="C1665" s="121"/>
      <c r="E1665" s="121"/>
      <c r="F1665" s="121"/>
      <c r="G1665" s="121"/>
      <c r="H1665" s="121"/>
    </row>
    <row r="1666" spans="3:8" x14ac:dyDescent="0.2">
      <c r="C1666" s="121"/>
      <c r="E1666" s="121"/>
      <c r="F1666" s="121"/>
      <c r="G1666" s="121"/>
      <c r="H1666" s="121"/>
    </row>
    <row r="1667" spans="3:8" x14ac:dyDescent="0.2">
      <c r="C1667" s="121"/>
      <c r="E1667" s="121"/>
      <c r="F1667" s="121"/>
      <c r="G1667" s="121"/>
      <c r="H1667" s="121"/>
    </row>
    <row r="1668" spans="3:8" x14ac:dyDescent="0.2">
      <c r="C1668" s="121"/>
      <c r="E1668" s="121"/>
      <c r="F1668" s="121"/>
      <c r="G1668" s="121"/>
      <c r="H1668" s="121"/>
    </row>
    <row r="1669" spans="3:8" x14ac:dyDescent="0.2">
      <c r="C1669" s="121"/>
      <c r="E1669" s="121"/>
      <c r="F1669" s="121"/>
      <c r="G1669" s="121"/>
      <c r="H1669" s="121"/>
    </row>
    <row r="1670" spans="3:8" x14ac:dyDescent="0.2">
      <c r="C1670" s="121"/>
      <c r="E1670" s="121"/>
      <c r="F1670" s="121"/>
      <c r="G1670" s="121"/>
      <c r="H1670" s="121"/>
    </row>
    <row r="1671" spans="3:8" x14ac:dyDescent="0.2">
      <c r="C1671" s="121"/>
      <c r="E1671" s="121"/>
      <c r="F1671" s="121"/>
      <c r="G1671" s="121"/>
      <c r="H1671" s="121"/>
    </row>
    <row r="1672" spans="3:8" x14ac:dyDescent="0.2">
      <c r="C1672" s="121"/>
      <c r="E1672" s="121"/>
      <c r="F1672" s="121"/>
      <c r="G1672" s="121"/>
      <c r="H1672" s="121"/>
    </row>
    <row r="1673" spans="3:8" x14ac:dyDescent="0.2">
      <c r="C1673" s="121"/>
      <c r="E1673" s="121"/>
      <c r="F1673" s="121"/>
      <c r="G1673" s="121"/>
      <c r="H1673" s="121"/>
    </row>
    <row r="1674" spans="3:8" x14ac:dyDescent="0.2">
      <c r="C1674" s="121"/>
      <c r="E1674" s="121"/>
      <c r="F1674" s="121"/>
      <c r="G1674" s="121"/>
      <c r="H1674" s="121"/>
    </row>
    <row r="1675" spans="3:8" x14ac:dyDescent="0.2">
      <c r="C1675" s="121"/>
      <c r="E1675" s="121"/>
      <c r="F1675" s="121"/>
      <c r="G1675" s="121"/>
      <c r="H1675" s="121"/>
    </row>
    <row r="1676" spans="3:8" x14ac:dyDescent="0.2">
      <c r="C1676" s="121"/>
      <c r="E1676" s="121"/>
      <c r="F1676" s="121"/>
      <c r="G1676" s="121"/>
      <c r="H1676" s="121"/>
    </row>
    <row r="1677" spans="3:8" x14ac:dyDescent="0.2">
      <c r="C1677" s="121"/>
      <c r="E1677" s="121"/>
      <c r="F1677" s="121"/>
      <c r="G1677" s="121"/>
      <c r="H1677" s="121"/>
    </row>
    <row r="1678" spans="3:8" x14ac:dyDescent="0.2">
      <c r="C1678" s="121"/>
      <c r="E1678" s="121"/>
      <c r="F1678" s="121"/>
      <c r="G1678" s="121"/>
      <c r="H1678" s="121"/>
    </row>
    <row r="1679" spans="3:8" x14ac:dyDescent="0.2">
      <c r="C1679" s="121"/>
      <c r="E1679" s="121"/>
      <c r="F1679" s="121"/>
      <c r="G1679" s="121"/>
      <c r="H1679" s="121"/>
    </row>
    <row r="1680" spans="3:8" x14ac:dyDescent="0.2">
      <c r="C1680" s="121"/>
      <c r="E1680" s="121"/>
      <c r="F1680" s="121"/>
      <c r="G1680" s="121"/>
      <c r="H1680" s="121"/>
    </row>
    <row r="1681" spans="3:8" x14ac:dyDescent="0.2">
      <c r="C1681" s="121"/>
      <c r="E1681" s="121"/>
      <c r="F1681" s="121"/>
      <c r="G1681" s="121"/>
      <c r="H1681" s="121"/>
    </row>
    <row r="1682" spans="3:8" x14ac:dyDescent="0.2">
      <c r="C1682" s="121"/>
      <c r="E1682" s="121"/>
      <c r="F1682" s="121"/>
      <c r="G1682" s="121"/>
      <c r="H1682" s="121"/>
    </row>
    <row r="1683" spans="3:8" x14ac:dyDescent="0.2">
      <c r="C1683" s="121"/>
      <c r="E1683" s="121"/>
      <c r="F1683" s="121"/>
      <c r="G1683" s="121"/>
      <c r="H1683" s="121"/>
    </row>
    <row r="1684" spans="3:8" x14ac:dyDescent="0.2">
      <c r="C1684" s="121"/>
      <c r="E1684" s="121"/>
      <c r="F1684" s="121"/>
      <c r="G1684" s="121"/>
      <c r="H1684" s="121"/>
    </row>
    <row r="1685" spans="3:8" x14ac:dyDescent="0.2">
      <c r="C1685" s="121"/>
      <c r="E1685" s="121"/>
      <c r="F1685" s="121"/>
      <c r="G1685" s="121"/>
      <c r="H1685" s="121"/>
    </row>
    <row r="1686" spans="3:8" x14ac:dyDescent="0.2">
      <c r="C1686" s="121"/>
      <c r="E1686" s="121"/>
      <c r="F1686" s="121"/>
      <c r="G1686" s="121"/>
      <c r="H1686" s="121"/>
    </row>
    <row r="1687" spans="3:8" x14ac:dyDescent="0.2">
      <c r="C1687" s="121"/>
      <c r="E1687" s="121"/>
      <c r="F1687" s="121"/>
      <c r="G1687" s="121"/>
      <c r="H1687" s="121"/>
    </row>
    <row r="1688" spans="3:8" x14ac:dyDescent="0.2">
      <c r="C1688" s="121"/>
      <c r="E1688" s="121"/>
      <c r="F1688" s="121"/>
      <c r="G1688" s="121"/>
      <c r="H1688" s="121"/>
    </row>
    <row r="1689" spans="3:8" x14ac:dyDescent="0.2">
      <c r="C1689" s="121"/>
      <c r="E1689" s="121"/>
      <c r="F1689" s="121"/>
      <c r="G1689" s="121"/>
      <c r="H1689" s="121"/>
    </row>
    <row r="1690" spans="3:8" x14ac:dyDescent="0.2">
      <c r="C1690" s="121"/>
      <c r="E1690" s="121"/>
      <c r="F1690" s="121"/>
      <c r="G1690" s="121"/>
      <c r="H1690" s="121"/>
    </row>
    <row r="1691" spans="3:8" x14ac:dyDescent="0.2">
      <c r="C1691" s="121"/>
      <c r="E1691" s="121"/>
      <c r="F1691" s="121"/>
      <c r="G1691" s="121"/>
      <c r="H1691" s="121"/>
    </row>
    <row r="1692" spans="3:8" x14ac:dyDescent="0.2">
      <c r="C1692" s="121"/>
      <c r="E1692" s="121"/>
      <c r="F1692" s="121"/>
      <c r="G1692" s="121"/>
      <c r="H1692" s="121"/>
    </row>
    <row r="1693" spans="3:8" x14ac:dyDescent="0.2">
      <c r="C1693" s="121"/>
      <c r="E1693" s="121"/>
      <c r="F1693" s="121"/>
      <c r="G1693" s="121"/>
      <c r="H1693" s="121"/>
    </row>
    <row r="1694" spans="3:8" x14ac:dyDescent="0.2">
      <c r="C1694" s="121"/>
      <c r="E1694" s="121"/>
      <c r="F1694" s="121"/>
      <c r="G1694" s="121"/>
      <c r="H1694" s="121"/>
    </row>
    <row r="1695" spans="3:8" x14ac:dyDescent="0.2">
      <c r="C1695" s="121"/>
      <c r="E1695" s="121"/>
      <c r="F1695" s="121"/>
      <c r="G1695" s="121"/>
      <c r="H1695" s="121"/>
    </row>
    <row r="1696" spans="3:8" x14ac:dyDescent="0.2">
      <c r="C1696" s="121"/>
      <c r="E1696" s="121"/>
      <c r="F1696" s="121"/>
      <c r="G1696" s="121"/>
      <c r="H1696" s="121"/>
    </row>
    <row r="1697" spans="3:8" x14ac:dyDescent="0.2">
      <c r="C1697" s="121"/>
      <c r="E1697" s="121"/>
      <c r="F1697" s="121"/>
      <c r="G1697" s="121"/>
      <c r="H1697" s="121"/>
    </row>
    <row r="1698" spans="3:8" x14ac:dyDescent="0.2">
      <c r="C1698" s="121"/>
      <c r="E1698" s="121"/>
      <c r="F1698" s="121"/>
      <c r="G1698" s="121"/>
      <c r="H1698" s="121"/>
    </row>
    <row r="1699" spans="3:8" x14ac:dyDescent="0.2">
      <c r="C1699" s="121"/>
      <c r="E1699" s="121"/>
      <c r="F1699" s="121"/>
      <c r="G1699" s="121"/>
      <c r="H1699" s="121"/>
    </row>
    <row r="1700" spans="3:8" x14ac:dyDescent="0.2">
      <c r="C1700" s="121"/>
      <c r="E1700" s="121"/>
      <c r="F1700" s="121"/>
      <c r="G1700" s="121"/>
      <c r="H1700" s="121"/>
    </row>
    <row r="1701" spans="3:8" x14ac:dyDescent="0.2">
      <c r="C1701" s="121"/>
      <c r="E1701" s="121"/>
      <c r="F1701" s="121"/>
      <c r="G1701" s="121"/>
      <c r="H1701" s="121"/>
    </row>
    <row r="1702" spans="3:8" x14ac:dyDescent="0.2">
      <c r="C1702" s="121"/>
      <c r="E1702" s="121"/>
      <c r="F1702" s="121"/>
      <c r="G1702" s="121"/>
      <c r="H1702" s="121"/>
    </row>
    <row r="1703" spans="3:8" x14ac:dyDescent="0.2">
      <c r="C1703" s="121"/>
      <c r="E1703" s="121"/>
      <c r="F1703" s="121"/>
      <c r="G1703" s="121"/>
      <c r="H1703" s="121"/>
    </row>
    <row r="1704" spans="3:8" x14ac:dyDescent="0.2">
      <c r="C1704" s="121"/>
      <c r="E1704" s="121"/>
      <c r="F1704" s="121"/>
      <c r="G1704" s="121"/>
      <c r="H1704" s="121"/>
    </row>
    <row r="1705" spans="3:8" x14ac:dyDescent="0.2">
      <c r="C1705" s="121"/>
      <c r="E1705" s="121"/>
      <c r="F1705" s="121"/>
      <c r="G1705" s="121"/>
      <c r="H1705" s="121"/>
    </row>
    <row r="1706" spans="3:8" x14ac:dyDescent="0.2">
      <c r="C1706" s="121"/>
      <c r="E1706" s="121"/>
      <c r="F1706" s="121"/>
      <c r="G1706" s="121"/>
      <c r="H1706" s="121"/>
    </row>
    <row r="1707" spans="3:8" x14ac:dyDescent="0.2">
      <c r="C1707" s="121"/>
      <c r="E1707" s="121"/>
      <c r="F1707" s="121"/>
      <c r="G1707" s="121"/>
      <c r="H1707" s="121"/>
    </row>
    <row r="1708" spans="3:8" x14ac:dyDescent="0.2">
      <c r="C1708" s="121"/>
      <c r="E1708" s="121"/>
      <c r="F1708" s="121"/>
      <c r="G1708" s="121"/>
      <c r="H1708" s="121"/>
    </row>
    <row r="1709" spans="3:8" x14ac:dyDescent="0.2">
      <c r="C1709" s="121"/>
      <c r="E1709" s="121"/>
      <c r="F1709" s="121"/>
      <c r="G1709" s="121"/>
      <c r="H1709" s="121"/>
    </row>
    <row r="1710" spans="3:8" x14ac:dyDescent="0.2">
      <c r="C1710" s="121"/>
      <c r="E1710" s="121"/>
      <c r="F1710" s="121"/>
      <c r="G1710" s="121"/>
      <c r="H1710" s="121"/>
    </row>
    <row r="1711" spans="3:8" x14ac:dyDescent="0.2">
      <c r="C1711" s="121"/>
      <c r="E1711" s="121"/>
      <c r="F1711" s="121"/>
      <c r="G1711" s="121"/>
      <c r="H1711" s="121"/>
    </row>
    <row r="1712" spans="3:8" x14ac:dyDescent="0.2">
      <c r="C1712" s="121"/>
      <c r="E1712" s="121"/>
      <c r="F1712" s="121"/>
      <c r="G1712" s="121"/>
      <c r="H1712" s="121"/>
    </row>
    <row r="1713" spans="3:8" x14ac:dyDescent="0.2">
      <c r="C1713" s="121"/>
      <c r="E1713" s="121"/>
      <c r="F1713" s="121"/>
      <c r="G1713" s="121"/>
      <c r="H1713" s="121"/>
    </row>
    <row r="1714" spans="3:8" x14ac:dyDescent="0.2">
      <c r="C1714" s="121"/>
      <c r="E1714" s="121"/>
      <c r="F1714" s="121"/>
      <c r="G1714" s="121"/>
      <c r="H1714" s="121"/>
    </row>
    <row r="1715" spans="3:8" x14ac:dyDescent="0.2">
      <c r="C1715" s="121"/>
      <c r="E1715" s="121"/>
      <c r="F1715" s="121"/>
      <c r="G1715" s="121"/>
      <c r="H1715" s="121"/>
    </row>
    <row r="1716" spans="3:8" x14ac:dyDescent="0.2">
      <c r="C1716" s="121"/>
      <c r="E1716" s="121"/>
      <c r="F1716" s="121"/>
      <c r="G1716" s="121"/>
      <c r="H1716" s="121"/>
    </row>
    <row r="1717" spans="3:8" x14ac:dyDescent="0.2">
      <c r="C1717" s="121"/>
      <c r="E1717" s="121"/>
      <c r="F1717" s="121"/>
      <c r="G1717" s="121"/>
      <c r="H1717" s="121"/>
    </row>
    <row r="1718" spans="3:8" x14ac:dyDescent="0.2">
      <c r="C1718" s="121"/>
      <c r="E1718" s="121"/>
      <c r="F1718" s="121"/>
      <c r="G1718" s="121"/>
      <c r="H1718" s="121"/>
    </row>
    <row r="1719" spans="3:8" x14ac:dyDescent="0.2">
      <c r="C1719" s="121"/>
      <c r="E1719" s="121"/>
      <c r="F1719" s="121"/>
      <c r="G1719" s="121"/>
      <c r="H1719" s="121"/>
    </row>
    <row r="1720" spans="3:8" x14ac:dyDescent="0.2">
      <c r="C1720" s="121"/>
      <c r="E1720" s="121"/>
      <c r="F1720" s="121"/>
      <c r="G1720" s="121"/>
      <c r="H1720" s="121"/>
    </row>
    <row r="1721" spans="3:8" x14ac:dyDescent="0.2">
      <c r="C1721" s="121"/>
      <c r="E1721" s="121"/>
      <c r="F1721" s="121"/>
      <c r="G1721" s="121"/>
      <c r="H1721" s="121"/>
    </row>
    <row r="1722" spans="3:8" x14ac:dyDescent="0.2">
      <c r="C1722" s="121"/>
      <c r="E1722" s="121"/>
      <c r="F1722" s="121"/>
      <c r="G1722" s="121"/>
      <c r="H1722" s="121"/>
    </row>
    <row r="1723" spans="3:8" x14ac:dyDescent="0.2">
      <c r="C1723" s="121"/>
      <c r="E1723" s="121"/>
      <c r="F1723" s="121"/>
      <c r="G1723" s="121"/>
      <c r="H1723" s="121"/>
    </row>
    <row r="1724" spans="3:8" x14ac:dyDescent="0.2">
      <c r="C1724" s="121"/>
      <c r="E1724" s="121"/>
      <c r="F1724" s="121"/>
      <c r="G1724" s="121"/>
      <c r="H1724" s="121"/>
    </row>
    <row r="1725" spans="3:8" x14ac:dyDescent="0.2">
      <c r="C1725" s="121"/>
      <c r="E1725" s="121"/>
      <c r="F1725" s="121"/>
      <c r="G1725" s="121"/>
      <c r="H1725" s="121"/>
    </row>
    <row r="1726" spans="3:8" x14ac:dyDescent="0.2">
      <c r="C1726" s="121"/>
      <c r="E1726" s="121"/>
      <c r="F1726" s="121"/>
      <c r="G1726" s="121"/>
      <c r="H1726" s="121"/>
    </row>
    <row r="1727" spans="3:8" x14ac:dyDescent="0.2">
      <c r="C1727" s="121"/>
      <c r="E1727" s="121"/>
      <c r="F1727" s="121"/>
      <c r="G1727" s="121"/>
      <c r="H1727" s="121"/>
    </row>
    <row r="1728" spans="3:8" x14ac:dyDescent="0.2">
      <c r="C1728" s="121"/>
      <c r="E1728" s="121"/>
      <c r="F1728" s="121"/>
      <c r="G1728" s="121"/>
      <c r="H1728" s="121"/>
    </row>
    <row r="1729" spans="3:8" x14ac:dyDescent="0.2">
      <c r="C1729" s="121"/>
      <c r="E1729" s="121"/>
      <c r="F1729" s="121"/>
      <c r="G1729" s="121"/>
      <c r="H1729" s="121"/>
    </row>
    <row r="1730" spans="3:8" x14ac:dyDescent="0.2">
      <c r="C1730" s="121"/>
      <c r="E1730" s="121"/>
      <c r="F1730" s="121"/>
      <c r="G1730" s="121"/>
      <c r="H1730" s="121"/>
    </row>
    <row r="1731" spans="3:8" x14ac:dyDescent="0.2">
      <c r="C1731" s="121"/>
      <c r="E1731" s="121"/>
      <c r="F1731" s="121"/>
      <c r="G1731" s="121"/>
      <c r="H1731" s="121"/>
    </row>
    <row r="1732" spans="3:8" x14ac:dyDescent="0.2">
      <c r="C1732" s="121"/>
      <c r="E1732" s="121"/>
      <c r="F1732" s="121"/>
      <c r="G1732" s="121"/>
      <c r="H1732" s="121"/>
    </row>
    <row r="1733" spans="3:8" x14ac:dyDescent="0.2">
      <c r="C1733" s="121"/>
      <c r="E1733" s="121"/>
      <c r="F1733" s="121"/>
      <c r="G1733" s="121"/>
      <c r="H1733" s="121"/>
    </row>
    <row r="1734" spans="3:8" x14ac:dyDescent="0.2">
      <c r="C1734" s="121"/>
      <c r="E1734" s="121"/>
      <c r="F1734" s="121"/>
      <c r="G1734" s="121"/>
      <c r="H1734" s="121"/>
    </row>
    <row r="1735" spans="3:8" x14ac:dyDescent="0.2">
      <c r="C1735" s="121"/>
      <c r="E1735" s="121"/>
      <c r="F1735" s="121"/>
      <c r="G1735" s="121"/>
      <c r="H1735" s="121"/>
    </row>
    <row r="1736" spans="3:8" x14ac:dyDescent="0.2">
      <c r="C1736" s="121"/>
      <c r="E1736" s="121"/>
      <c r="F1736" s="121"/>
      <c r="G1736" s="121"/>
      <c r="H1736" s="121"/>
    </row>
    <row r="1737" spans="3:8" x14ac:dyDescent="0.2">
      <c r="C1737" s="121"/>
      <c r="E1737" s="121"/>
      <c r="F1737" s="121"/>
      <c r="G1737" s="121"/>
      <c r="H1737" s="121"/>
    </row>
    <row r="1738" spans="3:8" x14ac:dyDescent="0.2">
      <c r="C1738" s="121"/>
      <c r="E1738" s="121"/>
      <c r="F1738" s="121"/>
      <c r="G1738" s="121"/>
      <c r="H1738" s="121"/>
    </row>
    <row r="1739" spans="3:8" x14ac:dyDescent="0.2">
      <c r="C1739" s="121"/>
      <c r="E1739" s="121"/>
      <c r="F1739" s="121"/>
      <c r="G1739" s="121"/>
      <c r="H1739" s="121"/>
    </row>
    <row r="1740" spans="3:8" x14ac:dyDescent="0.2">
      <c r="C1740" s="121"/>
      <c r="E1740" s="121"/>
      <c r="F1740" s="121"/>
      <c r="G1740" s="121"/>
      <c r="H1740" s="121"/>
    </row>
    <row r="1741" spans="3:8" x14ac:dyDescent="0.2">
      <c r="C1741" s="121"/>
      <c r="E1741" s="121"/>
      <c r="F1741" s="121"/>
      <c r="G1741" s="121"/>
      <c r="H1741" s="121"/>
    </row>
    <row r="1742" spans="3:8" x14ac:dyDescent="0.2">
      <c r="C1742" s="121"/>
      <c r="E1742" s="121"/>
      <c r="F1742" s="121"/>
      <c r="G1742" s="121"/>
      <c r="H1742" s="121"/>
    </row>
    <row r="1743" spans="3:8" x14ac:dyDescent="0.2">
      <c r="C1743" s="121"/>
      <c r="E1743" s="121"/>
      <c r="F1743" s="121"/>
      <c r="G1743" s="121"/>
      <c r="H1743" s="121"/>
    </row>
    <row r="1744" spans="3:8" x14ac:dyDescent="0.2">
      <c r="C1744" s="121"/>
      <c r="E1744" s="121"/>
      <c r="F1744" s="121"/>
      <c r="G1744" s="121"/>
      <c r="H1744" s="121"/>
    </row>
    <row r="1745" spans="3:8" x14ac:dyDescent="0.2">
      <c r="C1745" s="121"/>
      <c r="E1745" s="121"/>
      <c r="F1745" s="121"/>
      <c r="G1745" s="121"/>
      <c r="H1745" s="121"/>
    </row>
    <row r="1746" spans="3:8" x14ac:dyDescent="0.2">
      <c r="C1746" s="121"/>
      <c r="E1746" s="121"/>
      <c r="F1746" s="121"/>
      <c r="G1746" s="121"/>
      <c r="H1746" s="121"/>
    </row>
    <row r="1747" spans="3:8" x14ac:dyDescent="0.2">
      <c r="C1747" s="121"/>
      <c r="E1747" s="121"/>
      <c r="F1747" s="121"/>
      <c r="G1747" s="121"/>
      <c r="H1747" s="121"/>
    </row>
    <row r="1748" spans="3:8" x14ac:dyDescent="0.2">
      <c r="C1748" s="121"/>
      <c r="E1748" s="121"/>
      <c r="F1748" s="121"/>
      <c r="G1748" s="121"/>
      <c r="H1748" s="121"/>
    </row>
    <row r="1749" spans="3:8" x14ac:dyDescent="0.2">
      <c r="C1749" s="121"/>
      <c r="E1749" s="121"/>
      <c r="F1749" s="121"/>
      <c r="G1749" s="121"/>
      <c r="H1749" s="121"/>
    </row>
    <row r="1750" spans="3:8" x14ac:dyDescent="0.2">
      <c r="C1750" s="121"/>
      <c r="E1750" s="121"/>
      <c r="F1750" s="121"/>
      <c r="G1750" s="121"/>
      <c r="H1750" s="121"/>
    </row>
    <row r="1751" spans="3:8" x14ac:dyDescent="0.2">
      <c r="C1751" s="121"/>
      <c r="E1751" s="121"/>
      <c r="F1751" s="121"/>
      <c r="G1751" s="121"/>
      <c r="H1751" s="121"/>
    </row>
    <row r="1752" spans="3:8" x14ac:dyDescent="0.2">
      <c r="C1752" s="121"/>
      <c r="E1752" s="121"/>
      <c r="F1752" s="121"/>
      <c r="G1752" s="121"/>
      <c r="H1752" s="121"/>
    </row>
    <row r="1753" spans="3:8" x14ac:dyDescent="0.2">
      <c r="C1753" s="121"/>
      <c r="E1753" s="121"/>
      <c r="F1753" s="121"/>
      <c r="G1753" s="121"/>
      <c r="H1753" s="121"/>
    </row>
    <row r="1754" spans="3:8" x14ac:dyDescent="0.2">
      <c r="C1754" s="121"/>
      <c r="E1754" s="121"/>
      <c r="F1754" s="121"/>
      <c r="G1754" s="121"/>
      <c r="H1754" s="121"/>
    </row>
    <row r="1755" spans="3:8" x14ac:dyDescent="0.2">
      <c r="C1755" s="121"/>
      <c r="E1755" s="121"/>
      <c r="F1755" s="121"/>
      <c r="G1755" s="121"/>
      <c r="H1755" s="121"/>
    </row>
    <row r="1756" spans="3:8" x14ac:dyDescent="0.2">
      <c r="C1756" s="121"/>
      <c r="E1756" s="121"/>
      <c r="F1756" s="121"/>
      <c r="G1756" s="121"/>
      <c r="H1756" s="121"/>
    </row>
    <row r="1757" spans="3:8" x14ac:dyDescent="0.2">
      <c r="C1757" s="121"/>
      <c r="E1757" s="121"/>
      <c r="F1757" s="121"/>
      <c r="G1757" s="121"/>
      <c r="H1757" s="121"/>
    </row>
    <row r="1758" spans="3:8" x14ac:dyDescent="0.2">
      <c r="C1758" s="121"/>
      <c r="E1758" s="121"/>
      <c r="F1758" s="121"/>
      <c r="G1758" s="121"/>
      <c r="H1758" s="121"/>
    </row>
    <row r="1759" spans="3:8" x14ac:dyDescent="0.2">
      <c r="C1759" s="121"/>
      <c r="E1759" s="121"/>
      <c r="F1759" s="121"/>
      <c r="G1759" s="121"/>
      <c r="H1759" s="121"/>
    </row>
    <row r="1760" spans="3:8" x14ac:dyDescent="0.2">
      <c r="C1760" s="121"/>
      <c r="E1760" s="121"/>
      <c r="F1760" s="121"/>
      <c r="G1760" s="121"/>
      <c r="H1760" s="121"/>
    </row>
    <row r="1761" spans="3:8" x14ac:dyDescent="0.2">
      <c r="C1761" s="121"/>
      <c r="E1761" s="121"/>
      <c r="F1761" s="121"/>
      <c r="G1761" s="121"/>
      <c r="H1761" s="121"/>
    </row>
    <row r="1762" spans="3:8" x14ac:dyDescent="0.2">
      <c r="C1762" s="121"/>
      <c r="E1762" s="121"/>
      <c r="F1762" s="121"/>
      <c r="G1762" s="121"/>
      <c r="H1762" s="121"/>
    </row>
    <row r="1763" spans="3:8" x14ac:dyDescent="0.2">
      <c r="C1763" s="121"/>
      <c r="E1763" s="121"/>
      <c r="F1763" s="121"/>
      <c r="G1763" s="121"/>
      <c r="H1763" s="121"/>
    </row>
    <row r="1764" spans="3:8" x14ac:dyDescent="0.2">
      <c r="C1764" s="121"/>
      <c r="E1764" s="121"/>
      <c r="F1764" s="121"/>
      <c r="G1764" s="121"/>
      <c r="H1764" s="121"/>
    </row>
    <row r="1765" spans="3:8" x14ac:dyDescent="0.2">
      <c r="C1765" s="121"/>
      <c r="E1765" s="121"/>
      <c r="F1765" s="121"/>
      <c r="G1765" s="121"/>
      <c r="H1765" s="121"/>
    </row>
    <row r="1766" spans="3:8" x14ac:dyDescent="0.2">
      <c r="C1766" s="121"/>
      <c r="E1766" s="121"/>
      <c r="F1766" s="121"/>
      <c r="G1766" s="121"/>
      <c r="H1766" s="121"/>
    </row>
    <row r="1767" spans="3:8" x14ac:dyDescent="0.2">
      <c r="C1767" s="121"/>
      <c r="E1767" s="121"/>
      <c r="F1767" s="121"/>
      <c r="G1767" s="121"/>
      <c r="H1767" s="121"/>
    </row>
    <row r="1768" spans="3:8" x14ac:dyDescent="0.2">
      <c r="C1768" s="121"/>
      <c r="E1768" s="121"/>
      <c r="F1768" s="121"/>
      <c r="G1768" s="121"/>
      <c r="H1768" s="121"/>
    </row>
    <row r="1769" spans="3:8" x14ac:dyDescent="0.2">
      <c r="C1769" s="121"/>
      <c r="E1769" s="121"/>
      <c r="F1769" s="121"/>
      <c r="G1769" s="121"/>
      <c r="H1769" s="121"/>
    </row>
    <row r="1770" spans="3:8" x14ac:dyDescent="0.2">
      <c r="C1770" s="121"/>
      <c r="E1770" s="121"/>
      <c r="F1770" s="121"/>
      <c r="G1770" s="121"/>
      <c r="H1770" s="121"/>
    </row>
    <row r="1771" spans="3:8" x14ac:dyDescent="0.2">
      <c r="C1771" s="121"/>
      <c r="E1771" s="121"/>
      <c r="F1771" s="121"/>
      <c r="G1771" s="121"/>
      <c r="H1771" s="121"/>
    </row>
    <row r="1772" spans="3:8" x14ac:dyDescent="0.2">
      <c r="C1772" s="121"/>
      <c r="E1772" s="121"/>
      <c r="F1772" s="121"/>
      <c r="G1772" s="121"/>
      <c r="H1772" s="121"/>
    </row>
    <row r="1773" spans="3:8" x14ac:dyDescent="0.2">
      <c r="C1773" s="121"/>
      <c r="E1773" s="121"/>
      <c r="F1773" s="121"/>
      <c r="G1773" s="121"/>
      <c r="H1773" s="121"/>
    </row>
    <row r="1774" spans="3:8" x14ac:dyDescent="0.2">
      <c r="C1774" s="121"/>
      <c r="E1774" s="121"/>
      <c r="F1774" s="121"/>
      <c r="G1774" s="121"/>
      <c r="H1774" s="121"/>
    </row>
    <row r="1775" spans="3:8" x14ac:dyDescent="0.2">
      <c r="C1775" s="121"/>
      <c r="E1775" s="121"/>
      <c r="F1775" s="121"/>
      <c r="G1775" s="121"/>
      <c r="H1775" s="121"/>
    </row>
    <row r="1776" spans="3:8" x14ac:dyDescent="0.2">
      <c r="C1776" s="121"/>
      <c r="E1776" s="121"/>
      <c r="F1776" s="121"/>
      <c r="G1776" s="121"/>
      <c r="H1776" s="121"/>
    </row>
    <row r="1777" spans="3:8" x14ac:dyDescent="0.2">
      <c r="C1777" s="121"/>
      <c r="E1777" s="121"/>
      <c r="F1777" s="121"/>
      <c r="G1777" s="121"/>
      <c r="H1777" s="121"/>
    </row>
    <row r="1778" spans="3:8" x14ac:dyDescent="0.2">
      <c r="C1778" s="121"/>
      <c r="E1778" s="121"/>
      <c r="F1778" s="121"/>
      <c r="G1778" s="121"/>
      <c r="H1778" s="121"/>
    </row>
    <row r="1779" spans="3:8" x14ac:dyDescent="0.2">
      <c r="C1779" s="121"/>
      <c r="E1779" s="121"/>
      <c r="F1779" s="121"/>
      <c r="G1779" s="121"/>
      <c r="H1779" s="121"/>
    </row>
    <row r="1780" spans="3:8" x14ac:dyDescent="0.2">
      <c r="C1780" s="121"/>
      <c r="E1780" s="121"/>
      <c r="F1780" s="121"/>
      <c r="G1780" s="121"/>
      <c r="H1780" s="121"/>
    </row>
    <row r="1781" spans="3:8" x14ac:dyDescent="0.2">
      <c r="C1781" s="121"/>
      <c r="E1781" s="121"/>
      <c r="F1781" s="121"/>
      <c r="G1781" s="121"/>
      <c r="H1781" s="121"/>
    </row>
    <row r="1782" spans="3:8" x14ac:dyDescent="0.2">
      <c r="C1782" s="121"/>
      <c r="E1782" s="121"/>
      <c r="F1782" s="121"/>
      <c r="G1782" s="121"/>
      <c r="H1782" s="121"/>
    </row>
    <row r="1783" spans="3:8" x14ac:dyDescent="0.2">
      <c r="C1783" s="121"/>
      <c r="E1783" s="121"/>
      <c r="F1783" s="121"/>
      <c r="G1783" s="121"/>
      <c r="H1783" s="121"/>
    </row>
    <row r="1784" spans="3:8" x14ac:dyDescent="0.2">
      <c r="C1784" s="121"/>
      <c r="E1784" s="121"/>
      <c r="F1784" s="121"/>
      <c r="G1784" s="121"/>
      <c r="H1784" s="121"/>
    </row>
    <row r="1785" spans="3:8" x14ac:dyDescent="0.2">
      <c r="C1785" s="121"/>
      <c r="E1785" s="121"/>
      <c r="F1785" s="121"/>
      <c r="G1785" s="121"/>
      <c r="H1785" s="121"/>
    </row>
    <row r="1786" spans="3:8" x14ac:dyDescent="0.2">
      <c r="C1786" s="121"/>
      <c r="E1786" s="121"/>
      <c r="F1786" s="121"/>
      <c r="G1786" s="121"/>
      <c r="H1786" s="121"/>
    </row>
    <row r="1787" spans="3:8" x14ac:dyDescent="0.2">
      <c r="C1787" s="121"/>
      <c r="E1787" s="121"/>
      <c r="F1787" s="121"/>
      <c r="G1787" s="121"/>
      <c r="H1787" s="121"/>
    </row>
    <row r="1788" spans="3:8" x14ac:dyDescent="0.2">
      <c r="C1788" s="121"/>
      <c r="E1788" s="121"/>
      <c r="F1788" s="121"/>
      <c r="G1788" s="121"/>
      <c r="H1788" s="121"/>
    </row>
    <row r="1789" spans="3:8" x14ac:dyDescent="0.2">
      <c r="C1789" s="121"/>
      <c r="E1789" s="121"/>
      <c r="F1789" s="121"/>
      <c r="G1789" s="121"/>
      <c r="H1789" s="121"/>
    </row>
    <row r="1790" spans="3:8" x14ac:dyDescent="0.2">
      <c r="C1790" s="121"/>
      <c r="E1790" s="121"/>
      <c r="F1790" s="121"/>
      <c r="G1790" s="121"/>
      <c r="H1790" s="121"/>
    </row>
    <row r="1791" spans="3:8" x14ac:dyDescent="0.2">
      <c r="C1791" s="121"/>
      <c r="E1791" s="121"/>
      <c r="F1791" s="121"/>
      <c r="G1791" s="121"/>
      <c r="H1791" s="121"/>
    </row>
    <row r="1792" spans="3:8" x14ac:dyDescent="0.2">
      <c r="C1792" s="121"/>
      <c r="E1792" s="121"/>
      <c r="F1792" s="121"/>
      <c r="G1792" s="121"/>
      <c r="H1792" s="121"/>
    </row>
    <row r="1793" spans="3:8" x14ac:dyDescent="0.2">
      <c r="C1793" s="121"/>
      <c r="E1793" s="121"/>
      <c r="F1793" s="121"/>
      <c r="G1793" s="121"/>
      <c r="H1793" s="121"/>
    </row>
    <row r="1794" spans="3:8" x14ac:dyDescent="0.2">
      <c r="C1794" s="121"/>
      <c r="E1794" s="121"/>
      <c r="F1794" s="121"/>
      <c r="G1794" s="121"/>
      <c r="H1794" s="121"/>
    </row>
    <row r="1795" spans="3:8" x14ac:dyDescent="0.2">
      <c r="C1795" s="121"/>
      <c r="E1795" s="121"/>
      <c r="F1795" s="121"/>
      <c r="G1795" s="121"/>
      <c r="H1795" s="121"/>
    </row>
    <row r="1796" spans="3:8" x14ac:dyDescent="0.2">
      <c r="C1796" s="121"/>
      <c r="E1796" s="121"/>
      <c r="F1796" s="121"/>
      <c r="G1796" s="121"/>
      <c r="H1796" s="121"/>
    </row>
    <row r="1797" spans="3:8" x14ac:dyDescent="0.2">
      <c r="C1797" s="121"/>
      <c r="E1797" s="121"/>
      <c r="F1797" s="121"/>
      <c r="G1797" s="121"/>
      <c r="H1797" s="121"/>
    </row>
    <row r="1798" spans="3:8" x14ac:dyDescent="0.2">
      <c r="C1798" s="121"/>
      <c r="E1798" s="121"/>
      <c r="F1798" s="121"/>
      <c r="G1798" s="121"/>
      <c r="H1798" s="121"/>
    </row>
    <row r="1799" spans="3:8" x14ac:dyDescent="0.2">
      <c r="C1799" s="121"/>
      <c r="E1799" s="121"/>
      <c r="F1799" s="121"/>
      <c r="G1799" s="121"/>
      <c r="H1799" s="121"/>
    </row>
    <row r="1800" spans="3:8" x14ac:dyDescent="0.2">
      <c r="C1800" s="121"/>
      <c r="E1800" s="121"/>
      <c r="F1800" s="121"/>
      <c r="G1800" s="121"/>
      <c r="H1800" s="121"/>
    </row>
    <row r="1801" spans="3:8" x14ac:dyDescent="0.2">
      <c r="C1801" s="121"/>
      <c r="E1801" s="121"/>
      <c r="F1801" s="121"/>
      <c r="G1801" s="121"/>
      <c r="H1801" s="121"/>
    </row>
    <row r="1802" spans="3:8" x14ac:dyDescent="0.2">
      <c r="C1802" s="121"/>
      <c r="E1802" s="121"/>
      <c r="F1802" s="121"/>
      <c r="G1802" s="121"/>
      <c r="H1802" s="121"/>
    </row>
    <row r="1803" spans="3:8" x14ac:dyDescent="0.2">
      <c r="C1803" s="121"/>
      <c r="E1803" s="121"/>
      <c r="F1803" s="121"/>
      <c r="G1803" s="121"/>
      <c r="H1803" s="121"/>
    </row>
    <row r="1804" spans="3:8" x14ac:dyDescent="0.2">
      <c r="C1804" s="121"/>
      <c r="E1804" s="121"/>
      <c r="F1804" s="121"/>
      <c r="G1804" s="121"/>
      <c r="H1804" s="121"/>
    </row>
    <row r="1805" spans="3:8" x14ac:dyDescent="0.2">
      <c r="C1805" s="121"/>
      <c r="E1805" s="121"/>
      <c r="F1805" s="121"/>
      <c r="G1805" s="121"/>
      <c r="H1805" s="121"/>
    </row>
    <row r="1806" spans="3:8" x14ac:dyDescent="0.2">
      <c r="C1806" s="121"/>
      <c r="E1806" s="121"/>
      <c r="F1806" s="121"/>
      <c r="G1806" s="121"/>
      <c r="H1806" s="121"/>
    </row>
    <row r="1807" spans="3:8" x14ac:dyDescent="0.2">
      <c r="C1807" s="121"/>
      <c r="E1807" s="121"/>
      <c r="F1807" s="121"/>
      <c r="G1807" s="121"/>
      <c r="H1807" s="121"/>
    </row>
    <row r="1808" spans="3:8" x14ac:dyDescent="0.2">
      <c r="C1808" s="121"/>
      <c r="E1808" s="121"/>
      <c r="F1808" s="121"/>
      <c r="G1808" s="121"/>
      <c r="H1808" s="121"/>
    </row>
    <row r="1809" spans="3:8" x14ac:dyDescent="0.2">
      <c r="C1809" s="121"/>
      <c r="E1809" s="121"/>
      <c r="F1809" s="121"/>
      <c r="G1809" s="121"/>
      <c r="H1809" s="121"/>
    </row>
    <row r="1810" spans="3:8" x14ac:dyDescent="0.2">
      <c r="C1810" s="121"/>
      <c r="E1810" s="121"/>
      <c r="F1810" s="121"/>
      <c r="G1810" s="121"/>
      <c r="H1810" s="121"/>
    </row>
    <row r="1811" spans="3:8" x14ac:dyDescent="0.2">
      <c r="C1811" s="121"/>
      <c r="E1811" s="121"/>
      <c r="F1811" s="121"/>
      <c r="G1811" s="121"/>
      <c r="H1811" s="121"/>
    </row>
    <row r="1812" spans="3:8" x14ac:dyDescent="0.2">
      <c r="C1812" s="121"/>
      <c r="E1812" s="121"/>
      <c r="F1812" s="121"/>
      <c r="G1812" s="121"/>
      <c r="H1812" s="121"/>
    </row>
    <row r="1813" spans="3:8" x14ac:dyDescent="0.2">
      <c r="C1813" s="121"/>
      <c r="E1813" s="121"/>
      <c r="F1813" s="121"/>
      <c r="G1813" s="121"/>
      <c r="H1813" s="121"/>
    </row>
    <row r="1814" spans="3:8" x14ac:dyDescent="0.2">
      <c r="C1814" s="121"/>
      <c r="E1814" s="121"/>
      <c r="F1814" s="121"/>
      <c r="G1814" s="121"/>
      <c r="H1814" s="121"/>
    </row>
    <row r="1815" spans="3:8" x14ac:dyDescent="0.2">
      <c r="C1815" s="121"/>
      <c r="E1815" s="121"/>
      <c r="F1815" s="121"/>
      <c r="G1815" s="121"/>
      <c r="H1815" s="121"/>
    </row>
    <row r="1816" spans="3:8" x14ac:dyDescent="0.2">
      <c r="C1816" s="121"/>
      <c r="E1816" s="121"/>
      <c r="F1816" s="121"/>
      <c r="G1816" s="121"/>
      <c r="H1816" s="121"/>
    </row>
    <row r="1817" spans="3:8" x14ac:dyDescent="0.2">
      <c r="C1817" s="121"/>
      <c r="E1817" s="121"/>
      <c r="F1817" s="121"/>
      <c r="G1817" s="121"/>
      <c r="H1817" s="121"/>
    </row>
    <row r="1818" spans="3:8" x14ac:dyDescent="0.2">
      <c r="C1818" s="121"/>
      <c r="E1818" s="121"/>
      <c r="F1818" s="121"/>
      <c r="G1818" s="121"/>
      <c r="H1818" s="121"/>
    </row>
    <row r="1819" spans="3:8" x14ac:dyDescent="0.2">
      <c r="C1819" s="121"/>
      <c r="E1819" s="121"/>
      <c r="F1819" s="121"/>
      <c r="G1819" s="121"/>
      <c r="H1819" s="121"/>
    </row>
    <row r="1820" spans="3:8" x14ac:dyDescent="0.2">
      <c r="C1820" s="121"/>
      <c r="E1820" s="121"/>
      <c r="F1820" s="121"/>
      <c r="G1820" s="121"/>
      <c r="H1820" s="121"/>
    </row>
    <row r="1821" spans="3:8" x14ac:dyDescent="0.2">
      <c r="C1821" s="121"/>
      <c r="E1821" s="121"/>
      <c r="F1821" s="121"/>
      <c r="G1821" s="121"/>
      <c r="H1821" s="121"/>
    </row>
    <row r="1822" spans="3:8" x14ac:dyDescent="0.2">
      <c r="C1822" s="121"/>
      <c r="E1822" s="121"/>
      <c r="F1822" s="121"/>
      <c r="G1822" s="121"/>
      <c r="H1822" s="121"/>
    </row>
    <row r="1823" spans="3:8" x14ac:dyDescent="0.2">
      <c r="C1823" s="121"/>
      <c r="E1823" s="121"/>
      <c r="F1823" s="121"/>
      <c r="G1823" s="121"/>
      <c r="H1823" s="121"/>
    </row>
    <row r="1824" spans="3:8" x14ac:dyDescent="0.2">
      <c r="C1824" s="121"/>
      <c r="E1824" s="121"/>
      <c r="F1824" s="121"/>
      <c r="G1824" s="121"/>
      <c r="H1824" s="121"/>
    </row>
    <row r="1825" spans="3:8" x14ac:dyDescent="0.2">
      <c r="C1825" s="121"/>
      <c r="E1825" s="121"/>
      <c r="F1825" s="121"/>
      <c r="G1825" s="121"/>
      <c r="H1825" s="121"/>
    </row>
    <row r="1826" spans="3:8" x14ac:dyDescent="0.2">
      <c r="C1826" s="121"/>
      <c r="E1826" s="121"/>
      <c r="F1826" s="121"/>
      <c r="G1826" s="121"/>
      <c r="H1826" s="121"/>
    </row>
    <row r="1827" spans="3:8" x14ac:dyDescent="0.2">
      <c r="C1827" s="121"/>
      <c r="E1827" s="121"/>
      <c r="F1827" s="121"/>
      <c r="G1827" s="121"/>
      <c r="H1827" s="121"/>
    </row>
    <row r="1828" spans="3:8" x14ac:dyDescent="0.2">
      <c r="C1828" s="121"/>
      <c r="E1828" s="121"/>
      <c r="F1828" s="121"/>
      <c r="G1828" s="121"/>
      <c r="H1828" s="121"/>
    </row>
    <row r="1829" spans="3:8" x14ac:dyDescent="0.2">
      <c r="C1829" s="121"/>
      <c r="E1829" s="121"/>
      <c r="F1829" s="121"/>
      <c r="G1829" s="121"/>
      <c r="H1829" s="121"/>
    </row>
    <row r="1830" spans="3:8" x14ac:dyDescent="0.2">
      <c r="C1830" s="121"/>
      <c r="E1830" s="121"/>
      <c r="F1830" s="121"/>
      <c r="G1830" s="121"/>
      <c r="H1830" s="121"/>
    </row>
    <row r="1831" spans="3:8" x14ac:dyDescent="0.2">
      <c r="C1831" s="121"/>
      <c r="E1831" s="121"/>
      <c r="F1831" s="121"/>
      <c r="G1831" s="121"/>
      <c r="H1831" s="121"/>
    </row>
    <row r="1832" spans="3:8" x14ac:dyDescent="0.2">
      <c r="C1832" s="121"/>
      <c r="E1832" s="121"/>
      <c r="F1832" s="121"/>
      <c r="G1832" s="121"/>
      <c r="H1832" s="121"/>
    </row>
    <row r="1833" spans="3:8" x14ac:dyDescent="0.2">
      <c r="C1833" s="121"/>
      <c r="E1833" s="121"/>
      <c r="F1833" s="121"/>
      <c r="G1833" s="121"/>
      <c r="H1833" s="121"/>
    </row>
    <row r="1834" spans="3:8" x14ac:dyDescent="0.2">
      <c r="C1834" s="121"/>
      <c r="E1834" s="121"/>
      <c r="F1834" s="121"/>
      <c r="G1834" s="121"/>
      <c r="H1834" s="121"/>
    </row>
    <row r="1835" spans="3:8" x14ac:dyDescent="0.2">
      <c r="C1835" s="121"/>
      <c r="E1835" s="121"/>
      <c r="F1835" s="121"/>
      <c r="G1835" s="121"/>
      <c r="H1835" s="121"/>
    </row>
    <row r="1836" spans="3:8" x14ac:dyDescent="0.2">
      <c r="C1836" s="121"/>
      <c r="E1836" s="121"/>
      <c r="F1836" s="121"/>
      <c r="G1836" s="121"/>
      <c r="H1836" s="121"/>
    </row>
    <row r="1837" spans="3:8" x14ac:dyDescent="0.2">
      <c r="C1837" s="121"/>
      <c r="E1837" s="121"/>
      <c r="F1837" s="121"/>
      <c r="G1837" s="121"/>
      <c r="H1837" s="121"/>
    </row>
    <row r="1838" spans="3:8" x14ac:dyDescent="0.2">
      <c r="C1838" s="121"/>
      <c r="E1838" s="121"/>
      <c r="F1838" s="121"/>
      <c r="G1838" s="121"/>
      <c r="H1838" s="121"/>
    </row>
    <row r="1839" spans="3:8" x14ac:dyDescent="0.2">
      <c r="C1839" s="121"/>
      <c r="E1839" s="121"/>
      <c r="F1839" s="121"/>
      <c r="G1839" s="121"/>
      <c r="H1839" s="121"/>
    </row>
    <row r="1840" spans="3:8" x14ac:dyDescent="0.2">
      <c r="C1840" s="121"/>
      <c r="E1840" s="121"/>
      <c r="F1840" s="121"/>
      <c r="G1840" s="121"/>
      <c r="H1840" s="121"/>
    </row>
    <row r="1841" spans="3:8" x14ac:dyDescent="0.2">
      <c r="C1841" s="121"/>
      <c r="E1841" s="121"/>
      <c r="F1841" s="121"/>
      <c r="G1841" s="121"/>
      <c r="H1841" s="121"/>
    </row>
    <row r="1842" spans="3:8" x14ac:dyDescent="0.2">
      <c r="C1842" s="121"/>
      <c r="E1842" s="121"/>
      <c r="F1842" s="121"/>
      <c r="G1842" s="121"/>
      <c r="H1842" s="121"/>
    </row>
    <row r="1843" spans="3:8" x14ac:dyDescent="0.2">
      <c r="C1843" s="121"/>
      <c r="E1843" s="121"/>
      <c r="F1843" s="121"/>
      <c r="G1843" s="121"/>
      <c r="H1843" s="121"/>
    </row>
    <row r="1844" spans="3:8" x14ac:dyDescent="0.2">
      <c r="C1844" s="121"/>
      <c r="E1844" s="121"/>
      <c r="F1844" s="121"/>
      <c r="G1844" s="121"/>
      <c r="H1844" s="121"/>
    </row>
    <row r="1845" spans="3:8" x14ac:dyDescent="0.2">
      <c r="C1845" s="121"/>
      <c r="E1845" s="121"/>
      <c r="F1845" s="121"/>
      <c r="G1845" s="121"/>
      <c r="H1845" s="121"/>
    </row>
    <row r="1846" spans="3:8" x14ac:dyDescent="0.2">
      <c r="C1846" s="121"/>
      <c r="E1846" s="121"/>
      <c r="F1846" s="121"/>
      <c r="G1846" s="121"/>
      <c r="H1846" s="121"/>
    </row>
    <row r="1847" spans="3:8" x14ac:dyDescent="0.2">
      <c r="C1847" s="121"/>
      <c r="E1847" s="121"/>
      <c r="F1847" s="121"/>
      <c r="G1847" s="121"/>
      <c r="H1847" s="121"/>
    </row>
    <row r="1848" spans="3:8" x14ac:dyDescent="0.2">
      <c r="C1848" s="121"/>
      <c r="E1848" s="121"/>
      <c r="F1848" s="121"/>
      <c r="G1848" s="121"/>
      <c r="H1848" s="121"/>
    </row>
    <row r="1849" spans="3:8" x14ac:dyDescent="0.2">
      <c r="C1849" s="121"/>
      <c r="E1849" s="121"/>
      <c r="F1849" s="121"/>
      <c r="G1849" s="121"/>
      <c r="H1849" s="121"/>
    </row>
    <row r="1850" spans="3:8" x14ac:dyDescent="0.2">
      <c r="C1850" s="121"/>
      <c r="E1850" s="121"/>
      <c r="F1850" s="121"/>
      <c r="G1850" s="121"/>
      <c r="H1850" s="121"/>
    </row>
    <row r="1851" spans="3:8" x14ac:dyDescent="0.2">
      <c r="C1851" s="121"/>
      <c r="E1851" s="121"/>
      <c r="F1851" s="121"/>
      <c r="G1851" s="121"/>
      <c r="H1851" s="121"/>
    </row>
    <row r="1852" spans="3:8" x14ac:dyDescent="0.2">
      <c r="C1852" s="121"/>
      <c r="E1852" s="121"/>
      <c r="F1852" s="121"/>
      <c r="G1852" s="121"/>
      <c r="H1852" s="121"/>
    </row>
    <row r="1853" spans="3:8" x14ac:dyDescent="0.2">
      <c r="C1853" s="121"/>
      <c r="E1853" s="121"/>
      <c r="F1853" s="121"/>
      <c r="G1853" s="121"/>
      <c r="H1853" s="121"/>
    </row>
    <row r="1854" spans="3:8" x14ac:dyDescent="0.2">
      <c r="C1854" s="121"/>
      <c r="E1854" s="121"/>
      <c r="F1854" s="121"/>
      <c r="G1854" s="121"/>
      <c r="H1854" s="121"/>
    </row>
    <row r="1855" spans="3:8" x14ac:dyDescent="0.2">
      <c r="C1855" s="121"/>
      <c r="E1855" s="121"/>
      <c r="F1855" s="121"/>
      <c r="G1855" s="121"/>
      <c r="H1855" s="121"/>
    </row>
    <row r="1856" spans="3:8" x14ac:dyDescent="0.2">
      <c r="C1856" s="121"/>
      <c r="E1856" s="121"/>
      <c r="F1856" s="121"/>
      <c r="G1856" s="121"/>
      <c r="H1856" s="121"/>
    </row>
    <row r="1857" spans="3:8" x14ac:dyDescent="0.2">
      <c r="C1857" s="121"/>
      <c r="E1857" s="121"/>
      <c r="F1857" s="121"/>
      <c r="G1857" s="121"/>
      <c r="H1857" s="121"/>
    </row>
    <row r="1858" spans="3:8" x14ac:dyDescent="0.2">
      <c r="C1858" s="121"/>
      <c r="E1858" s="121"/>
      <c r="F1858" s="121"/>
      <c r="G1858" s="121"/>
      <c r="H1858" s="121"/>
    </row>
    <row r="1859" spans="3:8" x14ac:dyDescent="0.2">
      <c r="C1859" s="121"/>
      <c r="E1859" s="121"/>
      <c r="F1859" s="121"/>
      <c r="G1859" s="121"/>
      <c r="H1859" s="121"/>
    </row>
    <row r="1860" spans="3:8" x14ac:dyDescent="0.2">
      <c r="C1860" s="121"/>
      <c r="E1860" s="121"/>
      <c r="F1860" s="121"/>
      <c r="G1860" s="121"/>
      <c r="H1860" s="121"/>
    </row>
    <row r="1861" spans="3:8" x14ac:dyDescent="0.2">
      <c r="C1861" s="121"/>
      <c r="E1861" s="121"/>
      <c r="F1861" s="121"/>
      <c r="G1861" s="121"/>
      <c r="H1861" s="121"/>
    </row>
    <row r="1862" spans="3:8" x14ac:dyDescent="0.2">
      <c r="C1862" s="121"/>
      <c r="E1862" s="121"/>
      <c r="F1862" s="121"/>
      <c r="G1862" s="121"/>
      <c r="H1862" s="121"/>
    </row>
    <row r="1863" spans="3:8" x14ac:dyDescent="0.2">
      <c r="C1863" s="121"/>
      <c r="E1863" s="121"/>
      <c r="F1863" s="121"/>
      <c r="G1863" s="121"/>
      <c r="H1863" s="121"/>
    </row>
    <row r="1864" spans="3:8" x14ac:dyDescent="0.2">
      <c r="C1864" s="121"/>
      <c r="E1864" s="121"/>
      <c r="F1864" s="121"/>
      <c r="G1864" s="121"/>
      <c r="H1864" s="121"/>
    </row>
    <row r="1865" spans="3:8" x14ac:dyDescent="0.2">
      <c r="C1865" s="121"/>
      <c r="E1865" s="121"/>
      <c r="F1865" s="121"/>
      <c r="G1865" s="121"/>
      <c r="H1865" s="121"/>
    </row>
    <row r="1866" spans="3:8" x14ac:dyDescent="0.2">
      <c r="C1866" s="121"/>
      <c r="E1866" s="121"/>
      <c r="F1866" s="121"/>
      <c r="G1866" s="121"/>
      <c r="H1866" s="121"/>
    </row>
    <row r="1867" spans="3:8" x14ac:dyDescent="0.2">
      <c r="C1867" s="121"/>
      <c r="E1867" s="121"/>
      <c r="F1867" s="121"/>
      <c r="G1867" s="121"/>
      <c r="H1867" s="121"/>
    </row>
    <row r="1868" spans="3:8" x14ac:dyDescent="0.2">
      <c r="C1868" s="121"/>
      <c r="E1868" s="121"/>
      <c r="F1868" s="121"/>
      <c r="G1868" s="121"/>
      <c r="H1868" s="121"/>
    </row>
    <row r="1869" spans="3:8" x14ac:dyDescent="0.2">
      <c r="C1869" s="121"/>
      <c r="E1869" s="121"/>
      <c r="F1869" s="121"/>
      <c r="G1869" s="121"/>
      <c r="H1869" s="121"/>
    </row>
    <row r="1870" spans="3:8" x14ac:dyDescent="0.2">
      <c r="C1870" s="121"/>
      <c r="E1870" s="121"/>
      <c r="F1870" s="121"/>
      <c r="G1870" s="121"/>
      <c r="H1870" s="121"/>
    </row>
    <row r="1871" spans="3:8" x14ac:dyDescent="0.2">
      <c r="C1871" s="121"/>
      <c r="E1871" s="121"/>
      <c r="F1871" s="121"/>
      <c r="G1871" s="121"/>
      <c r="H1871" s="121"/>
    </row>
    <row r="1872" spans="3:8" x14ac:dyDescent="0.2">
      <c r="C1872" s="121"/>
      <c r="E1872" s="121"/>
      <c r="F1872" s="121"/>
      <c r="G1872" s="121"/>
      <c r="H1872" s="121"/>
    </row>
    <row r="1873" spans="3:8" x14ac:dyDescent="0.2">
      <c r="C1873" s="121"/>
      <c r="E1873" s="121"/>
      <c r="F1873" s="121"/>
      <c r="G1873" s="121"/>
      <c r="H1873" s="121"/>
    </row>
    <row r="1874" spans="3:8" x14ac:dyDescent="0.2">
      <c r="C1874" s="121"/>
      <c r="E1874" s="121"/>
      <c r="F1874" s="121"/>
      <c r="G1874" s="121"/>
      <c r="H1874" s="121"/>
    </row>
    <row r="1875" spans="3:8" x14ac:dyDescent="0.2">
      <c r="C1875" s="121"/>
      <c r="E1875" s="121"/>
      <c r="F1875" s="121"/>
      <c r="G1875" s="121"/>
      <c r="H1875" s="121"/>
    </row>
    <row r="1876" spans="3:8" x14ac:dyDescent="0.2">
      <c r="C1876" s="121"/>
      <c r="E1876" s="121"/>
      <c r="F1876" s="121"/>
      <c r="G1876" s="121"/>
      <c r="H1876" s="121"/>
    </row>
    <row r="1877" spans="3:8" x14ac:dyDescent="0.2">
      <c r="C1877" s="121"/>
      <c r="E1877" s="121"/>
      <c r="F1877" s="121"/>
      <c r="G1877" s="121"/>
      <c r="H1877" s="121"/>
    </row>
    <row r="1878" spans="3:8" x14ac:dyDescent="0.2">
      <c r="C1878" s="121"/>
      <c r="E1878" s="121"/>
      <c r="F1878" s="121"/>
      <c r="G1878" s="121"/>
      <c r="H1878" s="121"/>
    </row>
    <row r="1879" spans="3:8" x14ac:dyDescent="0.2">
      <c r="C1879" s="121"/>
      <c r="E1879" s="121"/>
      <c r="F1879" s="121"/>
      <c r="G1879" s="121"/>
      <c r="H1879" s="121"/>
    </row>
    <row r="1880" spans="3:8" x14ac:dyDescent="0.2">
      <c r="C1880" s="121"/>
      <c r="E1880" s="121"/>
      <c r="F1880" s="121"/>
      <c r="G1880" s="121"/>
      <c r="H1880" s="121"/>
    </row>
    <row r="1881" spans="3:8" x14ac:dyDescent="0.2">
      <c r="C1881" s="121"/>
      <c r="E1881" s="121"/>
      <c r="F1881" s="121"/>
      <c r="G1881" s="121"/>
      <c r="H1881" s="121"/>
    </row>
    <row r="1882" spans="3:8" x14ac:dyDescent="0.2">
      <c r="C1882" s="121"/>
      <c r="E1882" s="121"/>
      <c r="F1882" s="121"/>
      <c r="G1882" s="121"/>
      <c r="H1882" s="121"/>
    </row>
    <row r="1883" spans="3:8" x14ac:dyDescent="0.2">
      <c r="C1883" s="121"/>
      <c r="E1883" s="121"/>
      <c r="F1883" s="121"/>
      <c r="G1883" s="121"/>
      <c r="H1883" s="121"/>
    </row>
    <row r="1884" spans="3:8" x14ac:dyDescent="0.2">
      <c r="C1884" s="121"/>
      <c r="E1884" s="121"/>
      <c r="F1884" s="121"/>
      <c r="G1884" s="121"/>
      <c r="H1884" s="121"/>
    </row>
    <row r="1885" spans="3:8" x14ac:dyDescent="0.2">
      <c r="C1885" s="121"/>
      <c r="E1885" s="121"/>
      <c r="F1885" s="121"/>
      <c r="G1885" s="121"/>
      <c r="H1885" s="121"/>
    </row>
    <row r="1886" spans="3:8" x14ac:dyDescent="0.2">
      <c r="C1886" s="121"/>
      <c r="E1886" s="121"/>
      <c r="F1886" s="121"/>
      <c r="G1886" s="121"/>
      <c r="H1886" s="121"/>
    </row>
    <row r="1887" spans="3:8" x14ac:dyDescent="0.2">
      <c r="C1887" s="121"/>
      <c r="E1887" s="121"/>
      <c r="F1887" s="121"/>
      <c r="G1887" s="121"/>
      <c r="H1887" s="121"/>
    </row>
    <row r="1888" spans="3:8" x14ac:dyDescent="0.2">
      <c r="C1888" s="121"/>
      <c r="E1888" s="121"/>
      <c r="F1888" s="121"/>
      <c r="G1888" s="121"/>
      <c r="H1888" s="121"/>
    </row>
    <row r="1889" spans="3:8" x14ac:dyDescent="0.2">
      <c r="C1889" s="121"/>
      <c r="E1889" s="121"/>
      <c r="F1889" s="121"/>
      <c r="G1889" s="121"/>
      <c r="H1889" s="121"/>
    </row>
    <row r="1890" spans="3:8" x14ac:dyDescent="0.2">
      <c r="C1890" s="121"/>
      <c r="E1890" s="121"/>
      <c r="F1890" s="121"/>
      <c r="G1890" s="121"/>
      <c r="H1890" s="121"/>
    </row>
    <row r="1891" spans="3:8" x14ac:dyDescent="0.2">
      <c r="C1891" s="121"/>
      <c r="E1891" s="121"/>
      <c r="F1891" s="121"/>
      <c r="G1891" s="121"/>
      <c r="H1891" s="121"/>
    </row>
    <row r="1892" spans="3:8" x14ac:dyDescent="0.2">
      <c r="C1892" s="121"/>
      <c r="E1892" s="121"/>
      <c r="F1892" s="121"/>
      <c r="G1892" s="121"/>
      <c r="H1892" s="121"/>
    </row>
    <row r="1893" spans="3:8" x14ac:dyDescent="0.2">
      <c r="C1893" s="121"/>
      <c r="E1893" s="121"/>
      <c r="F1893" s="121"/>
      <c r="G1893" s="121"/>
      <c r="H1893" s="121"/>
    </row>
    <row r="1894" spans="3:8" x14ac:dyDescent="0.2">
      <c r="C1894" s="121"/>
      <c r="E1894" s="121"/>
      <c r="F1894" s="121"/>
      <c r="G1894" s="121"/>
      <c r="H1894" s="121"/>
    </row>
    <row r="1895" spans="3:8" x14ac:dyDescent="0.2">
      <c r="C1895" s="121"/>
      <c r="E1895" s="121"/>
      <c r="F1895" s="121"/>
      <c r="G1895" s="121"/>
      <c r="H1895" s="121"/>
    </row>
    <row r="1896" spans="3:8" x14ac:dyDescent="0.2">
      <c r="C1896" s="121"/>
      <c r="E1896" s="121"/>
      <c r="F1896" s="121"/>
      <c r="G1896" s="121"/>
      <c r="H1896" s="121"/>
    </row>
    <row r="1897" spans="3:8" x14ac:dyDescent="0.2">
      <c r="C1897" s="121"/>
      <c r="E1897" s="121"/>
      <c r="F1897" s="121"/>
      <c r="G1897" s="121"/>
      <c r="H1897" s="121"/>
    </row>
    <row r="1898" spans="3:8" x14ac:dyDescent="0.2">
      <c r="C1898" s="121"/>
      <c r="E1898" s="121"/>
      <c r="F1898" s="121"/>
      <c r="G1898" s="121"/>
      <c r="H1898" s="121"/>
    </row>
    <row r="1899" spans="3:8" x14ac:dyDescent="0.2">
      <c r="C1899" s="121"/>
      <c r="E1899" s="121"/>
      <c r="F1899" s="121"/>
      <c r="G1899" s="121"/>
      <c r="H1899" s="121"/>
    </row>
    <row r="1900" spans="3:8" x14ac:dyDescent="0.2">
      <c r="C1900" s="121"/>
      <c r="E1900" s="121"/>
      <c r="F1900" s="121"/>
      <c r="G1900" s="121"/>
      <c r="H1900" s="121"/>
    </row>
    <row r="1901" spans="3:8" x14ac:dyDescent="0.2">
      <c r="C1901" s="121"/>
      <c r="E1901" s="121"/>
      <c r="F1901" s="121"/>
      <c r="G1901" s="121"/>
      <c r="H1901" s="121"/>
    </row>
    <row r="1902" spans="3:8" x14ac:dyDescent="0.2">
      <c r="C1902" s="121"/>
      <c r="E1902" s="121"/>
      <c r="F1902" s="121"/>
      <c r="G1902" s="121"/>
      <c r="H1902" s="121"/>
    </row>
    <row r="1903" spans="3:8" x14ac:dyDescent="0.2">
      <c r="C1903" s="121"/>
      <c r="E1903" s="121"/>
      <c r="F1903" s="121"/>
      <c r="G1903" s="121"/>
      <c r="H1903" s="121"/>
    </row>
    <row r="1904" spans="3:8" x14ac:dyDescent="0.2">
      <c r="C1904" s="121"/>
      <c r="E1904" s="121"/>
      <c r="F1904" s="121"/>
      <c r="G1904" s="121"/>
      <c r="H1904" s="121"/>
    </row>
    <row r="1905" spans="3:8" x14ac:dyDescent="0.2">
      <c r="C1905" s="121"/>
      <c r="E1905" s="121"/>
      <c r="F1905" s="121"/>
      <c r="G1905" s="121"/>
      <c r="H1905" s="121"/>
    </row>
    <row r="1906" spans="3:8" x14ac:dyDescent="0.2">
      <c r="C1906" s="121"/>
      <c r="E1906" s="121"/>
      <c r="F1906" s="121"/>
      <c r="G1906" s="121"/>
      <c r="H1906" s="121"/>
    </row>
    <row r="1907" spans="3:8" x14ac:dyDescent="0.2">
      <c r="C1907" s="121"/>
      <c r="E1907" s="121"/>
      <c r="F1907" s="121"/>
      <c r="G1907" s="121"/>
      <c r="H1907" s="121"/>
    </row>
    <row r="1908" spans="3:8" x14ac:dyDescent="0.2">
      <c r="C1908" s="121"/>
      <c r="E1908" s="121"/>
      <c r="F1908" s="121"/>
      <c r="G1908" s="121"/>
      <c r="H1908" s="121"/>
    </row>
    <row r="1909" spans="3:8" x14ac:dyDescent="0.2">
      <c r="C1909" s="121"/>
      <c r="E1909" s="121"/>
      <c r="F1909" s="121"/>
      <c r="G1909" s="121"/>
      <c r="H1909" s="121"/>
    </row>
    <row r="1910" spans="3:8" x14ac:dyDescent="0.2">
      <c r="C1910" s="121"/>
      <c r="E1910" s="121"/>
      <c r="F1910" s="121"/>
      <c r="G1910" s="121"/>
      <c r="H1910" s="121"/>
    </row>
    <row r="1911" spans="3:8" x14ac:dyDescent="0.2">
      <c r="C1911" s="121"/>
      <c r="E1911" s="121"/>
      <c r="F1911" s="121"/>
      <c r="G1911" s="121"/>
      <c r="H1911" s="121"/>
    </row>
    <row r="1912" spans="3:8" x14ac:dyDescent="0.2">
      <c r="C1912" s="121"/>
      <c r="E1912" s="121"/>
      <c r="F1912" s="121"/>
      <c r="G1912" s="121"/>
      <c r="H1912" s="121"/>
    </row>
    <row r="1913" spans="3:8" x14ac:dyDescent="0.2">
      <c r="C1913" s="121"/>
      <c r="E1913" s="121"/>
      <c r="F1913" s="121"/>
      <c r="G1913" s="121"/>
      <c r="H1913" s="121"/>
    </row>
    <row r="1914" spans="3:8" x14ac:dyDescent="0.2">
      <c r="C1914" s="121"/>
      <c r="E1914" s="121"/>
      <c r="F1914" s="121"/>
      <c r="G1914" s="121"/>
      <c r="H1914" s="121"/>
    </row>
    <row r="1915" spans="3:8" x14ac:dyDescent="0.2">
      <c r="C1915" s="121"/>
      <c r="E1915" s="121"/>
      <c r="F1915" s="121"/>
      <c r="G1915" s="121"/>
      <c r="H1915" s="121"/>
    </row>
    <row r="1916" spans="3:8" x14ac:dyDescent="0.2">
      <c r="C1916" s="121"/>
      <c r="E1916" s="121"/>
      <c r="F1916" s="121"/>
      <c r="G1916" s="121"/>
      <c r="H1916" s="121"/>
    </row>
    <row r="1917" spans="3:8" x14ac:dyDescent="0.2">
      <c r="C1917" s="121"/>
      <c r="E1917" s="121"/>
      <c r="F1917" s="121"/>
      <c r="G1917" s="121"/>
      <c r="H1917" s="121"/>
    </row>
    <row r="1918" spans="3:8" x14ac:dyDescent="0.2">
      <c r="C1918" s="121"/>
      <c r="E1918" s="121"/>
      <c r="F1918" s="121"/>
      <c r="G1918" s="121"/>
      <c r="H1918" s="121"/>
    </row>
    <row r="1919" spans="3:8" x14ac:dyDescent="0.2">
      <c r="C1919" s="121"/>
      <c r="E1919" s="121"/>
      <c r="F1919" s="121"/>
      <c r="G1919" s="121"/>
      <c r="H1919" s="121"/>
    </row>
    <row r="1920" spans="3:8" x14ac:dyDescent="0.2">
      <c r="C1920" s="121"/>
      <c r="E1920" s="121"/>
      <c r="F1920" s="121"/>
      <c r="G1920" s="121"/>
      <c r="H1920" s="121"/>
    </row>
    <row r="1921" spans="3:8" x14ac:dyDescent="0.2">
      <c r="C1921" s="121"/>
      <c r="E1921" s="121"/>
      <c r="F1921" s="121"/>
      <c r="G1921" s="121"/>
      <c r="H1921" s="121"/>
    </row>
    <row r="1922" spans="3:8" x14ac:dyDescent="0.2">
      <c r="C1922" s="121"/>
      <c r="E1922" s="121"/>
      <c r="F1922" s="121"/>
      <c r="G1922" s="121"/>
      <c r="H1922" s="121"/>
    </row>
    <row r="1923" spans="3:8" x14ac:dyDescent="0.2">
      <c r="C1923" s="121"/>
      <c r="E1923" s="121"/>
      <c r="F1923" s="121"/>
      <c r="G1923" s="121"/>
      <c r="H1923" s="121"/>
    </row>
    <row r="1924" spans="3:8" x14ac:dyDescent="0.2">
      <c r="C1924" s="121"/>
      <c r="E1924" s="121"/>
      <c r="F1924" s="121"/>
      <c r="G1924" s="121"/>
      <c r="H1924" s="121"/>
    </row>
    <row r="1925" spans="3:8" x14ac:dyDescent="0.2">
      <c r="C1925" s="121"/>
      <c r="E1925" s="121"/>
      <c r="F1925" s="121"/>
      <c r="G1925" s="121"/>
      <c r="H1925" s="121"/>
    </row>
    <row r="1926" spans="3:8" x14ac:dyDescent="0.2">
      <c r="C1926" s="121"/>
      <c r="E1926" s="121"/>
      <c r="F1926" s="121"/>
      <c r="G1926" s="121"/>
      <c r="H1926" s="121"/>
    </row>
    <row r="1927" spans="3:8" x14ac:dyDescent="0.2">
      <c r="C1927" s="121"/>
      <c r="E1927" s="121"/>
      <c r="F1927" s="121"/>
      <c r="G1927" s="121"/>
      <c r="H1927" s="121"/>
    </row>
    <row r="1928" spans="3:8" x14ac:dyDescent="0.2">
      <c r="C1928" s="121"/>
      <c r="E1928" s="121"/>
      <c r="F1928" s="121"/>
      <c r="G1928" s="121"/>
      <c r="H1928" s="121"/>
    </row>
    <row r="1929" spans="3:8" x14ac:dyDescent="0.2">
      <c r="C1929" s="121"/>
      <c r="E1929" s="121"/>
      <c r="F1929" s="121"/>
      <c r="G1929" s="121"/>
      <c r="H1929" s="121"/>
    </row>
    <row r="1930" spans="3:8" x14ac:dyDescent="0.2">
      <c r="C1930" s="121"/>
      <c r="E1930" s="121"/>
      <c r="F1930" s="121"/>
      <c r="G1930" s="121"/>
      <c r="H1930" s="121"/>
    </row>
    <row r="1931" spans="3:8" x14ac:dyDescent="0.2">
      <c r="C1931" s="121"/>
      <c r="E1931" s="121"/>
      <c r="F1931" s="121"/>
      <c r="G1931" s="121"/>
      <c r="H1931" s="121"/>
    </row>
    <row r="1932" spans="3:8" x14ac:dyDescent="0.2">
      <c r="C1932" s="121"/>
      <c r="E1932" s="121"/>
      <c r="F1932" s="121"/>
      <c r="G1932" s="121"/>
      <c r="H1932" s="121"/>
    </row>
    <row r="1933" spans="3:8" x14ac:dyDescent="0.2">
      <c r="C1933" s="121"/>
      <c r="E1933" s="121"/>
      <c r="F1933" s="121"/>
      <c r="G1933" s="121"/>
      <c r="H1933" s="121"/>
    </row>
    <row r="1934" spans="3:8" x14ac:dyDescent="0.2">
      <c r="C1934" s="121"/>
      <c r="E1934" s="121"/>
      <c r="F1934" s="121"/>
      <c r="G1934" s="121"/>
      <c r="H1934" s="121"/>
    </row>
    <row r="1935" spans="3:8" x14ac:dyDescent="0.2">
      <c r="C1935" s="121"/>
      <c r="E1935" s="121"/>
      <c r="F1935" s="121"/>
      <c r="G1935" s="121"/>
      <c r="H1935" s="121"/>
    </row>
    <row r="1936" spans="3:8" x14ac:dyDescent="0.2">
      <c r="C1936" s="121"/>
      <c r="E1936" s="121"/>
      <c r="F1936" s="121"/>
      <c r="G1936" s="121"/>
      <c r="H1936" s="121"/>
    </row>
    <row r="1937" spans="3:8" x14ac:dyDescent="0.2">
      <c r="C1937" s="121"/>
      <c r="E1937" s="121"/>
      <c r="F1937" s="121"/>
      <c r="G1937" s="121"/>
      <c r="H1937" s="121"/>
    </row>
    <row r="1938" spans="3:8" x14ac:dyDescent="0.2">
      <c r="C1938" s="121"/>
      <c r="E1938" s="121"/>
      <c r="F1938" s="121"/>
      <c r="G1938" s="121"/>
      <c r="H1938" s="121"/>
    </row>
    <row r="1939" spans="3:8" x14ac:dyDescent="0.2">
      <c r="C1939" s="121"/>
      <c r="E1939" s="121"/>
      <c r="F1939" s="121"/>
      <c r="G1939" s="121"/>
      <c r="H1939" s="121"/>
    </row>
    <row r="1940" spans="3:8" x14ac:dyDescent="0.2">
      <c r="C1940" s="121"/>
      <c r="E1940" s="121"/>
      <c r="F1940" s="121"/>
      <c r="G1940" s="121"/>
      <c r="H1940" s="121"/>
    </row>
    <row r="1941" spans="3:8" x14ac:dyDescent="0.2">
      <c r="C1941" s="121"/>
      <c r="E1941" s="121"/>
      <c r="F1941" s="121"/>
      <c r="G1941" s="121"/>
      <c r="H1941" s="121"/>
    </row>
    <row r="1942" spans="3:8" x14ac:dyDescent="0.2">
      <c r="C1942" s="121"/>
      <c r="E1942" s="121"/>
      <c r="F1942" s="121"/>
      <c r="G1942" s="121"/>
      <c r="H1942" s="121"/>
    </row>
    <row r="1943" spans="3:8" x14ac:dyDescent="0.2">
      <c r="C1943" s="121"/>
      <c r="E1943" s="121"/>
      <c r="F1943" s="121"/>
      <c r="G1943" s="121"/>
      <c r="H1943" s="121"/>
    </row>
    <row r="1944" spans="3:8" x14ac:dyDescent="0.2">
      <c r="C1944" s="121"/>
      <c r="E1944" s="121"/>
      <c r="F1944" s="121"/>
      <c r="G1944" s="121"/>
      <c r="H1944" s="121"/>
    </row>
    <row r="1945" spans="3:8" x14ac:dyDescent="0.2">
      <c r="C1945" s="121"/>
      <c r="E1945" s="121"/>
      <c r="F1945" s="121"/>
      <c r="G1945" s="121"/>
      <c r="H1945" s="121"/>
    </row>
    <row r="1946" spans="3:8" x14ac:dyDescent="0.2">
      <c r="C1946" s="121"/>
      <c r="E1946" s="121"/>
      <c r="F1946" s="121"/>
      <c r="G1946" s="121"/>
      <c r="H1946" s="121"/>
    </row>
    <row r="1947" spans="3:8" x14ac:dyDescent="0.2">
      <c r="C1947" s="121"/>
      <c r="E1947" s="121"/>
      <c r="F1947" s="121"/>
      <c r="G1947" s="121"/>
      <c r="H1947" s="121"/>
    </row>
    <row r="1948" spans="3:8" x14ac:dyDescent="0.2">
      <c r="C1948" s="121"/>
      <c r="E1948" s="121"/>
      <c r="F1948" s="121"/>
      <c r="G1948" s="121"/>
      <c r="H1948" s="121"/>
    </row>
    <row r="1949" spans="3:8" x14ac:dyDescent="0.2">
      <c r="C1949" s="121"/>
      <c r="E1949" s="121"/>
      <c r="F1949" s="121"/>
      <c r="G1949" s="121"/>
      <c r="H1949" s="121"/>
    </row>
    <row r="1950" spans="3:8" x14ac:dyDescent="0.2">
      <c r="C1950" s="121"/>
      <c r="E1950" s="121"/>
      <c r="F1950" s="121"/>
      <c r="G1950" s="121"/>
      <c r="H1950" s="121"/>
    </row>
    <row r="1951" spans="3:8" x14ac:dyDescent="0.2">
      <c r="C1951" s="121"/>
      <c r="E1951" s="121"/>
      <c r="F1951" s="121"/>
      <c r="G1951" s="121"/>
      <c r="H1951" s="121"/>
    </row>
    <row r="1952" spans="3:8" x14ac:dyDescent="0.2">
      <c r="C1952" s="121"/>
      <c r="E1952" s="121"/>
      <c r="F1952" s="121"/>
      <c r="G1952" s="121"/>
      <c r="H1952" s="121"/>
    </row>
    <row r="1953" spans="3:8" x14ac:dyDescent="0.2">
      <c r="C1953" s="121"/>
      <c r="E1953" s="121"/>
      <c r="F1953" s="121"/>
      <c r="G1953" s="121"/>
      <c r="H1953" s="121"/>
    </row>
    <row r="1954" spans="3:8" x14ac:dyDescent="0.2">
      <c r="C1954" s="121"/>
      <c r="E1954" s="121"/>
      <c r="F1954" s="121"/>
      <c r="G1954" s="121"/>
      <c r="H1954" s="121"/>
    </row>
    <row r="1955" spans="3:8" x14ac:dyDescent="0.2">
      <c r="C1955" s="121"/>
      <c r="E1955" s="121"/>
      <c r="F1955" s="121"/>
      <c r="G1955" s="121"/>
      <c r="H1955" s="121"/>
    </row>
    <row r="1956" spans="3:8" x14ac:dyDescent="0.2">
      <c r="C1956" s="121"/>
      <c r="E1956" s="121"/>
      <c r="F1956" s="121"/>
      <c r="G1956" s="121"/>
      <c r="H1956" s="121"/>
    </row>
    <row r="1957" spans="3:8" x14ac:dyDescent="0.2">
      <c r="C1957" s="121"/>
      <c r="E1957" s="121"/>
      <c r="F1957" s="121"/>
      <c r="G1957" s="121"/>
      <c r="H1957" s="121"/>
    </row>
    <row r="1958" spans="3:8" x14ac:dyDescent="0.2">
      <c r="C1958" s="121"/>
      <c r="E1958" s="121"/>
      <c r="F1958" s="121"/>
      <c r="G1958" s="121"/>
      <c r="H1958" s="121"/>
    </row>
    <row r="1959" spans="3:8" x14ac:dyDescent="0.2">
      <c r="C1959" s="121"/>
      <c r="E1959" s="121"/>
      <c r="F1959" s="121"/>
      <c r="G1959" s="121"/>
      <c r="H1959" s="121"/>
    </row>
    <row r="1960" spans="3:8" x14ac:dyDescent="0.2">
      <c r="C1960" s="121"/>
      <c r="E1960" s="121"/>
      <c r="F1960" s="121"/>
      <c r="G1960" s="121"/>
      <c r="H1960" s="121"/>
    </row>
    <row r="1961" spans="3:8" x14ac:dyDescent="0.2">
      <c r="C1961" s="121"/>
      <c r="E1961" s="121"/>
      <c r="F1961" s="121"/>
      <c r="G1961" s="121"/>
      <c r="H1961" s="121"/>
    </row>
    <row r="1962" spans="3:8" x14ac:dyDescent="0.2">
      <c r="C1962" s="121"/>
      <c r="E1962" s="121"/>
      <c r="F1962" s="121"/>
      <c r="G1962" s="121"/>
      <c r="H1962" s="121"/>
    </row>
    <row r="1963" spans="3:8" x14ac:dyDescent="0.2">
      <c r="C1963" s="121"/>
      <c r="E1963" s="121"/>
      <c r="F1963" s="121"/>
      <c r="G1963" s="121"/>
      <c r="H1963" s="121"/>
    </row>
    <row r="1964" spans="3:8" x14ac:dyDescent="0.2">
      <c r="C1964" s="121"/>
      <c r="E1964" s="121"/>
      <c r="F1964" s="121"/>
      <c r="G1964" s="121"/>
      <c r="H1964" s="121"/>
    </row>
    <row r="1965" spans="3:8" x14ac:dyDescent="0.2">
      <c r="C1965" s="121"/>
      <c r="E1965" s="121"/>
      <c r="F1965" s="121"/>
      <c r="G1965" s="121"/>
      <c r="H1965" s="121"/>
    </row>
    <row r="1966" spans="3:8" x14ac:dyDescent="0.2">
      <c r="C1966" s="121"/>
      <c r="E1966" s="121"/>
      <c r="F1966" s="121"/>
      <c r="G1966" s="121"/>
      <c r="H1966" s="121"/>
    </row>
    <row r="1967" spans="3:8" x14ac:dyDescent="0.2">
      <c r="C1967" s="121"/>
      <c r="E1967" s="121"/>
      <c r="F1967" s="121"/>
      <c r="G1967" s="121"/>
      <c r="H1967" s="121"/>
    </row>
    <row r="1968" spans="3:8" x14ac:dyDescent="0.2">
      <c r="C1968" s="121"/>
      <c r="E1968" s="121"/>
      <c r="F1968" s="121"/>
      <c r="G1968" s="121"/>
      <c r="H1968" s="121"/>
    </row>
    <row r="1969" spans="3:8" x14ac:dyDescent="0.2">
      <c r="C1969" s="121"/>
      <c r="E1969" s="121"/>
      <c r="F1969" s="121"/>
      <c r="G1969" s="121"/>
      <c r="H1969" s="121"/>
    </row>
    <row r="1970" spans="3:8" x14ac:dyDescent="0.2">
      <c r="C1970" s="121"/>
      <c r="E1970" s="121"/>
      <c r="F1970" s="121"/>
      <c r="G1970" s="121"/>
      <c r="H1970" s="121"/>
    </row>
    <row r="1971" spans="3:8" x14ac:dyDescent="0.2">
      <c r="C1971" s="121"/>
      <c r="E1971" s="121"/>
      <c r="F1971" s="121"/>
      <c r="G1971" s="121"/>
      <c r="H1971" s="121"/>
    </row>
    <row r="1972" spans="3:8" x14ac:dyDescent="0.2">
      <c r="C1972" s="121"/>
      <c r="E1972" s="121"/>
      <c r="F1972" s="121"/>
      <c r="G1972" s="121"/>
      <c r="H1972" s="121"/>
    </row>
    <row r="1973" spans="3:8" x14ac:dyDescent="0.2">
      <c r="C1973" s="121"/>
      <c r="E1973" s="121"/>
      <c r="F1973" s="121"/>
      <c r="G1973" s="121"/>
      <c r="H1973" s="121"/>
    </row>
    <row r="1974" spans="3:8" x14ac:dyDescent="0.2">
      <c r="C1974" s="121"/>
      <c r="E1974" s="121"/>
      <c r="F1974" s="121"/>
      <c r="G1974" s="121"/>
      <c r="H1974" s="121"/>
    </row>
    <row r="1975" spans="3:8" x14ac:dyDescent="0.2">
      <c r="C1975" s="121"/>
      <c r="E1975" s="121"/>
      <c r="F1975" s="121"/>
      <c r="G1975" s="121"/>
      <c r="H1975" s="121"/>
    </row>
    <row r="1976" spans="3:8" x14ac:dyDescent="0.2">
      <c r="C1976" s="121"/>
      <c r="E1976" s="121"/>
      <c r="F1976" s="121"/>
      <c r="G1976" s="121"/>
      <c r="H1976" s="121"/>
    </row>
    <row r="1977" spans="3:8" x14ac:dyDescent="0.2">
      <c r="C1977" s="121"/>
      <c r="E1977" s="121"/>
      <c r="F1977" s="121"/>
      <c r="G1977" s="121"/>
      <c r="H1977" s="121"/>
    </row>
    <row r="1978" spans="3:8" x14ac:dyDescent="0.2">
      <c r="C1978" s="121"/>
      <c r="E1978" s="121"/>
      <c r="F1978" s="121"/>
      <c r="G1978" s="121"/>
      <c r="H1978" s="121"/>
    </row>
    <row r="1979" spans="3:8" x14ac:dyDescent="0.2">
      <c r="C1979" s="121"/>
      <c r="E1979" s="121"/>
      <c r="F1979" s="121"/>
      <c r="G1979" s="121"/>
      <c r="H1979" s="121"/>
    </row>
    <row r="1980" spans="3:8" x14ac:dyDescent="0.2">
      <c r="C1980" s="121"/>
      <c r="E1980" s="121"/>
      <c r="F1980" s="121"/>
      <c r="G1980" s="121"/>
      <c r="H1980" s="121"/>
    </row>
    <row r="1981" spans="3:8" x14ac:dyDescent="0.2">
      <c r="C1981" s="121"/>
      <c r="E1981" s="121"/>
      <c r="F1981" s="121"/>
      <c r="G1981" s="121"/>
      <c r="H1981" s="121"/>
    </row>
    <row r="1982" spans="3:8" x14ac:dyDescent="0.2">
      <c r="C1982" s="121"/>
      <c r="E1982" s="121"/>
      <c r="F1982" s="121"/>
      <c r="G1982" s="121"/>
      <c r="H1982" s="121"/>
    </row>
    <row r="1983" spans="3:8" x14ac:dyDescent="0.2">
      <c r="C1983" s="121"/>
      <c r="E1983" s="121"/>
      <c r="F1983" s="121"/>
      <c r="G1983" s="121"/>
      <c r="H1983" s="121"/>
    </row>
    <row r="1984" spans="3:8" x14ac:dyDescent="0.2">
      <c r="C1984" s="121"/>
      <c r="E1984" s="121"/>
      <c r="F1984" s="121"/>
      <c r="G1984" s="121"/>
      <c r="H1984" s="121"/>
    </row>
    <row r="1985" spans="3:8" x14ac:dyDescent="0.2">
      <c r="C1985" s="121"/>
      <c r="E1985" s="121"/>
      <c r="F1985" s="121"/>
      <c r="G1985" s="121"/>
      <c r="H1985" s="121"/>
    </row>
    <row r="1986" spans="3:8" x14ac:dyDescent="0.2">
      <c r="C1986" s="121"/>
      <c r="E1986" s="121"/>
      <c r="F1986" s="121"/>
      <c r="G1986" s="121"/>
      <c r="H1986" s="121"/>
    </row>
    <row r="1987" spans="3:8" x14ac:dyDescent="0.2">
      <c r="C1987" s="121"/>
      <c r="E1987" s="121"/>
      <c r="F1987" s="121"/>
      <c r="G1987" s="121"/>
      <c r="H1987" s="121"/>
    </row>
    <row r="1988" spans="3:8" x14ac:dyDescent="0.2">
      <c r="C1988" s="121"/>
      <c r="E1988" s="121"/>
      <c r="F1988" s="121"/>
      <c r="G1988" s="121"/>
      <c r="H1988" s="121"/>
    </row>
    <row r="1989" spans="3:8" x14ac:dyDescent="0.2">
      <c r="C1989" s="121"/>
      <c r="E1989" s="121"/>
      <c r="F1989" s="121"/>
      <c r="G1989" s="121"/>
      <c r="H1989" s="121"/>
    </row>
    <row r="1990" spans="3:8" x14ac:dyDescent="0.2">
      <c r="C1990" s="121"/>
      <c r="E1990" s="121"/>
      <c r="F1990" s="121"/>
      <c r="G1990" s="121"/>
      <c r="H1990" s="121"/>
    </row>
    <row r="1991" spans="3:8" x14ac:dyDescent="0.2">
      <c r="C1991" s="121"/>
      <c r="E1991" s="121"/>
      <c r="F1991" s="121"/>
      <c r="G1991" s="121"/>
      <c r="H1991" s="121"/>
    </row>
    <row r="1992" spans="3:8" x14ac:dyDescent="0.2">
      <c r="C1992" s="121"/>
      <c r="E1992" s="121"/>
      <c r="F1992" s="121"/>
      <c r="G1992" s="121"/>
      <c r="H1992" s="121"/>
    </row>
    <row r="1993" spans="3:8" x14ac:dyDescent="0.2">
      <c r="C1993" s="121"/>
      <c r="E1993" s="121"/>
      <c r="F1993" s="121"/>
      <c r="G1993" s="121"/>
      <c r="H1993" s="121"/>
    </row>
    <row r="1994" spans="3:8" x14ac:dyDescent="0.2">
      <c r="C1994" s="121"/>
      <c r="E1994" s="121"/>
      <c r="F1994" s="121"/>
      <c r="G1994" s="121"/>
      <c r="H1994" s="121"/>
    </row>
    <row r="1995" spans="3:8" x14ac:dyDescent="0.2">
      <c r="C1995" s="121"/>
      <c r="E1995" s="121"/>
      <c r="F1995" s="121"/>
      <c r="G1995" s="121"/>
      <c r="H1995" s="121"/>
    </row>
    <row r="1996" spans="3:8" x14ac:dyDescent="0.2">
      <c r="C1996" s="121"/>
      <c r="E1996" s="121"/>
      <c r="F1996" s="121"/>
      <c r="G1996" s="121"/>
      <c r="H1996" s="121"/>
    </row>
    <row r="1997" spans="3:8" x14ac:dyDescent="0.2">
      <c r="C1997" s="121"/>
      <c r="E1997" s="121"/>
      <c r="F1997" s="121"/>
      <c r="G1997" s="121"/>
      <c r="H1997" s="121"/>
    </row>
    <row r="1998" spans="3:8" x14ac:dyDescent="0.2">
      <c r="C1998" s="121"/>
      <c r="E1998" s="121"/>
      <c r="F1998" s="121"/>
      <c r="G1998" s="121"/>
      <c r="H1998" s="121"/>
    </row>
    <row r="1999" spans="3:8" x14ac:dyDescent="0.2">
      <c r="C1999" s="121"/>
      <c r="E1999" s="121"/>
      <c r="F1999" s="121"/>
      <c r="G1999" s="121"/>
      <c r="H1999" s="121"/>
    </row>
    <row r="2000" spans="3:8" x14ac:dyDescent="0.2">
      <c r="C2000" s="121"/>
      <c r="E2000" s="121"/>
      <c r="F2000" s="121"/>
      <c r="G2000" s="121"/>
      <c r="H2000" s="121"/>
    </row>
    <row r="2001" spans="3:8" x14ac:dyDescent="0.2">
      <c r="C2001" s="121"/>
      <c r="E2001" s="121"/>
      <c r="F2001" s="121"/>
      <c r="G2001" s="121"/>
      <c r="H2001" s="121"/>
    </row>
    <row r="2002" spans="3:8" x14ac:dyDescent="0.2">
      <c r="C2002" s="121"/>
      <c r="E2002" s="121"/>
      <c r="F2002" s="121"/>
      <c r="G2002" s="121"/>
      <c r="H2002" s="121"/>
    </row>
    <row r="2003" spans="3:8" x14ac:dyDescent="0.2">
      <c r="C2003" s="121"/>
      <c r="E2003" s="121"/>
      <c r="F2003" s="121"/>
      <c r="G2003" s="121"/>
      <c r="H2003" s="121"/>
    </row>
    <row r="2004" spans="3:8" x14ac:dyDescent="0.2">
      <c r="C2004" s="121"/>
      <c r="E2004" s="121"/>
      <c r="F2004" s="121"/>
      <c r="G2004" s="121"/>
      <c r="H2004" s="121"/>
    </row>
    <row r="2005" spans="3:8" x14ac:dyDescent="0.2">
      <c r="C2005" s="121"/>
      <c r="E2005" s="121"/>
      <c r="F2005" s="121"/>
      <c r="G2005" s="121"/>
      <c r="H2005" s="121"/>
    </row>
    <row r="2006" spans="3:8" x14ac:dyDescent="0.2">
      <c r="C2006" s="121"/>
      <c r="E2006" s="121"/>
      <c r="F2006" s="121"/>
      <c r="G2006" s="121"/>
      <c r="H2006" s="121"/>
    </row>
    <row r="2007" spans="3:8" x14ac:dyDescent="0.2">
      <c r="C2007" s="121"/>
      <c r="E2007" s="121"/>
      <c r="F2007" s="121"/>
      <c r="G2007" s="121"/>
      <c r="H2007" s="121"/>
    </row>
    <row r="2008" spans="3:8" x14ac:dyDescent="0.2">
      <c r="C2008" s="121"/>
      <c r="E2008" s="121"/>
      <c r="F2008" s="121"/>
      <c r="G2008" s="121"/>
      <c r="H2008" s="121"/>
    </row>
    <row r="2009" spans="3:8" x14ac:dyDescent="0.2">
      <c r="C2009" s="121"/>
      <c r="E2009" s="121"/>
      <c r="F2009" s="121"/>
      <c r="G2009" s="121"/>
      <c r="H2009" s="121"/>
    </row>
    <row r="2010" spans="3:8" x14ac:dyDescent="0.2">
      <c r="C2010" s="121"/>
      <c r="E2010" s="121"/>
      <c r="F2010" s="121"/>
      <c r="G2010" s="121"/>
      <c r="H2010" s="121"/>
    </row>
    <row r="2011" spans="3:8" x14ac:dyDescent="0.2">
      <c r="C2011" s="121"/>
      <c r="E2011" s="121"/>
      <c r="F2011" s="121"/>
      <c r="G2011" s="121"/>
      <c r="H2011" s="121"/>
    </row>
    <row r="2012" spans="3:8" x14ac:dyDescent="0.2">
      <c r="C2012" s="121"/>
      <c r="E2012" s="121"/>
      <c r="F2012" s="121"/>
      <c r="G2012" s="121"/>
      <c r="H2012" s="121"/>
    </row>
    <row r="2013" spans="3:8" x14ac:dyDescent="0.2">
      <c r="C2013" s="121"/>
      <c r="E2013" s="121"/>
      <c r="F2013" s="121"/>
      <c r="G2013" s="121"/>
      <c r="H2013" s="121"/>
    </row>
    <row r="2014" spans="3:8" x14ac:dyDescent="0.2">
      <c r="C2014" s="121"/>
      <c r="E2014" s="121"/>
      <c r="F2014" s="121"/>
      <c r="G2014" s="121"/>
      <c r="H2014" s="121"/>
    </row>
    <row r="2015" spans="3:8" x14ac:dyDescent="0.2">
      <c r="C2015" s="121"/>
      <c r="E2015" s="121"/>
      <c r="F2015" s="121"/>
      <c r="G2015" s="121"/>
      <c r="H2015" s="121"/>
    </row>
    <row r="2016" spans="3:8" x14ac:dyDescent="0.2">
      <c r="C2016" s="121"/>
      <c r="E2016" s="121"/>
      <c r="F2016" s="121"/>
      <c r="G2016" s="121"/>
      <c r="H2016" s="121"/>
    </row>
    <row r="2017" spans="3:8" x14ac:dyDescent="0.2">
      <c r="C2017" s="121"/>
      <c r="E2017" s="121"/>
      <c r="F2017" s="121"/>
      <c r="G2017" s="121"/>
      <c r="H2017" s="121"/>
    </row>
    <row r="2018" spans="3:8" x14ac:dyDescent="0.2">
      <c r="C2018" s="123"/>
      <c r="E2018" s="123"/>
      <c r="F2018" s="123"/>
      <c r="G2018" s="123"/>
      <c r="H2018" s="123"/>
    </row>
    <row r="2019" spans="3:8" x14ac:dyDescent="0.2">
      <c r="C2019" s="121"/>
      <c r="E2019" s="121"/>
      <c r="F2019" s="121"/>
      <c r="G2019" s="121"/>
      <c r="H2019" s="121"/>
    </row>
    <row r="2020" spans="3:8" x14ac:dyDescent="0.2">
      <c r="C2020" s="121"/>
      <c r="E2020" s="121"/>
      <c r="F2020" s="121"/>
      <c r="G2020" s="121"/>
      <c r="H2020" s="121"/>
    </row>
    <row r="2021" spans="3:8" x14ac:dyDescent="0.2">
      <c r="C2021" s="121"/>
      <c r="E2021" s="121"/>
      <c r="F2021" s="121"/>
      <c r="G2021" s="121"/>
      <c r="H2021" s="121"/>
    </row>
    <row r="2022" spans="3:8" x14ac:dyDescent="0.2">
      <c r="C2022" s="121"/>
      <c r="E2022" s="121"/>
      <c r="F2022" s="121"/>
      <c r="G2022" s="121"/>
      <c r="H2022" s="121"/>
    </row>
    <row r="2023" spans="3:8" x14ac:dyDescent="0.2">
      <c r="C2023" s="121"/>
      <c r="E2023" s="121"/>
      <c r="F2023" s="121"/>
      <c r="G2023" s="121"/>
      <c r="H2023" s="121"/>
    </row>
    <row r="2024" spans="3:8" x14ac:dyDescent="0.2">
      <c r="C2024" s="121"/>
      <c r="E2024" s="121"/>
      <c r="F2024" s="121"/>
      <c r="G2024" s="121"/>
      <c r="H2024" s="121"/>
    </row>
    <row r="2025" spans="3:8" x14ac:dyDescent="0.2">
      <c r="C2025" s="121"/>
      <c r="E2025" s="121"/>
      <c r="F2025" s="121"/>
      <c r="G2025" s="121"/>
      <c r="H2025" s="121"/>
    </row>
    <row r="2026" spans="3:8" x14ac:dyDescent="0.2">
      <c r="C2026" s="121"/>
      <c r="E2026" s="121"/>
      <c r="F2026" s="121"/>
      <c r="G2026" s="121"/>
      <c r="H2026" s="121"/>
    </row>
    <row r="2027" spans="3:8" x14ac:dyDescent="0.2">
      <c r="C2027" s="121"/>
      <c r="E2027" s="121"/>
      <c r="F2027" s="121"/>
      <c r="G2027" s="121"/>
      <c r="H2027" s="121"/>
    </row>
    <row r="2028" spans="3:8" x14ac:dyDescent="0.2">
      <c r="C2028" s="121"/>
      <c r="E2028" s="121"/>
      <c r="F2028" s="121"/>
      <c r="G2028" s="121"/>
      <c r="H2028" s="121"/>
    </row>
    <row r="2029" spans="3:8" x14ac:dyDescent="0.2">
      <c r="C2029" s="121"/>
      <c r="E2029" s="121"/>
      <c r="F2029" s="121"/>
      <c r="G2029" s="121"/>
      <c r="H2029" s="121"/>
    </row>
    <row r="2030" spans="3:8" x14ac:dyDescent="0.2">
      <c r="C2030" s="121"/>
      <c r="E2030" s="121"/>
      <c r="F2030" s="121"/>
      <c r="G2030" s="121"/>
      <c r="H2030" s="121"/>
    </row>
    <row r="2031" spans="3:8" x14ac:dyDescent="0.2">
      <c r="C2031" s="121"/>
      <c r="E2031" s="121"/>
      <c r="F2031" s="121"/>
      <c r="G2031" s="121"/>
      <c r="H2031" s="121"/>
    </row>
    <row r="2032" spans="3:8" x14ac:dyDescent="0.2">
      <c r="C2032" s="121"/>
      <c r="E2032" s="121"/>
      <c r="F2032" s="121"/>
      <c r="G2032" s="121"/>
      <c r="H2032" s="121"/>
    </row>
    <row r="2033" spans="3:8" x14ac:dyDescent="0.2">
      <c r="C2033" s="121"/>
      <c r="E2033" s="121"/>
      <c r="F2033" s="121"/>
      <c r="G2033" s="121"/>
      <c r="H2033" s="121"/>
    </row>
    <row r="2034" spans="3:8" x14ac:dyDescent="0.2">
      <c r="C2034" s="121"/>
      <c r="E2034" s="121"/>
      <c r="F2034" s="121"/>
      <c r="G2034" s="121"/>
      <c r="H2034" s="121"/>
    </row>
    <row r="2035" spans="3:8" x14ac:dyDescent="0.2">
      <c r="C2035" s="121"/>
      <c r="E2035" s="121"/>
      <c r="F2035" s="121"/>
      <c r="G2035" s="121"/>
      <c r="H2035" s="121"/>
    </row>
    <row r="2036" spans="3:8" x14ac:dyDescent="0.2">
      <c r="C2036" s="121"/>
      <c r="E2036" s="121"/>
      <c r="F2036" s="121"/>
      <c r="G2036" s="121"/>
      <c r="H2036" s="121"/>
    </row>
    <row r="2037" spans="3:8" x14ac:dyDescent="0.2">
      <c r="C2037" s="121"/>
      <c r="E2037" s="121"/>
      <c r="F2037" s="121"/>
      <c r="G2037" s="121"/>
      <c r="H2037" s="121"/>
    </row>
    <row r="2038" spans="3:8" x14ac:dyDescent="0.2">
      <c r="C2038" s="121"/>
      <c r="E2038" s="121"/>
      <c r="F2038" s="121"/>
      <c r="G2038" s="121"/>
      <c r="H2038" s="121"/>
    </row>
    <row r="2039" spans="3:8" x14ac:dyDescent="0.2">
      <c r="C2039" s="121"/>
      <c r="E2039" s="121"/>
      <c r="F2039" s="121"/>
      <c r="G2039" s="121"/>
      <c r="H2039" s="121"/>
    </row>
    <row r="2040" spans="3:8" x14ac:dyDescent="0.2">
      <c r="C2040" s="121"/>
      <c r="E2040" s="121"/>
      <c r="F2040" s="121"/>
      <c r="G2040" s="121"/>
      <c r="H2040" s="121"/>
    </row>
    <row r="2041" spans="3:8" x14ac:dyDescent="0.2">
      <c r="C2041" s="121"/>
      <c r="E2041" s="121"/>
      <c r="F2041" s="121"/>
      <c r="G2041" s="121"/>
      <c r="H2041" s="121"/>
    </row>
    <row r="2042" spans="3:8" x14ac:dyDescent="0.2">
      <c r="C2042" s="121"/>
      <c r="E2042" s="121"/>
      <c r="F2042" s="121"/>
      <c r="G2042" s="121"/>
      <c r="H2042" s="121"/>
    </row>
    <row r="2043" spans="3:8" x14ac:dyDescent="0.2">
      <c r="C2043" s="121"/>
      <c r="E2043" s="121"/>
      <c r="F2043" s="121"/>
      <c r="G2043" s="121"/>
      <c r="H2043" s="121"/>
    </row>
    <row r="2044" spans="3:8" x14ac:dyDescent="0.2">
      <c r="C2044" s="121"/>
      <c r="E2044" s="121"/>
      <c r="F2044" s="121"/>
      <c r="G2044" s="121"/>
      <c r="H2044" s="121"/>
    </row>
    <row r="2045" spans="3:8" x14ac:dyDescent="0.2">
      <c r="C2045" s="121"/>
      <c r="E2045" s="121"/>
      <c r="F2045" s="121"/>
      <c r="G2045" s="121"/>
      <c r="H2045" s="121"/>
    </row>
    <row r="2046" spans="3:8" x14ac:dyDescent="0.2">
      <c r="C2046" s="121"/>
      <c r="E2046" s="121"/>
      <c r="F2046" s="121"/>
      <c r="G2046" s="121"/>
      <c r="H2046" s="121"/>
    </row>
    <row r="2047" spans="3:8" x14ac:dyDescent="0.2">
      <c r="C2047" s="121"/>
      <c r="E2047" s="121"/>
      <c r="F2047" s="121"/>
      <c r="G2047" s="121"/>
      <c r="H2047" s="121"/>
    </row>
    <row r="2048" spans="3:8" x14ac:dyDescent="0.2">
      <c r="C2048" s="121"/>
      <c r="E2048" s="121"/>
      <c r="F2048" s="121"/>
      <c r="G2048" s="121"/>
      <c r="H2048" s="121"/>
    </row>
    <row r="2049" spans="3:8" x14ac:dyDescent="0.2">
      <c r="C2049" s="121"/>
      <c r="E2049" s="121"/>
      <c r="F2049" s="121"/>
      <c r="G2049" s="121"/>
      <c r="H2049" s="121"/>
    </row>
    <row r="2050" spans="3:8" x14ac:dyDescent="0.2">
      <c r="C2050" s="121"/>
      <c r="E2050" s="121"/>
      <c r="F2050" s="121"/>
      <c r="G2050" s="121"/>
      <c r="H2050" s="121"/>
    </row>
    <row r="2051" spans="3:8" x14ac:dyDescent="0.2">
      <c r="C2051" s="121"/>
      <c r="E2051" s="121"/>
      <c r="F2051" s="121"/>
      <c r="G2051" s="121"/>
      <c r="H2051" s="121"/>
    </row>
    <row r="2052" spans="3:8" x14ac:dyDescent="0.2">
      <c r="C2052" s="121"/>
      <c r="E2052" s="121"/>
      <c r="F2052" s="121"/>
      <c r="G2052" s="121"/>
      <c r="H2052" s="121"/>
    </row>
    <row r="2053" spans="3:8" x14ac:dyDescent="0.2">
      <c r="C2053" s="121"/>
      <c r="E2053" s="121"/>
      <c r="F2053" s="121"/>
      <c r="G2053" s="121"/>
      <c r="H2053" s="121"/>
    </row>
    <row r="2054" spans="3:8" x14ac:dyDescent="0.2">
      <c r="C2054" s="121"/>
      <c r="E2054" s="121"/>
      <c r="F2054" s="121"/>
      <c r="G2054" s="121"/>
      <c r="H2054" s="121"/>
    </row>
    <row r="2055" spans="3:8" x14ac:dyDescent="0.2">
      <c r="C2055" s="121"/>
      <c r="E2055" s="121"/>
      <c r="F2055" s="121"/>
      <c r="G2055" s="121"/>
      <c r="H2055" s="121"/>
    </row>
    <row r="2056" spans="3:8" x14ac:dyDescent="0.2">
      <c r="C2056" s="121"/>
      <c r="E2056" s="121"/>
      <c r="F2056" s="121"/>
      <c r="G2056" s="121"/>
      <c r="H2056" s="121"/>
    </row>
    <row r="2057" spans="3:8" x14ac:dyDescent="0.2">
      <c r="C2057" s="121"/>
      <c r="E2057" s="121"/>
      <c r="F2057" s="121"/>
      <c r="G2057" s="121"/>
      <c r="H2057" s="121"/>
    </row>
    <row r="2058" spans="3:8" x14ac:dyDescent="0.2">
      <c r="C2058" s="121"/>
      <c r="E2058" s="121"/>
      <c r="F2058" s="121"/>
      <c r="G2058" s="121"/>
      <c r="H2058" s="121"/>
    </row>
    <row r="2059" spans="3:8" x14ac:dyDescent="0.2">
      <c r="C2059" s="121"/>
      <c r="E2059" s="121"/>
      <c r="F2059" s="121"/>
      <c r="G2059" s="121"/>
      <c r="H2059" s="121"/>
    </row>
    <row r="2060" spans="3:8" x14ac:dyDescent="0.2">
      <c r="C2060" s="121"/>
      <c r="E2060" s="121"/>
      <c r="F2060" s="121"/>
      <c r="G2060" s="121"/>
      <c r="H2060" s="121"/>
    </row>
    <row r="2061" spans="3:8" x14ac:dyDescent="0.2">
      <c r="C2061" s="121"/>
      <c r="E2061" s="121"/>
      <c r="F2061" s="121"/>
      <c r="G2061" s="121"/>
      <c r="H2061" s="121"/>
    </row>
    <row r="2062" spans="3:8" x14ac:dyDescent="0.2">
      <c r="C2062" s="121"/>
      <c r="E2062" s="121"/>
      <c r="F2062" s="121"/>
      <c r="G2062" s="121"/>
      <c r="H2062" s="121"/>
    </row>
    <row r="2063" spans="3:8" x14ac:dyDescent="0.2">
      <c r="C2063" s="121"/>
      <c r="E2063" s="121"/>
      <c r="F2063" s="121"/>
      <c r="G2063" s="121"/>
      <c r="H2063" s="121"/>
    </row>
    <row r="2064" spans="3:8" x14ac:dyDescent="0.2">
      <c r="C2064" s="121"/>
      <c r="E2064" s="121"/>
      <c r="F2064" s="121"/>
      <c r="G2064" s="121"/>
      <c r="H2064" s="121"/>
    </row>
    <row r="2065" spans="3:8" x14ac:dyDescent="0.2">
      <c r="C2065" s="121"/>
      <c r="E2065" s="121"/>
      <c r="F2065" s="121"/>
      <c r="G2065" s="121"/>
      <c r="H2065" s="121"/>
    </row>
    <row r="2066" spans="3:8" x14ac:dyDescent="0.2">
      <c r="C2066" s="121"/>
      <c r="E2066" s="121"/>
      <c r="F2066" s="121"/>
      <c r="G2066" s="121"/>
      <c r="H2066" s="121"/>
    </row>
    <row r="2067" spans="3:8" x14ac:dyDescent="0.2">
      <c r="C2067" s="121"/>
      <c r="E2067" s="121"/>
      <c r="F2067" s="121"/>
      <c r="G2067" s="121"/>
      <c r="H2067" s="121"/>
    </row>
    <row r="2068" spans="3:8" x14ac:dyDescent="0.2">
      <c r="C2068" s="121"/>
      <c r="E2068" s="121"/>
      <c r="F2068" s="121"/>
      <c r="G2068" s="121"/>
      <c r="H2068" s="121"/>
    </row>
    <row r="2069" spans="3:8" x14ac:dyDescent="0.2">
      <c r="C2069" s="121"/>
      <c r="E2069" s="121"/>
      <c r="F2069" s="121"/>
      <c r="G2069" s="121"/>
      <c r="H2069" s="121"/>
    </row>
    <row r="2070" spans="3:8" x14ac:dyDescent="0.2">
      <c r="C2070" s="121"/>
      <c r="E2070" s="121"/>
      <c r="F2070" s="121"/>
      <c r="G2070" s="121"/>
      <c r="H2070" s="121"/>
    </row>
    <row r="2071" spans="3:8" x14ac:dyDescent="0.2">
      <c r="C2071" s="121"/>
      <c r="E2071" s="121"/>
      <c r="F2071" s="121"/>
      <c r="G2071" s="121"/>
      <c r="H2071" s="121"/>
    </row>
    <row r="2072" spans="3:8" x14ac:dyDescent="0.2">
      <c r="C2072" s="121"/>
      <c r="E2072" s="121"/>
      <c r="F2072" s="121"/>
      <c r="G2072" s="121"/>
      <c r="H2072" s="121"/>
    </row>
    <row r="2073" spans="3:8" x14ac:dyDescent="0.2">
      <c r="C2073" s="121"/>
      <c r="E2073" s="121"/>
      <c r="F2073" s="121"/>
      <c r="G2073" s="121"/>
      <c r="H2073" s="121"/>
    </row>
    <row r="2074" spans="3:8" x14ac:dyDescent="0.2">
      <c r="C2074" s="121"/>
      <c r="E2074" s="121"/>
      <c r="F2074" s="121"/>
      <c r="G2074" s="121"/>
      <c r="H2074" s="121"/>
    </row>
    <row r="2075" spans="3:8" x14ac:dyDescent="0.2">
      <c r="C2075" s="121"/>
      <c r="E2075" s="121"/>
      <c r="F2075" s="121"/>
      <c r="G2075" s="121"/>
      <c r="H2075" s="121"/>
    </row>
    <row r="2076" spans="3:8" x14ac:dyDescent="0.2">
      <c r="C2076" s="121"/>
      <c r="E2076" s="121"/>
      <c r="F2076" s="121"/>
      <c r="G2076" s="121"/>
      <c r="H2076" s="121"/>
    </row>
    <row r="2077" spans="3:8" x14ac:dyDescent="0.2">
      <c r="C2077" s="121"/>
      <c r="E2077" s="121"/>
      <c r="F2077" s="121"/>
      <c r="G2077" s="121"/>
      <c r="H2077" s="121"/>
    </row>
    <row r="2078" spans="3:8" x14ac:dyDescent="0.2">
      <c r="C2078" s="121"/>
      <c r="E2078" s="121"/>
      <c r="F2078" s="121"/>
      <c r="G2078" s="121"/>
      <c r="H2078" s="121"/>
    </row>
    <row r="2079" spans="3:8" x14ac:dyDescent="0.2">
      <c r="C2079" s="121"/>
      <c r="E2079" s="121"/>
      <c r="F2079" s="121"/>
      <c r="G2079" s="121"/>
      <c r="H2079" s="121"/>
    </row>
    <row r="2080" spans="3:8" x14ac:dyDescent="0.2">
      <c r="C2080" s="121"/>
      <c r="E2080" s="121"/>
      <c r="F2080" s="121"/>
      <c r="G2080" s="121"/>
      <c r="H2080" s="121"/>
    </row>
    <row r="2081" spans="3:8" x14ac:dyDescent="0.2">
      <c r="C2081" s="121"/>
      <c r="E2081" s="121"/>
      <c r="F2081" s="121"/>
      <c r="G2081" s="121"/>
      <c r="H2081" s="121"/>
    </row>
    <row r="2082" spans="3:8" x14ac:dyDescent="0.2">
      <c r="C2082" s="121"/>
      <c r="E2082" s="121"/>
      <c r="F2082" s="121"/>
      <c r="G2082" s="121"/>
      <c r="H2082" s="121"/>
    </row>
    <row r="2083" spans="3:8" x14ac:dyDescent="0.2">
      <c r="C2083" s="121"/>
      <c r="E2083" s="121"/>
      <c r="F2083" s="121"/>
      <c r="G2083" s="121"/>
      <c r="H2083" s="121"/>
    </row>
    <row r="2084" spans="3:8" x14ac:dyDescent="0.2">
      <c r="C2084" s="121"/>
      <c r="E2084" s="121"/>
      <c r="F2084" s="121"/>
      <c r="G2084" s="121"/>
      <c r="H2084" s="121"/>
    </row>
    <row r="2085" spans="3:8" x14ac:dyDescent="0.2">
      <c r="C2085" s="121"/>
      <c r="E2085" s="121"/>
      <c r="F2085" s="121"/>
      <c r="G2085" s="121"/>
      <c r="H2085" s="121"/>
    </row>
    <row r="2086" spans="3:8" x14ac:dyDescent="0.2">
      <c r="C2086" s="121"/>
      <c r="E2086" s="121"/>
      <c r="F2086" s="121"/>
      <c r="G2086" s="121"/>
      <c r="H2086" s="121"/>
    </row>
    <row r="2087" spans="3:8" x14ac:dyDescent="0.2">
      <c r="C2087" s="121"/>
      <c r="E2087" s="121"/>
      <c r="F2087" s="121"/>
      <c r="G2087" s="121"/>
      <c r="H2087" s="121"/>
    </row>
    <row r="2088" spans="3:8" x14ac:dyDescent="0.2">
      <c r="C2088" s="121"/>
      <c r="E2088" s="121"/>
      <c r="F2088" s="121"/>
      <c r="G2088" s="121"/>
      <c r="H2088" s="121"/>
    </row>
    <row r="2089" spans="3:8" x14ac:dyDescent="0.2">
      <c r="C2089" s="121"/>
      <c r="E2089" s="121"/>
      <c r="F2089" s="121"/>
      <c r="G2089" s="121"/>
      <c r="H2089" s="121"/>
    </row>
    <row r="2090" spans="3:8" x14ac:dyDescent="0.2">
      <c r="C2090" s="121"/>
      <c r="E2090" s="121"/>
      <c r="F2090" s="121"/>
      <c r="G2090" s="121"/>
      <c r="H2090" s="121"/>
    </row>
    <row r="2091" spans="3:8" x14ac:dyDescent="0.2">
      <c r="C2091" s="121"/>
      <c r="E2091" s="121"/>
      <c r="F2091" s="121"/>
      <c r="G2091" s="121"/>
      <c r="H2091" s="121"/>
    </row>
    <row r="2092" spans="3:8" x14ac:dyDescent="0.2">
      <c r="C2092" s="121"/>
      <c r="E2092" s="121"/>
      <c r="F2092" s="121"/>
      <c r="G2092" s="121"/>
      <c r="H2092" s="121"/>
    </row>
    <row r="2093" spans="3:8" x14ac:dyDescent="0.2">
      <c r="C2093" s="121"/>
      <c r="E2093" s="121"/>
      <c r="F2093" s="121"/>
      <c r="G2093" s="121"/>
      <c r="H2093" s="121"/>
    </row>
    <row r="2094" spans="3:8" x14ac:dyDescent="0.2">
      <c r="C2094" s="121"/>
      <c r="E2094" s="121"/>
      <c r="F2094" s="121"/>
      <c r="G2094" s="121"/>
      <c r="H2094" s="121"/>
    </row>
    <row r="2095" spans="3:8" x14ac:dyDescent="0.2">
      <c r="C2095" s="121"/>
      <c r="E2095" s="121"/>
      <c r="F2095" s="121"/>
      <c r="G2095" s="121"/>
      <c r="H2095" s="121"/>
    </row>
    <row r="2096" spans="3:8" x14ac:dyDescent="0.2">
      <c r="C2096" s="121"/>
      <c r="E2096" s="121"/>
      <c r="F2096" s="121"/>
      <c r="G2096" s="121"/>
      <c r="H2096" s="121"/>
    </row>
    <row r="2097" spans="3:8" x14ac:dyDescent="0.2">
      <c r="C2097" s="121"/>
      <c r="E2097" s="121"/>
      <c r="F2097" s="121"/>
      <c r="G2097" s="121"/>
      <c r="H2097" s="121"/>
    </row>
    <row r="2098" spans="3:8" x14ac:dyDescent="0.2">
      <c r="C2098" s="121"/>
      <c r="E2098" s="121"/>
      <c r="F2098" s="121"/>
      <c r="G2098" s="121"/>
      <c r="H2098" s="121"/>
    </row>
    <row r="2099" spans="3:8" x14ac:dyDescent="0.2">
      <c r="C2099" s="121"/>
      <c r="E2099" s="121"/>
      <c r="F2099" s="121"/>
      <c r="G2099" s="121"/>
      <c r="H2099" s="121"/>
    </row>
    <row r="2100" spans="3:8" x14ac:dyDescent="0.2">
      <c r="C2100" s="121"/>
      <c r="E2100" s="121"/>
      <c r="F2100" s="121"/>
      <c r="G2100" s="121"/>
      <c r="H2100" s="121"/>
    </row>
    <row r="2101" spans="3:8" x14ac:dyDescent="0.2">
      <c r="C2101" s="121"/>
      <c r="E2101" s="121"/>
      <c r="F2101" s="121"/>
      <c r="G2101" s="121"/>
      <c r="H2101" s="121"/>
    </row>
    <row r="2102" spans="3:8" x14ac:dyDescent="0.2">
      <c r="C2102" s="121"/>
      <c r="E2102" s="121"/>
      <c r="F2102" s="121"/>
      <c r="G2102" s="121"/>
      <c r="H2102" s="121"/>
    </row>
    <row r="2103" spans="3:8" x14ac:dyDescent="0.2">
      <c r="C2103" s="121"/>
      <c r="E2103" s="121"/>
      <c r="F2103" s="121"/>
      <c r="G2103" s="121"/>
      <c r="H2103" s="121"/>
    </row>
    <row r="2104" spans="3:8" x14ac:dyDescent="0.2">
      <c r="C2104" s="121"/>
      <c r="E2104" s="121"/>
      <c r="F2104" s="121"/>
      <c r="G2104" s="121"/>
      <c r="H2104" s="121"/>
    </row>
    <row r="2105" spans="3:8" x14ac:dyDescent="0.2">
      <c r="C2105" s="121"/>
      <c r="E2105" s="121"/>
      <c r="F2105" s="121"/>
      <c r="G2105" s="121"/>
      <c r="H2105" s="121"/>
    </row>
    <row r="2106" spans="3:8" x14ac:dyDescent="0.2">
      <c r="C2106" s="121"/>
      <c r="E2106" s="121"/>
      <c r="F2106" s="121"/>
      <c r="G2106" s="121"/>
      <c r="H2106" s="121"/>
    </row>
    <row r="2107" spans="3:8" x14ac:dyDescent="0.2">
      <c r="C2107" s="121"/>
      <c r="E2107" s="121"/>
      <c r="F2107" s="121"/>
      <c r="G2107" s="121"/>
      <c r="H2107" s="121"/>
    </row>
    <row r="2108" spans="3:8" x14ac:dyDescent="0.2">
      <c r="C2108" s="121"/>
      <c r="E2108" s="121"/>
      <c r="F2108" s="121"/>
      <c r="G2108" s="121"/>
      <c r="H2108" s="121"/>
    </row>
    <row r="2109" spans="3:8" x14ac:dyDescent="0.2">
      <c r="C2109" s="121"/>
      <c r="E2109" s="121"/>
      <c r="F2109" s="121"/>
      <c r="G2109" s="121"/>
      <c r="H2109" s="121"/>
    </row>
    <row r="2110" spans="3:8" x14ac:dyDescent="0.2">
      <c r="C2110" s="121"/>
      <c r="E2110" s="121"/>
      <c r="F2110" s="121"/>
      <c r="G2110" s="121"/>
      <c r="H2110" s="121"/>
    </row>
    <row r="2111" spans="3:8" x14ac:dyDescent="0.2">
      <c r="C2111" s="121"/>
      <c r="E2111" s="121"/>
      <c r="F2111" s="121"/>
      <c r="G2111" s="121"/>
      <c r="H2111" s="121"/>
    </row>
    <row r="2112" spans="3:8" x14ac:dyDescent="0.2">
      <c r="C2112" s="121"/>
      <c r="E2112" s="121"/>
      <c r="F2112" s="121"/>
      <c r="G2112" s="121"/>
      <c r="H2112" s="121"/>
    </row>
    <row r="2113" spans="3:8" x14ac:dyDescent="0.2">
      <c r="C2113" s="121"/>
      <c r="E2113" s="121"/>
      <c r="F2113" s="121"/>
      <c r="G2113" s="121"/>
      <c r="H2113" s="121"/>
    </row>
    <row r="2114" spans="3:8" x14ac:dyDescent="0.2">
      <c r="C2114" s="121"/>
      <c r="E2114" s="121"/>
      <c r="F2114" s="121"/>
      <c r="G2114" s="121"/>
      <c r="H2114" s="121"/>
    </row>
    <row r="2115" spans="3:8" x14ac:dyDescent="0.2">
      <c r="C2115" s="121"/>
      <c r="E2115" s="121"/>
      <c r="F2115" s="121"/>
      <c r="G2115" s="121"/>
      <c r="H2115" s="121"/>
    </row>
    <row r="2116" spans="3:8" x14ac:dyDescent="0.2">
      <c r="C2116" s="121"/>
      <c r="E2116" s="121"/>
      <c r="F2116" s="121"/>
      <c r="G2116" s="121"/>
      <c r="H2116" s="121"/>
    </row>
    <row r="2117" spans="3:8" x14ac:dyDescent="0.2">
      <c r="C2117" s="121"/>
      <c r="E2117" s="121"/>
      <c r="F2117" s="121"/>
      <c r="G2117" s="121"/>
      <c r="H2117" s="121"/>
    </row>
    <row r="2118" spans="3:8" x14ac:dyDescent="0.2">
      <c r="C2118" s="121"/>
      <c r="E2118" s="121"/>
      <c r="F2118" s="121"/>
      <c r="G2118" s="121"/>
      <c r="H2118" s="121"/>
    </row>
    <row r="2119" spans="3:8" x14ac:dyDescent="0.2">
      <c r="C2119" s="121"/>
      <c r="E2119" s="121"/>
      <c r="F2119" s="121"/>
      <c r="G2119" s="121"/>
      <c r="H2119" s="121"/>
    </row>
    <row r="2120" spans="3:8" x14ac:dyDescent="0.2">
      <c r="C2120" s="121"/>
      <c r="D2120" s="121"/>
      <c r="E2120" s="121"/>
      <c r="F2120" s="121"/>
      <c r="G2120" s="121"/>
      <c r="H2120" s="121"/>
    </row>
    <row r="2121" spans="3:8" x14ac:dyDescent="0.2">
      <c r="C2121" s="121"/>
      <c r="D2121" s="121"/>
      <c r="E2121" s="121"/>
      <c r="F2121" s="121"/>
      <c r="G2121" s="121"/>
      <c r="H2121" s="121"/>
    </row>
    <row r="2122" spans="3:8" x14ac:dyDescent="0.2">
      <c r="C2122" s="121"/>
      <c r="D2122" s="121"/>
      <c r="E2122" s="121"/>
      <c r="F2122" s="121"/>
      <c r="G2122" s="121"/>
      <c r="H2122" s="121"/>
    </row>
    <row r="2123" spans="3:8" x14ac:dyDescent="0.2">
      <c r="C2123" s="121"/>
      <c r="D2123" s="121"/>
      <c r="E2123" s="121"/>
      <c r="F2123" s="121"/>
      <c r="G2123" s="121"/>
      <c r="H2123" s="121"/>
    </row>
    <row r="2124" spans="3:8" x14ac:dyDescent="0.2">
      <c r="C2124" s="121"/>
      <c r="D2124" s="121"/>
      <c r="E2124" s="121"/>
      <c r="F2124" s="121"/>
      <c r="G2124" s="121"/>
      <c r="H2124" s="121"/>
    </row>
    <row r="2125" spans="3:8" x14ac:dyDescent="0.2">
      <c r="C2125" s="121"/>
      <c r="D2125" s="121"/>
      <c r="E2125" s="121"/>
      <c r="F2125" s="121"/>
      <c r="G2125" s="121"/>
      <c r="H2125" s="121"/>
    </row>
    <row r="2126" spans="3:8" x14ac:dyDescent="0.2">
      <c r="C2126" s="121"/>
      <c r="D2126" s="121"/>
      <c r="E2126" s="121"/>
      <c r="F2126" s="121"/>
      <c r="G2126" s="121"/>
      <c r="H2126" s="121"/>
    </row>
    <row r="2127" spans="3:8" x14ac:dyDescent="0.2">
      <c r="C2127" s="121"/>
      <c r="D2127" s="121"/>
      <c r="E2127" s="121"/>
      <c r="F2127" s="121"/>
      <c r="G2127" s="121"/>
      <c r="H2127" s="121"/>
    </row>
    <row r="2128" spans="3:8" x14ac:dyDescent="0.2">
      <c r="C2128" s="121"/>
      <c r="D2128" s="121"/>
      <c r="E2128" s="121"/>
      <c r="F2128" s="121"/>
      <c r="G2128" s="121"/>
      <c r="H2128" s="121"/>
    </row>
    <row r="2129" spans="3:8" x14ac:dyDescent="0.2">
      <c r="C2129" s="121"/>
      <c r="D2129" s="121"/>
      <c r="E2129" s="121"/>
      <c r="F2129" s="121"/>
      <c r="G2129" s="121"/>
      <c r="H2129" s="121"/>
    </row>
    <row r="2130" spans="3:8" x14ac:dyDescent="0.2">
      <c r="C2130" s="121"/>
      <c r="D2130" s="121"/>
      <c r="E2130" s="121"/>
      <c r="F2130" s="121"/>
      <c r="G2130" s="121"/>
      <c r="H2130" s="121"/>
    </row>
    <row r="2131" spans="3:8" x14ac:dyDescent="0.2">
      <c r="C2131" s="121"/>
      <c r="D2131" s="121"/>
      <c r="E2131" s="121"/>
      <c r="F2131" s="121"/>
      <c r="G2131" s="121"/>
      <c r="H2131" s="121"/>
    </row>
    <row r="2132" spans="3:8" x14ac:dyDescent="0.2">
      <c r="C2132" s="121"/>
      <c r="D2132" s="121"/>
      <c r="E2132" s="121"/>
      <c r="F2132" s="121"/>
      <c r="G2132" s="121"/>
      <c r="H2132" s="121"/>
    </row>
    <row r="2133" spans="3:8" x14ac:dyDescent="0.2">
      <c r="C2133" s="121"/>
      <c r="D2133" s="121"/>
      <c r="E2133" s="121"/>
      <c r="F2133" s="121"/>
      <c r="G2133" s="121"/>
      <c r="H2133" s="121"/>
    </row>
    <row r="2134" spans="3:8" x14ac:dyDescent="0.2">
      <c r="C2134" s="121"/>
      <c r="D2134" s="121"/>
      <c r="E2134" s="121"/>
      <c r="F2134" s="121"/>
      <c r="G2134" s="121"/>
      <c r="H2134" s="121"/>
    </row>
    <row r="2135" spans="3:8" x14ac:dyDescent="0.2">
      <c r="C2135" s="121"/>
      <c r="D2135" s="121"/>
      <c r="E2135" s="121"/>
      <c r="F2135" s="121"/>
      <c r="G2135" s="121"/>
      <c r="H2135" s="121"/>
    </row>
    <row r="2136" spans="3:8" x14ac:dyDescent="0.2">
      <c r="C2136" s="121"/>
      <c r="D2136" s="121"/>
      <c r="E2136" s="121"/>
      <c r="F2136" s="121"/>
      <c r="G2136" s="121"/>
      <c r="H2136" s="121"/>
    </row>
    <row r="2137" spans="3:8" x14ac:dyDescent="0.2">
      <c r="C2137" s="121"/>
      <c r="D2137" s="121"/>
      <c r="E2137" s="121"/>
      <c r="F2137" s="121"/>
      <c r="G2137" s="121"/>
      <c r="H2137" s="121"/>
    </row>
    <row r="2138" spans="3:8" x14ac:dyDescent="0.2">
      <c r="C2138" s="121"/>
      <c r="D2138" s="121"/>
      <c r="E2138" s="121"/>
      <c r="F2138" s="121"/>
      <c r="G2138" s="121"/>
      <c r="H2138" s="121"/>
    </row>
    <row r="2139" spans="3:8" x14ac:dyDescent="0.2">
      <c r="C2139" s="121"/>
      <c r="D2139" s="121"/>
      <c r="E2139" s="121"/>
      <c r="F2139" s="121"/>
      <c r="G2139" s="121"/>
      <c r="H2139" s="121"/>
    </row>
    <row r="2140" spans="3:8" x14ac:dyDescent="0.2">
      <c r="C2140" s="121"/>
      <c r="D2140" s="121"/>
      <c r="E2140" s="121"/>
      <c r="F2140" s="121"/>
      <c r="G2140" s="121"/>
      <c r="H2140" s="121"/>
    </row>
    <row r="2141" spans="3:8" x14ac:dyDescent="0.2">
      <c r="C2141" s="121"/>
      <c r="D2141" s="121"/>
      <c r="E2141" s="121"/>
      <c r="F2141" s="121"/>
      <c r="G2141" s="121"/>
      <c r="H2141" s="121"/>
    </row>
    <row r="2142" spans="3:8" x14ac:dyDescent="0.2">
      <c r="C2142" s="121"/>
      <c r="D2142" s="121"/>
      <c r="E2142" s="121"/>
      <c r="F2142" s="121"/>
      <c r="G2142" s="121"/>
      <c r="H2142" s="121"/>
    </row>
    <row r="2143" spans="3:8" x14ac:dyDescent="0.2">
      <c r="C2143" s="121"/>
      <c r="D2143" s="121"/>
      <c r="E2143" s="121"/>
      <c r="F2143" s="121"/>
      <c r="G2143" s="121"/>
      <c r="H2143" s="121"/>
    </row>
    <row r="2144" spans="3:8" x14ac:dyDescent="0.2">
      <c r="C2144" s="121"/>
      <c r="D2144" s="121"/>
      <c r="E2144" s="121"/>
      <c r="F2144" s="121"/>
      <c r="G2144" s="121"/>
      <c r="H2144" s="121"/>
    </row>
    <row r="2145" spans="3:8" x14ac:dyDescent="0.2">
      <c r="C2145" s="121"/>
      <c r="D2145" s="121"/>
      <c r="E2145" s="121"/>
      <c r="F2145" s="121"/>
      <c r="G2145" s="121"/>
      <c r="H2145" s="121"/>
    </row>
    <row r="2146" spans="3:8" x14ac:dyDescent="0.2">
      <c r="C2146" s="121"/>
      <c r="D2146" s="121"/>
      <c r="E2146" s="121"/>
      <c r="F2146" s="121"/>
      <c r="G2146" s="121"/>
      <c r="H2146" s="121"/>
    </row>
    <row r="2147" spans="3:8" x14ac:dyDescent="0.2">
      <c r="C2147" s="121"/>
      <c r="D2147" s="121"/>
      <c r="E2147" s="121"/>
      <c r="F2147" s="121"/>
      <c r="G2147" s="121"/>
      <c r="H2147" s="121"/>
    </row>
    <row r="2148" spans="3:8" x14ac:dyDescent="0.2">
      <c r="C2148" s="121"/>
      <c r="D2148" s="121"/>
      <c r="E2148" s="121"/>
      <c r="F2148" s="121"/>
      <c r="G2148" s="121"/>
      <c r="H2148" s="121"/>
    </row>
    <row r="2149" spans="3:8" x14ac:dyDescent="0.2">
      <c r="C2149" s="121"/>
      <c r="D2149" s="121"/>
      <c r="E2149" s="121"/>
      <c r="F2149" s="121"/>
      <c r="G2149" s="121"/>
      <c r="H2149" s="121"/>
    </row>
    <row r="2150" spans="3:8" x14ac:dyDescent="0.2">
      <c r="C2150" s="121"/>
      <c r="D2150" s="121"/>
      <c r="E2150" s="121"/>
      <c r="F2150" s="121"/>
      <c r="G2150" s="121"/>
      <c r="H2150" s="121"/>
    </row>
    <row r="2151" spans="3:8" x14ac:dyDescent="0.2">
      <c r="C2151" s="121"/>
      <c r="D2151" s="121"/>
      <c r="E2151" s="121"/>
      <c r="F2151" s="121"/>
      <c r="G2151" s="121"/>
      <c r="H2151" s="121"/>
    </row>
    <row r="2152" spans="3:8" x14ac:dyDescent="0.2">
      <c r="C2152" s="121"/>
      <c r="D2152" s="121"/>
      <c r="E2152" s="121"/>
      <c r="F2152" s="121"/>
      <c r="G2152" s="121"/>
      <c r="H2152" s="121"/>
    </row>
    <row r="2153" spans="3:8" x14ac:dyDescent="0.2">
      <c r="C2153" s="121"/>
      <c r="D2153" s="121"/>
      <c r="E2153" s="121"/>
      <c r="F2153" s="121"/>
      <c r="G2153" s="121"/>
      <c r="H2153" s="121"/>
    </row>
    <row r="2154" spans="3:8" x14ac:dyDescent="0.2">
      <c r="C2154" s="121"/>
      <c r="D2154" s="121"/>
      <c r="E2154" s="121"/>
      <c r="F2154" s="121"/>
      <c r="G2154" s="121"/>
      <c r="H2154" s="121"/>
    </row>
    <row r="2155" spans="3:8" x14ac:dyDescent="0.2">
      <c r="C2155" s="121"/>
      <c r="D2155" s="121"/>
      <c r="E2155" s="121"/>
      <c r="F2155" s="121"/>
      <c r="G2155" s="121"/>
      <c r="H2155" s="121"/>
    </row>
    <row r="2156" spans="3:8" x14ac:dyDescent="0.2">
      <c r="C2156" s="121"/>
      <c r="D2156" s="121"/>
      <c r="E2156" s="121"/>
      <c r="F2156" s="121"/>
      <c r="G2156" s="121"/>
      <c r="H2156" s="121"/>
    </row>
    <row r="2157" spans="3:8" x14ac:dyDescent="0.2">
      <c r="C2157" s="121"/>
      <c r="D2157" s="121"/>
      <c r="E2157" s="121"/>
      <c r="F2157" s="121"/>
      <c r="G2157" s="121"/>
      <c r="H2157" s="121"/>
    </row>
    <row r="2158" spans="3:8" x14ac:dyDescent="0.2">
      <c r="C2158" s="121"/>
      <c r="D2158" s="121"/>
      <c r="E2158" s="121"/>
      <c r="F2158" s="121"/>
      <c r="G2158" s="121"/>
      <c r="H2158" s="121"/>
    </row>
    <row r="2159" spans="3:8" x14ac:dyDescent="0.2">
      <c r="C2159" s="121"/>
      <c r="D2159" s="121"/>
      <c r="E2159" s="121"/>
      <c r="F2159" s="121"/>
      <c r="G2159" s="121"/>
      <c r="H2159" s="121"/>
    </row>
    <row r="2160" spans="3:8" x14ac:dyDescent="0.2">
      <c r="C2160" s="121"/>
      <c r="D2160" s="121"/>
      <c r="E2160" s="121"/>
      <c r="F2160" s="121"/>
      <c r="G2160" s="121"/>
      <c r="H2160" s="121"/>
    </row>
    <row r="2161" spans="3:8" x14ac:dyDescent="0.2">
      <c r="C2161" s="121"/>
      <c r="D2161" s="121"/>
      <c r="E2161" s="121"/>
      <c r="F2161" s="121"/>
      <c r="G2161" s="121"/>
      <c r="H2161" s="121"/>
    </row>
    <row r="2162" spans="3:8" x14ac:dyDescent="0.2">
      <c r="C2162" s="121"/>
      <c r="D2162" s="121"/>
      <c r="E2162" s="121"/>
      <c r="F2162" s="121"/>
      <c r="G2162" s="121"/>
      <c r="H2162" s="121"/>
    </row>
    <row r="2163" spans="3:8" x14ac:dyDescent="0.2">
      <c r="C2163" s="121"/>
      <c r="D2163" s="121"/>
      <c r="E2163" s="121"/>
      <c r="F2163" s="121"/>
      <c r="G2163" s="121"/>
      <c r="H2163" s="121"/>
    </row>
    <row r="2164" spans="3:8" x14ac:dyDescent="0.2">
      <c r="C2164" s="121"/>
      <c r="D2164" s="121"/>
      <c r="E2164" s="121"/>
      <c r="F2164" s="121"/>
      <c r="G2164" s="121"/>
      <c r="H2164" s="121"/>
    </row>
    <row r="2165" spans="3:8" x14ac:dyDescent="0.2">
      <c r="C2165" s="121"/>
      <c r="D2165" s="121"/>
      <c r="E2165" s="121"/>
      <c r="F2165" s="121"/>
      <c r="G2165" s="121"/>
      <c r="H2165" s="121"/>
    </row>
    <row r="2166" spans="3:8" x14ac:dyDescent="0.2">
      <c r="C2166" s="121"/>
      <c r="D2166" s="121"/>
      <c r="E2166" s="121"/>
      <c r="F2166" s="121"/>
      <c r="G2166" s="121"/>
      <c r="H2166" s="121"/>
    </row>
    <row r="2167" spans="3:8" x14ac:dyDescent="0.2">
      <c r="C2167" s="121"/>
      <c r="D2167" s="121"/>
      <c r="E2167" s="121"/>
      <c r="F2167" s="121"/>
      <c r="G2167" s="121"/>
      <c r="H2167" s="121"/>
    </row>
    <row r="2168" spans="3:8" x14ac:dyDescent="0.2">
      <c r="C2168" s="121"/>
      <c r="D2168" s="121"/>
      <c r="E2168" s="121"/>
      <c r="F2168" s="121"/>
      <c r="G2168" s="121"/>
      <c r="H2168" s="121"/>
    </row>
    <row r="2169" spans="3:8" x14ac:dyDescent="0.2">
      <c r="C2169" s="121"/>
      <c r="D2169" s="121"/>
      <c r="E2169" s="121"/>
      <c r="F2169" s="121"/>
      <c r="G2169" s="121"/>
      <c r="H2169" s="121"/>
    </row>
    <row r="2170" spans="3:8" x14ac:dyDescent="0.2">
      <c r="C2170" s="121"/>
      <c r="D2170" s="121"/>
      <c r="E2170" s="121"/>
      <c r="F2170" s="121"/>
      <c r="G2170" s="121"/>
      <c r="H2170" s="121"/>
    </row>
    <row r="2171" spans="3:8" x14ac:dyDescent="0.2">
      <c r="C2171" s="121"/>
      <c r="D2171" s="121"/>
      <c r="E2171" s="121"/>
      <c r="F2171" s="121"/>
      <c r="G2171" s="121"/>
      <c r="H2171" s="121"/>
    </row>
    <row r="2172" spans="3:8" x14ac:dyDescent="0.2">
      <c r="C2172" s="121"/>
      <c r="D2172" s="121"/>
      <c r="E2172" s="121"/>
      <c r="F2172" s="121"/>
      <c r="G2172" s="121"/>
      <c r="H2172" s="121"/>
    </row>
    <row r="2173" spans="3:8" x14ac:dyDescent="0.2">
      <c r="C2173" s="121"/>
      <c r="D2173" s="121"/>
      <c r="E2173" s="121"/>
      <c r="F2173" s="121"/>
      <c r="G2173" s="121"/>
      <c r="H2173" s="121"/>
    </row>
    <row r="2174" spans="3:8" x14ac:dyDescent="0.2">
      <c r="C2174" s="121"/>
      <c r="D2174" s="121"/>
      <c r="E2174" s="121"/>
      <c r="F2174" s="121"/>
      <c r="G2174" s="121"/>
      <c r="H2174" s="121"/>
    </row>
    <row r="2175" spans="3:8" x14ac:dyDescent="0.2">
      <c r="C2175" s="121"/>
      <c r="D2175" s="121"/>
      <c r="E2175" s="121"/>
      <c r="F2175" s="121"/>
      <c r="G2175" s="121"/>
      <c r="H2175" s="121"/>
    </row>
    <row r="2176" spans="3:8" x14ac:dyDescent="0.2">
      <c r="C2176" s="121"/>
      <c r="D2176" s="121"/>
      <c r="E2176" s="121"/>
      <c r="F2176" s="121"/>
      <c r="G2176" s="121"/>
      <c r="H2176" s="121"/>
    </row>
    <row r="2177" spans="3:8" x14ac:dyDescent="0.2">
      <c r="C2177" s="121"/>
      <c r="D2177" s="121"/>
      <c r="E2177" s="121"/>
      <c r="F2177" s="121"/>
      <c r="G2177" s="121"/>
      <c r="H2177" s="121"/>
    </row>
    <row r="2178" spans="3:8" x14ac:dyDescent="0.2">
      <c r="C2178" s="121"/>
      <c r="D2178" s="121"/>
      <c r="E2178" s="121"/>
      <c r="F2178" s="121"/>
      <c r="G2178" s="121"/>
      <c r="H2178" s="121"/>
    </row>
    <row r="2179" spans="3:8" x14ac:dyDescent="0.2">
      <c r="C2179" s="121"/>
      <c r="D2179" s="121"/>
      <c r="E2179" s="121"/>
      <c r="F2179" s="121"/>
      <c r="G2179" s="121"/>
      <c r="H2179" s="121"/>
    </row>
    <row r="2180" spans="3:8" x14ac:dyDescent="0.2">
      <c r="C2180" s="121"/>
      <c r="D2180" s="121"/>
      <c r="E2180" s="121"/>
      <c r="F2180" s="121"/>
      <c r="G2180" s="121"/>
      <c r="H2180" s="121"/>
    </row>
    <row r="2181" spans="3:8" x14ac:dyDescent="0.2">
      <c r="C2181" s="121"/>
      <c r="D2181" s="121"/>
      <c r="E2181" s="121"/>
      <c r="F2181" s="121"/>
      <c r="G2181" s="121"/>
      <c r="H2181" s="121"/>
    </row>
    <row r="2182" spans="3:8" x14ac:dyDescent="0.2">
      <c r="C2182" s="121"/>
      <c r="D2182" s="121"/>
      <c r="E2182" s="121"/>
      <c r="F2182" s="121"/>
      <c r="G2182" s="121"/>
      <c r="H2182" s="121"/>
    </row>
    <row r="2183" spans="3:8" x14ac:dyDescent="0.2">
      <c r="C2183" s="121"/>
      <c r="D2183" s="121"/>
      <c r="E2183" s="121"/>
      <c r="F2183" s="121"/>
      <c r="G2183" s="121"/>
      <c r="H2183" s="121"/>
    </row>
    <row r="2184" spans="3:8" x14ac:dyDescent="0.2">
      <c r="C2184" s="121"/>
      <c r="D2184" s="121"/>
      <c r="E2184" s="121"/>
      <c r="F2184" s="121"/>
      <c r="G2184" s="121"/>
      <c r="H2184" s="121"/>
    </row>
    <row r="2185" spans="3:8" x14ac:dyDescent="0.2">
      <c r="C2185" s="121"/>
      <c r="D2185" s="121"/>
      <c r="E2185" s="121"/>
      <c r="F2185" s="121"/>
      <c r="G2185" s="121"/>
      <c r="H2185" s="121"/>
    </row>
    <row r="2186" spans="3:8" x14ac:dyDescent="0.2">
      <c r="C2186" s="121"/>
      <c r="D2186" s="121"/>
      <c r="E2186" s="121"/>
      <c r="F2186" s="121"/>
      <c r="G2186" s="121"/>
      <c r="H2186" s="121"/>
    </row>
    <row r="2187" spans="3:8" x14ac:dyDescent="0.2">
      <c r="C2187" s="121"/>
      <c r="D2187" s="121"/>
      <c r="E2187" s="121"/>
      <c r="F2187" s="121"/>
      <c r="G2187" s="121"/>
      <c r="H2187" s="121"/>
    </row>
    <row r="2188" spans="3:8" x14ac:dyDescent="0.2">
      <c r="C2188" s="121"/>
      <c r="D2188" s="121"/>
      <c r="E2188" s="121"/>
      <c r="F2188" s="121"/>
      <c r="G2188" s="121"/>
      <c r="H2188" s="121"/>
    </row>
    <row r="2189" spans="3:8" x14ac:dyDescent="0.2">
      <c r="C2189" s="121"/>
      <c r="D2189" s="121"/>
      <c r="E2189" s="121"/>
      <c r="F2189" s="121"/>
      <c r="G2189" s="121"/>
      <c r="H2189" s="121"/>
    </row>
    <row r="2190" spans="3:8" x14ac:dyDescent="0.2">
      <c r="C2190" s="121"/>
      <c r="D2190" s="121"/>
      <c r="E2190" s="121"/>
      <c r="F2190" s="121"/>
      <c r="G2190" s="121"/>
      <c r="H2190" s="121"/>
    </row>
    <row r="2191" spans="3:8" x14ac:dyDescent="0.2">
      <c r="C2191" s="121"/>
      <c r="D2191" s="121"/>
      <c r="E2191" s="121"/>
      <c r="F2191" s="121"/>
      <c r="G2191" s="121"/>
      <c r="H2191" s="121"/>
    </row>
    <row r="2192" spans="3:8" x14ac:dyDescent="0.2">
      <c r="C2192" s="121"/>
      <c r="D2192" s="121"/>
      <c r="E2192" s="121"/>
      <c r="F2192" s="121"/>
      <c r="G2192" s="121"/>
      <c r="H2192" s="121"/>
    </row>
    <row r="2193" spans="3:8" x14ac:dyDescent="0.2">
      <c r="C2193" s="121"/>
      <c r="D2193" s="121"/>
      <c r="E2193" s="121"/>
      <c r="F2193" s="121"/>
      <c r="G2193" s="121"/>
      <c r="H2193" s="121"/>
    </row>
    <row r="2194" spans="3:8" x14ac:dyDescent="0.2">
      <c r="C2194" s="121"/>
      <c r="D2194" s="121"/>
      <c r="E2194" s="121"/>
      <c r="F2194" s="121"/>
      <c r="G2194" s="121"/>
      <c r="H2194" s="121"/>
    </row>
    <row r="2195" spans="3:8" x14ac:dyDescent="0.2">
      <c r="C2195" s="121"/>
      <c r="D2195" s="121"/>
      <c r="E2195" s="121"/>
      <c r="F2195" s="121"/>
      <c r="G2195" s="121"/>
      <c r="H2195" s="121"/>
    </row>
    <row r="2196" spans="3:8" x14ac:dyDescent="0.2">
      <c r="C2196" s="121"/>
      <c r="D2196" s="121"/>
      <c r="E2196" s="121"/>
      <c r="F2196" s="121"/>
      <c r="G2196" s="121"/>
      <c r="H2196" s="121"/>
    </row>
    <row r="2197" spans="3:8" x14ac:dyDescent="0.2">
      <c r="C2197" s="121"/>
      <c r="D2197" s="121"/>
      <c r="E2197" s="121"/>
      <c r="F2197" s="121"/>
      <c r="G2197" s="121"/>
      <c r="H2197" s="121"/>
    </row>
    <row r="2198" spans="3:8" x14ac:dyDescent="0.2">
      <c r="C2198" s="121"/>
      <c r="D2198" s="121"/>
      <c r="E2198" s="121"/>
      <c r="F2198" s="121"/>
      <c r="G2198" s="121"/>
      <c r="H2198" s="121"/>
    </row>
    <row r="2199" spans="3:8" x14ac:dyDescent="0.2">
      <c r="C2199" s="121"/>
      <c r="D2199" s="121"/>
      <c r="E2199" s="121"/>
      <c r="F2199" s="121"/>
      <c r="G2199" s="121"/>
      <c r="H2199" s="121"/>
    </row>
    <row r="2200" spans="3:8" x14ac:dyDescent="0.2">
      <c r="C2200" s="121"/>
      <c r="D2200" s="121"/>
      <c r="E2200" s="121"/>
      <c r="F2200" s="121"/>
      <c r="G2200" s="121"/>
      <c r="H2200" s="121"/>
    </row>
    <row r="2201" spans="3:8" x14ac:dyDescent="0.2">
      <c r="C2201" s="121"/>
      <c r="D2201" s="121"/>
      <c r="E2201" s="121"/>
      <c r="F2201" s="121"/>
      <c r="G2201" s="121"/>
      <c r="H2201" s="121"/>
    </row>
    <row r="2202" spans="3:8" x14ac:dyDescent="0.2">
      <c r="C2202" s="121"/>
      <c r="D2202" s="121"/>
      <c r="E2202" s="121"/>
      <c r="F2202" s="121"/>
      <c r="G2202" s="121"/>
      <c r="H2202" s="121"/>
    </row>
    <row r="2203" spans="3:8" x14ac:dyDescent="0.2">
      <c r="C2203" s="121"/>
      <c r="D2203" s="121"/>
      <c r="E2203" s="121"/>
      <c r="F2203" s="121"/>
      <c r="G2203" s="121"/>
      <c r="H2203" s="121"/>
    </row>
    <row r="2204" spans="3:8" x14ac:dyDescent="0.2">
      <c r="C2204" s="121"/>
      <c r="D2204" s="121"/>
      <c r="E2204" s="121"/>
      <c r="F2204" s="121"/>
      <c r="G2204" s="121"/>
      <c r="H2204" s="121"/>
    </row>
    <row r="2205" spans="3:8" x14ac:dyDescent="0.2">
      <c r="C2205" s="121"/>
      <c r="D2205" s="121"/>
      <c r="E2205" s="121"/>
      <c r="F2205" s="121"/>
      <c r="G2205" s="121"/>
      <c r="H2205" s="121"/>
    </row>
    <row r="2206" spans="3:8" x14ac:dyDescent="0.2">
      <c r="C2206" s="121"/>
      <c r="D2206" s="121"/>
      <c r="E2206" s="121"/>
      <c r="F2206" s="121"/>
      <c r="G2206" s="121"/>
      <c r="H2206" s="121"/>
    </row>
    <row r="2207" spans="3:8" x14ac:dyDescent="0.2">
      <c r="C2207" s="121"/>
      <c r="D2207" s="121"/>
      <c r="E2207" s="121"/>
      <c r="F2207" s="121"/>
      <c r="G2207" s="121"/>
      <c r="H2207" s="121"/>
    </row>
    <row r="2208" spans="3:8" x14ac:dyDescent="0.2">
      <c r="C2208" s="121"/>
      <c r="D2208" s="121"/>
      <c r="E2208" s="121"/>
      <c r="F2208" s="121"/>
      <c r="G2208" s="121"/>
      <c r="H2208" s="121"/>
    </row>
    <row r="2209" spans="3:8" x14ac:dyDescent="0.2">
      <c r="C2209" s="121"/>
      <c r="D2209" s="121"/>
      <c r="E2209" s="121"/>
      <c r="F2209" s="121"/>
      <c r="G2209" s="121"/>
      <c r="H2209" s="121"/>
    </row>
    <row r="2210" spans="3:8" x14ac:dyDescent="0.2">
      <c r="C2210" s="121"/>
      <c r="D2210" s="121"/>
      <c r="E2210" s="121"/>
      <c r="F2210" s="121"/>
      <c r="G2210" s="121"/>
      <c r="H2210" s="121"/>
    </row>
    <row r="2211" spans="3:8" x14ac:dyDescent="0.2">
      <c r="C2211" s="121"/>
      <c r="D2211" s="121"/>
      <c r="E2211" s="121"/>
      <c r="F2211" s="121"/>
      <c r="G2211" s="121"/>
      <c r="H2211" s="121"/>
    </row>
    <row r="2212" spans="3:8" x14ac:dyDescent="0.2">
      <c r="C2212" s="121"/>
      <c r="D2212" s="121"/>
      <c r="E2212" s="121"/>
      <c r="F2212" s="121"/>
      <c r="G2212" s="121"/>
      <c r="H2212" s="121"/>
    </row>
    <row r="2213" spans="3:8" x14ac:dyDescent="0.2">
      <c r="C2213" s="121"/>
      <c r="D2213" s="121"/>
      <c r="E2213" s="121"/>
      <c r="F2213" s="121"/>
      <c r="G2213" s="121"/>
      <c r="H2213" s="121"/>
    </row>
    <row r="2214" spans="3:8" x14ac:dyDescent="0.2">
      <c r="C2214" s="121"/>
      <c r="D2214" s="121"/>
      <c r="E2214" s="121"/>
      <c r="F2214" s="121"/>
      <c r="G2214" s="121"/>
      <c r="H2214" s="121"/>
    </row>
    <row r="2215" spans="3:8" x14ac:dyDescent="0.2">
      <c r="C2215" s="121"/>
      <c r="D2215" s="121"/>
      <c r="E2215" s="121"/>
      <c r="F2215" s="121"/>
      <c r="G2215" s="121"/>
      <c r="H2215" s="121"/>
    </row>
    <row r="2216" spans="3:8" x14ac:dyDescent="0.2">
      <c r="C2216" s="121"/>
      <c r="D2216" s="121"/>
      <c r="E2216" s="121"/>
      <c r="F2216" s="121"/>
      <c r="G2216" s="121"/>
      <c r="H2216" s="121"/>
    </row>
    <row r="2217" spans="3:8" x14ac:dyDescent="0.2">
      <c r="C2217" s="121"/>
      <c r="D2217" s="121"/>
      <c r="E2217" s="121"/>
      <c r="F2217" s="121"/>
      <c r="G2217" s="121"/>
      <c r="H2217" s="121"/>
    </row>
    <row r="2218" spans="3:8" x14ac:dyDescent="0.2">
      <c r="C2218" s="121"/>
      <c r="D2218" s="121"/>
      <c r="E2218" s="121"/>
      <c r="F2218" s="121"/>
      <c r="G2218" s="121"/>
      <c r="H2218" s="121"/>
    </row>
    <row r="2219" spans="3:8" x14ac:dyDescent="0.2">
      <c r="C2219" s="121"/>
      <c r="D2219" s="121"/>
      <c r="E2219" s="121"/>
      <c r="F2219" s="121"/>
      <c r="G2219" s="121"/>
      <c r="H2219" s="121"/>
    </row>
    <row r="2220" spans="3:8" x14ac:dyDescent="0.2">
      <c r="C2220" s="121"/>
      <c r="E2220" s="121"/>
      <c r="F2220" s="121"/>
      <c r="G2220" s="121"/>
      <c r="H2220" s="121"/>
    </row>
    <row r="2221" spans="3:8" x14ac:dyDescent="0.2">
      <c r="C2221" s="121"/>
      <c r="E2221" s="121"/>
      <c r="F2221" s="121"/>
      <c r="G2221" s="121"/>
      <c r="H2221" s="121"/>
    </row>
    <row r="2222" spans="3:8" x14ac:dyDescent="0.2">
      <c r="C2222" s="121"/>
      <c r="E2222" s="121"/>
      <c r="F2222" s="121"/>
      <c r="G2222" s="121"/>
      <c r="H2222" s="121"/>
    </row>
    <row r="2223" spans="3:8" x14ac:dyDescent="0.2">
      <c r="C2223" s="121"/>
      <c r="E2223" s="121"/>
      <c r="F2223" s="121"/>
      <c r="G2223" s="121"/>
      <c r="H2223" s="121"/>
    </row>
    <row r="2224" spans="3:8" x14ac:dyDescent="0.2">
      <c r="C2224" s="121"/>
      <c r="E2224" s="121"/>
      <c r="F2224" s="121"/>
      <c r="G2224" s="121"/>
      <c r="H2224" s="121"/>
    </row>
    <row r="2225" spans="3:8" x14ac:dyDescent="0.2">
      <c r="C2225" s="121"/>
      <c r="E2225" s="121"/>
      <c r="F2225" s="121"/>
      <c r="G2225" s="121"/>
      <c r="H2225" s="121"/>
    </row>
    <row r="2226" spans="3:8" x14ac:dyDescent="0.2">
      <c r="C2226" s="121"/>
      <c r="E2226" s="121"/>
      <c r="F2226" s="121"/>
      <c r="G2226" s="121"/>
      <c r="H2226" s="121"/>
    </row>
    <row r="2227" spans="3:8" x14ac:dyDescent="0.2">
      <c r="C2227" s="121"/>
      <c r="E2227" s="121"/>
      <c r="F2227" s="121"/>
      <c r="G2227" s="121"/>
      <c r="H2227" s="121"/>
    </row>
    <row r="2228" spans="3:8" x14ac:dyDescent="0.2">
      <c r="C2228" s="121"/>
      <c r="E2228" s="121"/>
      <c r="F2228" s="121"/>
      <c r="G2228" s="121"/>
      <c r="H2228" s="121"/>
    </row>
    <row r="2229" spans="3:8" x14ac:dyDescent="0.2">
      <c r="C2229" s="121"/>
      <c r="E2229" s="121"/>
      <c r="F2229" s="121"/>
      <c r="G2229" s="121"/>
      <c r="H2229" s="121"/>
    </row>
    <row r="2230" spans="3:8" x14ac:dyDescent="0.2">
      <c r="C2230" s="121"/>
      <c r="E2230" s="121"/>
      <c r="F2230" s="121"/>
      <c r="G2230" s="121"/>
      <c r="H2230" s="121"/>
    </row>
    <row r="2231" spans="3:8" x14ac:dyDescent="0.2">
      <c r="C2231" s="121"/>
      <c r="E2231" s="121"/>
      <c r="F2231" s="121"/>
      <c r="G2231" s="121"/>
      <c r="H2231" s="121"/>
    </row>
    <row r="2232" spans="3:8" x14ac:dyDescent="0.2">
      <c r="C2232" s="121"/>
      <c r="E2232" s="121"/>
      <c r="F2232" s="121"/>
      <c r="G2232" s="121"/>
      <c r="H2232" s="121"/>
    </row>
    <row r="2233" spans="3:8" x14ac:dyDescent="0.2">
      <c r="C2233" s="121"/>
      <c r="E2233" s="121"/>
      <c r="F2233" s="121"/>
      <c r="G2233" s="121"/>
      <c r="H2233" s="121"/>
    </row>
    <row r="2234" spans="3:8" x14ac:dyDescent="0.2">
      <c r="C2234" s="121"/>
      <c r="E2234" s="121"/>
      <c r="F2234" s="121"/>
      <c r="G2234" s="121"/>
      <c r="H2234" s="121"/>
    </row>
    <row r="2235" spans="3:8" x14ac:dyDescent="0.2">
      <c r="C2235" s="121"/>
      <c r="E2235" s="121"/>
      <c r="F2235" s="121"/>
      <c r="G2235" s="121"/>
      <c r="H2235" s="121"/>
    </row>
    <row r="2236" spans="3:8" x14ac:dyDescent="0.2">
      <c r="C2236" s="121"/>
      <c r="E2236" s="121"/>
      <c r="F2236" s="121"/>
      <c r="G2236" s="121"/>
      <c r="H2236" s="121"/>
    </row>
    <row r="2237" spans="3:8" x14ac:dyDescent="0.2">
      <c r="C2237" s="121"/>
      <c r="E2237" s="121"/>
      <c r="F2237" s="121"/>
      <c r="G2237" s="121"/>
      <c r="H2237" s="121"/>
    </row>
    <row r="2238" spans="3:8" x14ac:dyDescent="0.2">
      <c r="C2238" s="121"/>
      <c r="E2238" s="121"/>
      <c r="F2238" s="121"/>
      <c r="G2238" s="121"/>
      <c r="H2238" s="121"/>
    </row>
    <row r="2239" spans="3:8" x14ac:dyDescent="0.2">
      <c r="C2239" s="121"/>
      <c r="E2239" s="121"/>
      <c r="F2239" s="121"/>
      <c r="G2239" s="121"/>
      <c r="H2239" s="121"/>
    </row>
    <row r="2240" spans="3:8" x14ac:dyDescent="0.2">
      <c r="C2240" s="121"/>
      <c r="E2240" s="121"/>
      <c r="F2240" s="121"/>
      <c r="G2240" s="121"/>
      <c r="H2240" s="121"/>
    </row>
    <row r="2241" spans="3:8" x14ac:dyDescent="0.2">
      <c r="C2241" s="121"/>
      <c r="E2241" s="121"/>
      <c r="F2241" s="121"/>
      <c r="G2241" s="121"/>
      <c r="H2241" s="121"/>
    </row>
    <row r="2242" spans="3:8" x14ac:dyDescent="0.2">
      <c r="C2242" s="121"/>
      <c r="E2242" s="121"/>
      <c r="F2242" s="121"/>
      <c r="G2242" s="121"/>
      <c r="H2242" s="121"/>
    </row>
    <row r="2243" spans="3:8" x14ac:dyDescent="0.2">
      <c r="C2243" s="121"/>
      <c r="E2243" s="121"/>
      <c r="F2243" s="121"/>
      <c r="G2243" s="121"/>
      <c r="H2243" s="121"/>
    </row>
    <row r="2244" spans="3:8" x14ac:dyDescent="0.2">
      <c r="C2244" s="121"/>
      <c r="E2244" s="121"/>
      <c r="F2244" s="121"/>
      <c r="G2244" s="121"/>
      <c r="H2244" s="121"/>
    </row>
    <row r="2245" spans="3:8" x14ac:dyDescent="0.2">
      <c r="C2245" s="121"/>
      <c r="E2245" s="121"/>
      <c r="F2245" s="121"/>
      <c r="G2245" s="121"/>
      <c r="H2245" s="121"/>
    </row>
    <row r="2246" spans="3:8" x14ac:dyDescent="0.2">
      <c r="C2246" s="121"/>
      <c r="E2246" s="121"/>
      <c r="F2246" s="121"/>
      <c r="G2246" s="121"/>
      <c r="H2246" s="121"/>
    </row>
    <row r="2247" spans="3:8" x14ac:dyDescent="0.2">
      <c r="C2247" s="121"/>
      <c r="E2247" s="121"/>
      <c r="F2247" s="121"/>
      <c r="G2247" s="121"/>
      <c r="H2247" s="121"/>
    </row>
    <row r="2248" spans="3:8" x14ac:dyDescent="0.2">
      <c r="C2248" s="121"/>
      <c r="E2248" s="121"/>
      <c r="F2248" s="121"/>
      <c r="G2248" s="121"/>
      <c r="H2248" s="121"/>
    </row>
    <row r="2249" spans="3:8" x14ac:dyDescent="0.2">
      <c r="C2249" s="121"/>
      <c r="E2249" s="121"/>
      <c r="F2249" s="121"/>
      <c r="G2249" s="121"/>
      <c r="H2249" s="121"/>
    </row>
    <row r="2250" spans="3:8" x14ac:dyDescent="0.2">
      <c r="C2250" s="121"/>
      <c r="E2250" s="121"/>
      <c r="F2250" s="121"/>
      <c r="G2250" s="121"/>
      <c r="H2250" s="121"/>
    </row>
    <row r="2251" spans="3:8" x14ac:dyDescent="0.2">
      <c r="C2251" s="121"/>
      <c r="E2251" s="121"/>
      <c r="F2251" s="121"/>
      <c r="G2251" s="121"/>
      <c r="H2251" s="121"/>
    </row>
    <row r="2252" spans="3:8" x14ac:dyDescent="0.2">
      <c r="C2252" s="121"/>
      <c r="E2252" s="121"/>
      <c r="F2252" s="121"/>
      <c r="G2252" s="121"/>
      <c r="H2252" s="121"/>
    </row>
    <row r="2253" spans="3:8" x14ac:dyDescent="0.2">
      <c r="C2253" s="121"/>
      <c r="E2253" s="121"/>
      <c r="F2253" s="121"/>
      <c r="G2253" s="121"/>
      <c r="H2253" s="121"/>
    </row>
    <row r="2254" spans="3:8" x14ac:dyDescent="0.2">
      <c r="C2254" s="121"/>
      <c r="E2254" s="121"/>
      <c r="F2254" s="121"/>
      <c r="G2254" s="121"/>
      <c r="H2254" s="121"/>
    </row>
    <row r="2255" spans="3:8" x14ac:dyDescent="0.2">
      <c r="C2255" s="121"/>
      <c r="E2255" s="121"/>
      <c r="F2255" s="121"/>
      <c r="G2255" s="121"/>
      <c r="H2255" s="121"/>
    </row>
    <row r="2256" spans="3:8" x14ac:dyDescent="0.2">
      <c r="C2256" s="121"/>
      <c r="E2256" s="121"/>
      <c r="F2256" s="121"/>
      <c r="G2256" s="121"/>
      <c r="H2256" s="121"/>
    </row>
    <row r="2257" spans="3:8" x14ac:dyDescent="0.2">
      <c r="C2257" s="121"/>
      <c r="E2257" s="121"/>
      <c r="F2257" s="121"/>
      <c r="G2257" s="121"/>
      <c r="H2257" s="121"/>
    </row>
    <row r="2258" spans="3:8" x14ac:dyDescent="0.2">
      <c r="C2258" s="121"/>
      <c r="E2258" s="121"/>
      <c r="F2258" s="121"/>
      <c r="G2258" s="121"/>
      <c r="H2258" s="121"/>
    </row>
    <row r="2259" spans="3:8" x14ac:dyDescent="0.2">
      <c r="C2259" s="121"/>
      <c r="E2259" s="121"/>
      <c r="F2259" s="121"/>
      <c r="G2259" s="121"/>
      <c r="H2259" s="121"/>
    </row>
    <row r="2260" spans="3:8" x14ac:dyDescent="0.2">
      <c r="C2260" s="121"/>
      <c r="E2260" s="121"/>
      <c r="F2260" s="121"/>
      <c r="G2260" s="121"/>
      <c r="H2260" s="121"/>
    </row>
    <row r="2261" spans="3:8" x14ac:dyDescent="0.2">
      <c r="C2261" s="121"/>
      <c r="E2261" s="121"/>
      <c r="F2261" s="121"/>
      <c r="G2261" s="121"/>
      <c r="H2261" s="121"/>
    </row>
    <row r="2262" spans="3:8" x14ac:dyDescent="0.2">
      <c r="C2262" s="121"/>
      <c r="E2262" s="121"/>
      <c r="F2262" s="121"/>
      <c r="G2262" s="121"/>
      <c r="H2262" s="121"/>
    </row>
    <row r="2263" spans="3:8" x14ac:dyDescent="0.2">
      <c r="C2263" s="121"/>
      <c r="E2263" s="121"/>
      <c r="F2263" s="121"/>
      <c r="G2263" s="121"/>
      <c r="H2263" s="121"/>
    </row>
    <row r="2264" spans="3:8" x14ac:dyDescent="0.2">
      <c r="C2264" s="121"/>
      <c r="E2264" s="121"/>
      <c r="F2264" s="121"/>
      <c r="G2264" s="121"/>
      <c r="H2264" s="121"/>
    </row>
    <row r="2265" spans="3:8" x14ac:dyDescent="0.2">
      <c r="C2265" s="121"/>
      <c r="E2265" s="121"/>
      <c r="F2265" s="121"/>
      <c r="G2265" s="121"/>
      <c r="H2265" s="121"/>
    </row>
    <row r="2266" spans="3:8" x14ac:dyDescent="0.2">
      <c r="C2266" s="121"/>
      <c r="E2266" s="121"/>
      <c r="F2266" s="121"/>
      <c r="G2266" s="121"/>
      <c r="H2266" s="121"/>
    </row>
    <row r="2267" spans="3:8" x14ac:dyDescent="0.2">
      <c r="C2267" s="121"/>
      <c r="E2267" s="121"/>
      <c r="F2267" s="121"/>
      <c r="G2267" s="121"/>
      <c r="H2267" s="121"/>
    </row>
    <row r="2268" spans="3:8" x14ac:dyDescent="0.2">
      <c r="C2268" s="121"/>
      <c r="E2268" s="121"/>
      <c r="F2268" s="121"/>
      <c r="G2268" s="121"/>
      <c r="H2268" s="121"/>
    </row>
    <row r="2269" spans="3:8" x14ac:dyDescent="0.2">
      <c r="C2269" s="121"/>
      <c r="E2269" s="121"/>
      <c r="F2269" s="121"/>
      <c r="G2269" s="121"/>
      <c r="H2269" s="121"/>
    </row>
    <row r="2270" spans="3:8" x14ac:dyDescent="0.2">
      <c r="C2270" s="121"/>
      <c r="E2270" s="121"/>
      <c r="F2270" s="121"/>
      <c r="G2270" s="121"/>
      <c r="H2270" s="121"/>
    </row>
    <row r="2271" spans="3:8" x14ac:dyDescent="0.2">
      <c r="C2271" s="121"/>
      <c r="E2271" s="121"/>
      <c r="F2271" s="121"/>
      <c r="G2271" s="121"/>
      <c r="H2271" s="121"/>
    </row>
    <row r="2272" spans="3:8" x14ac:dyDescent="0.2">
      <c r="C2272" s="121"/>
      <c r="E2272" s="121"/>
      <c r="F2272" s="121"/>
      <c r="G2272" s="121"/>
      <c r="H2272" s="121"/>
    </row>
    <row r="2273" spans="3:8" x14ac:dyDescent="0.2">
      <c r="C2273" s="121"/>
      <c r="E2273" s="121"/>
      <c r="F2273" s="121"/>
      <c r="G2273" s="121"/>
      <c r="H2273" s="121"/>
    </row>
    <row r="2274" spans="3:8" x14ac:dyDescent="0.2">
      <c r="C2274" s="121"/>
      <c r="E2274" s="121"/>
      <c r="F2274" s="121"/>
      <c r="G2274" s="121"/>
      <c r="H2274" s="121"/>
    </row>
    <row r="2275" spans="3:8" x14ac:dyDescent="0.2">
      <c r="C2275" s="121"/>
      <c r="E2275" s="121"/>
      <c r="F2275" s="121"/>
      <c r="G2275" s="121"/>
      <c r="H2275" s="121"/>
    </row>
    <row r="2276" spans="3:8" x14ac:dyDescent="0.2">
      <c r="C2276" s="121"/>
      <c r="E2276" s="121"/>
      <c r="F2276" s="121"/>
      <c r="G2276" s="121"/>
      <c r="H2276" s="121"/>
    </row>
    <row r="2277" spans="3:8" x14ac:dyDescent="0.2">
      <c r="C2277" s="121"/>
      <c r="E2277" s="121"/>
      <c r="F2277" s="121"/>
      <c r="G2277" s="121"/>
      <c r="H2277" s="121"/>
    </row>
    <row r="2278" spans="3:8" x14ac:dyDescent="0.2">
      <c r="C2278" s="121"/>
      <c r="E2278" s="121"/>
      <c r="F2278" s="121"/>
      <c r="G2278" s="121"/>
      <c r="H2278" s="121"/>
    </row>
    <row r="2279" spans="3:8" x14ac:dyDescent="0.2">
      <c r="C2279" s="121"/>
      <c r="E2279" s="121"/>
      <c r="F2279" s="121"/>
      <c r="G2279" s="121"/>
      <c r="H2279" s="121"/>
    </row>
    <row r="2280" spans="3:8" x14ac:dyDescent="0.2">
      <c r="C2280" s="121"/>
      <c r="E2280" s="121"/>
      <c r="F2280" s="121"/>
      <c r="G2280" s="121"/>
      <c r="H2280" s="121"/>
    </row>
    <row r="2281" spans="3:8" x14ac:dyDescent="0.2">
      <c r="C2281" s="121"/>
      <c r="E2281" s="121"/>
      <c r="F2281" s="121"/>
      <c r="G2281" s="121"/>
      <c r="H2281" s="121"/>
    </row>
    <row r="2282" spans="3:8" x14ac:dyDescent="0.2">
      <c r="C2282" s="121"/>
      <c r="E2282" s="121"/>
      <c r="F2282" s="121"/>
      <c r="G2282" s="121"/>
      <c r="H2282" s="121"/>
    </row>
    <row r="2283" spans="3:8" x14ac:dyDescent="0.2">
      <c r="C2283" s="121"/>
      <c r="E2283" s="121"/>
      <c r="F2283" s="121"/>
      <c r="G2283" s="121"/>
      <c r="H2283" s="121"/>
    </row>
    <row r="2284" spans="3:8" x14ac:dyDescent="0.2">
      <c r="C2284" s="121"/>
      <c r="E2284" s="121"/>
      <c r="F2284" s="121"/>
      <c r="G2284" s="121"/>
      <c r="H2284" s="121"/>
    </row>
    <row r="2285" spans="3:8" x14ac:dyDescent="0.2">
      <c r="C2285" s="121"/>
      <c r="E2285" s="121"/>
      <c r="F2285" s="121"/>
      <c r="G2285" s="121"/>
      <c r="H2285" s="121"/>
    </row>
    <row r="2286" spans="3:8" x14ac:dyDescent="0.2">
      <c r="C2286" s="121"/>
      <c r="E2286" s="121"/>
      <c r="F2286" s="121"/>
      <c r="G2286" s="121"/>
      <c r="H2286" s="121"/>
    </row>
    <row r="2287" spans="3:8" x14ac:dyDescent="0.2">
      <c r="C2287" s="121"/>
      <c r="E2287" s="121"/>
      <c r="F2287" s="121"/>
      <c r="G2287" s="121"/>
      <c r="H2287" s="121"/>
    </row>
    <row r="2288" spans="3:8" x14ac:dyDescent="0.2">
      <c r="C2288" s="121"/>
      <c r="E2288" s="121"/>
      <c r="F2288" s="121"/>
      <c r="G2288" s="121"/>
      <c r="H2288" s="121"/>
    </row>
    <row r="2289" spans="3:8" x14ac:dyDescent="0.2">
      <c r="C2289" s="121"/>
      <c r="E2289" s="121"/>
      <c r="F2289" s="121"/>
      <c r="G2289" s="121"/>
      <c r="H2289" s="121"/>
    </row>
    <row r="2290" spans="3:8" x14ac:dyDescent="0.2">
      <c r="C2290" s="121"/>
      <c r="E2290" s="121"/>
      <c r="F2290" s="121"/>
      <c r="G2290" s="121"/>
      <c r="H2290" s="121"/>
    </row>
    <row r="2291" spans="3:8" x14ac:dyDescent="0.2">
      <c r="C2291" s="121"/>
      <c r="E2291" s="121"/>
      <c r="F2291" s="121"/>
      <c r="G2291" s="121"/>
      <c r="H2291" s="121"/>
    </row>
    <row r="2292" spans="3:8" x14ac:dyDescent="0.2">
      <c r="C2292" s="121"/>
      <c r="E2292" s="121"/>
      <c r="F2292" s="121"/>
      <c r="G2292" s="121"/>
      <c r="H2292" s="121"/>
    </row>
    <row r="2293" spans="3:8" x14ac:dyDescent="0.2">
      <c r="C2293" s="121"/>
      <c r="E2293" s="121"/>
      <c r="F2293" s="121"/>
      <c r="G2293" s="121"/>
      <c r="H2293" s="121"/>
    </row>
    <row r="2294" spans="3:8" x14ac:dyDescent="0.2">
      <c r="C2294" s="121"/>
      <c r="E2294" s="121"/>
      <c r="F2294" s="121"/>
      <c r="G2294" s="121"/>
      <c r="H2294" s="121"/>
    </row>
    <row r="2295" spans="3:8" x14ac:dyDescent="0.2">
      <c r="C2295" s="121"/>
      <c r="E2295" s="121"/>
      <c r="F2295" s="121"/>
      <c r="G2295" s="121"/>
      <c r="H2295" s="121"/>
    </row>
    <row r="2296" spans="3:8" x14ac:dyDescent="0.2">
      <c r="C2296" s="121"/>
      <c r="E2296" s="121"/>
      <c r="F2296" s="121"/>
      <c r="G2296" s="121"/>
      <c r="H2296" s="121"/>
    </row>
    <row r="2297" spans="3:8" x14ac:dyDescent="0.2">
      <c r="C2297" s="121"/>
      <c r="E2297" s="121"/>
      <c r="F2297" s="121"/>
      <c r="G2297" s="121"/>
      <c r="H2297" s="121"/>
    </row>
    <row r="2298" spans="3:8" x14ac:dyDescent="0.2">
      <c r="C2298" s="121"/>
      <c r="E2298" s="121"/>
      <c r="F2298" s="121"/>
      <c r="G2298" s="121"/>
      <c r="H2298" s="121"/>
    </row>
    <row r="2299" spans="3:8" x14ac:dyDescent="0.2">
      <c r="C2299" s="121"/>
      <c r="E2299" s="121"/>
      <c r="F2299" s="121"/>
      <c r="G2299" s="121"/>
      <c r="H2299" s="121"/>
    </row>
    <row r="2300" spans="3:8" x14ac:dyDescent="0.2">
      <c r="C2300" s="121"/>
      <c r="E2300" s="121"/>
      <c r="F2300" s="121"/>
      <c r="G2300" s="121"/>
      <c r="H2300" s="121"/>
    </row>
    <row r="2301" spans="3:8" x14ac:dyDescent="0.2">
      <c r="C2301" s="121"/>
      <c r="E2301" s="121"/>
      <c r="F2301" s="121"/>
      <c r="G2301" s="121"/>
      <c r="H2301" s="121"/>
    </row>
    <row r="2302" spans="3:8" x14ac:dyDescent="0.2">
      <c r="C2302" s="121"/>
      <c r="E2302" s="121"/>
      <c r="F2302" s="121"/>
      <c r="G2302" s="121"/>
      <c r="H2302" s="121"/>
    </row>
    <row r="2303" spans="3:8" x14ac:dyDescent="0.2">
      <c r="C2303" s="121"/>
      <c r="E2303" s="121"/>
      <c r="F2303" s="121"/>
      <c r="G2303" s="121"/>
      <c r="H2303" s="121"/>
    </row>
    <row r="2304" spans="3:8" x14ac:dyDescent="0.2">
      <c r="C2304" s="121"/>
      <c r="E2304" s="121"/>
      <c r="F2304" s="121"/>
      <c r="G2304" s="121"/>
      <c r="H2304" s="121"/>
    </row>
    <row r="2305" spans="3:8" x14ac:dyDescent="0.2">
      <c r="C2305" s="121"/>
      <c r="E2305" s="121"/>
      <c r="F2305" s="121"/>
      <c r="G2305" s="121"/>
      <c r="H2305" s="121"/>
    </row>
    <row r="2306" spans="3:8" x14ac:dyDescent="0.2">
      <c r="C2306" s="121"/>
      <c r="E2306" s="121"/>
      <c r="F2306" s="121"/>
      <c r="G2306" s="121"/>
      <c r="H2306" s="121"/>
    </row>
    <row r="2307" spans="3:8" x14ac:dyDescent="0.2">
      <c r="C2307" s="121"/>
      <c r="E2307" s="121"/>
      <c r="F2307" s="121"/>
      <c r="G2307" s="121"/>
      <c r="H2307" s="121"/>
    </row>
    <row r="2308" spans="3:8" x14ac:dyDescent="0.2">
      <c r="C2308" s="121"/>
      <c r="E2308" s="121"/>
      <c r="F2308" s="121"/>
      <c r="G2308" s="121"/>
      <c r="H2308" s="121"/>
    </row>
    <row r="2309" spans="3:8" x14ac:dyDescent="0.2">
      <c r="C2309" s="121"/>
      <c r="E2309" s="121"/>
      <c r="F2309" s="121"/>
      <c r="G2309" s="121"/>
      <c r="H2309" s="121"/>
    </row>
    <row r="2310" spans="3:8" x14ac:dyDescent="0.2">
      <c r="C2310" s="121"/>
      <c r="E2310" s="121"/>
      <c r="F2310" s="121"/>
      <c r="G2310" s="121"/>
      <c r="H2310" s="121"/>
    </row>
    <row r="2311" spans="3:8" x14ac:dyDescent="0.2">
      <c r="C2311" s="121"/>
      <c r="E2311" s="121"/>
      <c r="F2311" s="121"/>
      <c r="G2311" s="121"/>
      <c r="H2311" s="121"/>
    </row>
    <row r="2312" spans="3:8" x14ac:dyDescent="0.2">
      <c r="C2312" s="121"/>
      <c r="E2312" s="121"/>
      <c r="F2312" s="121"/>
      <c r="G2312" s="121"/>
      <c r="H2312" s="121"/>
    </row>
    <row r="2313" spans="3:8" x14ac:dyDescent="0.2">
      <c r="C2313" s="121"/>
      <c r="E2313" s="121"/>
      <c r="F2313" s="121"/>
      <c r="G2313" s="121"/>
      <c r="H2313" s="121"/>
    </row>
    <row r="2314" spans="3:8" x14ac:dyDescent="0.2">
      <c r="C2314" s="121"/>
      <c r="E2314" s="121"/>
      <c r="F2314" s="121"/>
      <c r="G2314" s="121"/>
      <c r="H2314" s="121"/>
    </row>
    <row r="2315" spans="3:8" x14ac:dyDescent="0.2">
      <c r="C2315" s="121"/>
      <c r="E2315" s="121"/>
      <c r="F2315" s="121"/>
      <c r="G2315" s="121"/>
      <c r="H2315" s="121"/>
    </row>
    <row r="2316" spans="3:8" x14ac:dyDescent="0.2">
      <c r="C2316" s="121"/>
      <c r="E2316" s="121"/>
      <c r="F2316" s="121"/>
      <c r="G2316" s="121"/>
      <c r="H2316" s="121"/>
    </row>
    <row r="2317" spans="3:8" x14ac:dyDescent="0.2">
      <c r="C2317" s="121"/>
      <c r="E2317" s="121"/>
      <c r="F2317" s="121"/>
      <c r="G2317" s="121"/>
      <c r="H2317" s="121"/>
    </row>
    <row r="2318" spans="3:8" x14ac:dyDescent="0.2">
      <c r="C2318" s="121"/>
      <c r="E2318" s="121"/>
      <c r="F2318" s="121"/>
      <c r="G2318" s="121"/>
      <c r="H2318" s="121"/>
    </row>
    <row r="2319" spans="3:8" x14ac:dyDescent="0.2">
      <c r="C2319" s="121"/>
      <c r="E2319" s="121"/>
      <c r="F2319" s="121"/>
      <c r="G2319" s="121"/>
      <c r="H2319" s="121"/>
    </row>
    <row r="2320" spans="3:8" x14ac:dyDescent="0.2">
      <c r="C2320" s="121"/>
      <c r="E2320" s="121"/>
      <c r="F2320" s="121"/>
      <c r="G2320" s="121"/>
      <c r="H2320" s="121"/>
    </row>
    <row r="2321" spans="3:8" x14ac:dyDescent="0.2">
      <c r="C2321" s="121"/>
      <c r="E2321" s="121"/>
      <c r="F2321" s="121"/>
      <c r="G2321" s="121"/>
      <c r="H2321" s="121"/>
    </row>
    <row r="2322" spans="3:8" x14ac:dyDescent="0.2">
      <c r="C2322" s="121"/>
      <c r="E2322" s="121"/>
      <c r="F2322" s="121"/>
      <c r="G2322" s="121"/>
      <c r="H2322" s="121"/>
    </row>
    <row r="2323" spans="3:8" x14ac:dyDescent="0.2">
      <c r="C2323" s="121"/>
      <c r="E2323" s="121"/>
      <c r="F2323" s="121"/>
      <c r="G2323" s="121"/>
      <c r="H2323" s="121"/>
    </row>
    <row r="2324" spans="3:8" x14ac:dyDescent="0.2">
      <c r="C2324" s="121"/>
      <c r="E2324" s="121"/>
      <c r="F2324" s="121"/>
      <c r="G2324" s="121"/>
      <c r="H2324" s="121"/>
    </row>
    <row r="2325" spans="3:8" x14ac:dyDescent="0.2">
      <c r="C2325" s="121"/>
      <c r="E2325" s="121"/>
      <c r="F2325" s="121"/>
      <c r="G2325" s="121"/>
      <c r="H2325" s="121"/>
    </row>
    <row r="2326" spans="3:8" x14ac:dyDescent="0.2">
      <c r="C2326" s="121"/>
      <c r="E2326" s="121"/>
      <c r="F2326" s="121"/>
      <c r="G2326" s="121"/>
      <c r="H2326" s="121"/>
    </row>
    <row r="2327" spans="3:8" x14ac:dyDescent="0.2">
      <c r="C2327" s="121"/>
      <c r="E2327" s="121"/>
      <c r="F2327" s="121"/>
      <c r="G2327" s="121"/>
      <c r="H2327" s="121"/>
    </row>
    <row r="2328" spans="3:8" x14ac:dyDescent="0.2">
      <c r="C2328" s="121"/>
      <c r="E2328" s="121"/>
      <c r="F2328" s="121"/>
      <c r="G2328" s="121"/>
      <c r="H2328" s="121"/>
    </row>
    <row r="2329" spans="3:8" x14ac:dyDescent="0.2">
      <c r="C2329" s="121"/>
      <c r="E2329" s="121"/>
      <c r="F2329" s="121"/>
      <c r="G2329" s="121"/>
      <c r="H2329" s="121"/>
    </row>
    <row r="2330" spans="3:8" x14ac:dyDescent="0.2">
      <c r="C2330" s="121"/>
      <c r="E2330" s="121"/>
      <c r="F2330" s="121"/>
      <c r="G2330" s="121"/>
      <c r="H2330" s="121"/>
    </row>
    <row r="2331" spans="3:8" x14ac:dyDescent="0.2">
      <c r="C2331" s="121"/>
      <c r="E2331" s="121"/>
      <c r="F2331" s="121"/>
      <c r="G2331" s="121"/>
      <c r="H2331" s="121"/>
    </row>
    <row r="2332" spans="3:8" x14ac:dyDescent="0.2">
      <c r="C2332" s="121"/>
      <c r="E2332" s="121"/>
      <c r="F2332" s="121"/>
      <c r="G2332" s="121"/>
      <c r="H2332" s="121"/>
    </row>
    <row r="2333" spans="3:8" x14ac:dyDescent="0.2">
      <c r="C2333" s="121"/>
      <c r="E2333" s="121"/>
      <c r="F2333" s="121"/>
      <c r="G2333" s="121"/>
      <c r="H2333" s="121"/>
    </row>
    <row r="2334" spans="3:8" x14ac:dyDescent="0.2">
      <c r="C2334" s="121"/>
      <c r="E2334" s="121"/>
      <c r="F2334" s="121"/>
      <c r="G2334" s="121"/>
      <c r="H2334" s="121"/>
    </row>
    <row r="2335" spans="3:8" x14ac:dyDescent="0.2">
      <c r="C2335" s="121"/>
      <c r="E2335" s="121"/>
      <c r="F2335" s="121"/>
      <c r="G2335" s="121"/>
      <c r="H2335" s="121"/>
    </row>
    <row r="2336" spans="3:8" x14ac:dyDescent="0.2">
      <c r="C2336" s="121"/>
      <c r="E2336" s="121"/>
      <c r="F2336" s="121"/>
      <c r="G2336" s="121"/>
      <c r="H2336" s="121"/>
    </row>
    <row r="2337" spans="3:8" x14ac:dyDescent="0.2">
      <c r="C2337" s="121"/>
      <c r="E2337" s="121"/>
      <c r="F2337" s="121"/>
      <c r="G2337" s="121"/>
      <c r="H2337" s="121"/>
    </row>
    <row r="2338" spans="3:8" x14ac:dyDescent="0.2">
      <c r="C2338" s="121"/>
      <c r="E2338" s="121"/>
      <c r="F2338" s="121"/>
      <c r="G2338" s="121"/>
      <c r="H2338" s="121"/>
    </row>
    <row r="2339" spans="3:8" x14ac:dyDescent="0.2">
      <c r="C2339" s="121"/>
      <c r="E2339" s="121"/>
      <c r="F2339" s="121"/>
      <c r="G2339" s="121"/>
      <c r="H2339" s="121"/>
    </row>
    <row r="2340" spans="3:8" x14ac:dyDescent="0.2">
      <c r="C2340" s="121"/>
      <c r="E2340" s="121"/>
      <c r="F2340" s="121"/>
      <c r="G2340" s="121"/>
      <c r="H2340" s="121"/>
    </row>
    <row r="2341" spans="3:8" x14ac:dyDescent="0.2">
      <c r="C2341" s="121"/>
      <c r="E2341" s="121"/>
      <c r="F2341" s="121"/>
      <c r="G2341" s="121"/>
      <c r="H2341" s="121"/>
    </row>
    <row r="2342" spans="3:8" x14ac:dyDescent="0.2">
      <c r="C2342" s="121"/>
      <c r="E2342" s="121"/>
      <c r="F2342" s="121"/>
      <c r="G2342" s="121"/>
      <c r="H2342" s="121"/>
    </row>
    <row r="2343" spans="3:8" x14ac:dyDescent="0.2">
      <c r="C2343" s="121"/>
      <c r="E2343" s="121"/>
      <c r="F2343" s="121"/>
      <c r="G2343" s="121"/>
      <c r="H2343" s="121"/>
    </row>
    <row r="2344" spans="3:8" x14ac:dyDescent="0.2">
      <c r="C2344" s="121"/>
      <c r="E2344" s="121"/>
      <c r="F2344" s="121"/>
      <c r="G2344" s="121"/>
      <c r="H2344" s="121"/>
    </row>
    <row r="2345" spans="3:8" x14ac:dyDescent="0.2">
      <c r="C2345" s="121"/>
      <c r="E2345" s="121"/>
      <c r="F2345" s="121"/>
      <c r="G2345" s="121"/>
      <c r="H2345" s="121"/>
    </row>
    <row r="2346" spans="3:8" x14ac:dyDescent="0.2">
      <c r="C2346" s="121"/>
      <c r="E2346" s="121"/>
      <c r="F2346" s="121"/>
      <c r="G2346" s="121"/>
      <c r="H2346" s="121"/>
    </row>
    <row r="2347" spans="3:8" x14ac:dyDescent="0.2">
      <c r="C2347" s="121"/>
      <c r="E2347" s="121"/>
      <c r="F2347" s="121"/>
      <c r="G2347" s="121"/>
      <c r="H2347" s="121"/>
    </row>
    <row r="2348" spans="3:8" x14ac:dyDescent="0.2">
      <c r="C2348" s="121"/>
      <c r="E2348" s="121"/>
      <c r="F2348" s="121"/>
      <c r="G2348" s="121"/>
      <c r="H2348" s="121"/>
    </row>
    <row r="2349" spans="3:8" x14ac:dyDescent="0.2">
      <c r="C2349" s="121"/>
      <c r="E2349" s="121"/>
      <c r="F2349" s="121"/>
      <c r="G2349" s="121"/>
      <c r="H2349" s="121"/>
    </row>
    <row r="2350" spans="3:8" x14ac:dyDescent="0.2">
      <c r="C2350" s="121"/>
      <c r="E2350" s="121"/>
      <c r="F2350" s="121"/>
      <c r="G2350" s="121"/>
      <c r="H2350" s="121"/>
    </row>
    <row r="2351" spans="3:8" x14ac:dyDescent="0.2">
      <c r="C2351" s="121"/>
      <c r="E2351" s="121"/>
      <c r="F2351" s="121"/>
      <c r="G2351" s="121"/>
      <c r="H2351" s="121"/>
    </row>
    <row r="2352" spans="3:8" x14ac:dyDescent="0.2">
      <c r="C2352" s="121"/>
      <c r="E2352" s="121"/>
      <c r="F2352" s="121"/>
      <c r="G2352" s="121"/>
      <c r="H2352" s="121"/>
    </row>
    <row r="2353" spans="3:8" x14ac:dyDescent="0.2">
      <c r="C2353" s="121"/>
      <c r="E2353" s="121"/>
      <c r="F2353" s="121"/>
      <c r="G2353" s="121"/>
      <c r="H2353" s="121"/>
    </row>
    <row r="2354" spans="3:8" x14ac:dyDescent="0.2">
      <c r="C2354" s="121"/>
      <c r="E2354" s="121"/>
      <c r="F2354" s="121"/>
      <c r="G2354" s="121"/>
      <c r="H2354" s="121"/>
    </row>
    <row r="2355" spans="3:8" x14ac:dyDescent="0.2">
      <c r="C2355" s="121"/>
      <c r="E2355" s="121"/>
      <c r="F2355" s="121"/>
      <c r="G2355" s="121"/>
      <c r="H2355" s="121"/>
    </row>
    <row r="2356" spans="3:8" x14ac:dyDescent="0.2">
      <c r="C2356" s="121"/>
      <c r="E2356" s="121"/>
      <c r="F2356" s="121"/>
      <c r="G2356" s="121"/>
      <c r="H2356" s="121"/>
    </row>
    <row r="2357" spans="3:8" x14ac:dyDescent="0.2">
      <c r="C2357" s="121"/>
      <c r="E2357" s="121"/>
      <c r="F2357" s="121"/>
      <c r="G2357" s="121"/>
      <c r="H2357" s="121"/>
    </row>
    <row r="2358" spans="3:8" x14ac:dyDescent="0.2">
      <c r="C2358" s="121"/>
      <c r="E2358" s="121"/>
      <c r="F2358" s="121"/>
      <c r="G2358" s="121"/>
      <c r="H2358" s="121"/>
    </row>
    <row r="2359" spans="3:8" x14ac:dyDescent="0.2">
      <c r="C2359" s="121"/>
      <c r="E2359" s="121"/>
      <c r="F2359" s="121"/>
      <c r="G2359" s="121"/>
      <c r="H2359" s="121"/>
    </row>
    <row r="2360" spans="3:8" x14ac:dyDescent="0.2">
      <c r="C2360" s="121"/>
      <c r="E2360" s="121"/>
      <c r="F2360" s="121"/>
      <c r="G2360" s="121"/>
      <c r="H2360" s="121"/>
    </row>
    <row r="2361" spans="3:8" x14ac:dyDescent="0.2">
      <c r="C2361" s="121"/>
      <c r="E2361" s="121"/>
      <c r="F2361" s="121"/>
      <c r="G2361" s="121"/>
      <c r="H2361" s="121"/>
    </row>
    <row r="2362" spans="3:8" x14ac:dyDescent="0.2">
      <c r="C2362" s="121"/>
      <c r="E2362" s="121"/>
      <c r="F2362" s="121"/>
      <c r="G2362" s="121"/>
      <c r="H2362" s="121"/>
    </row>
    <row r="2363" spans="3:8" x14ac:dyDescent="0.2">
      <c r="C2363" s="121"/>
      <c r="E2363" s="121"/>
      <c r="F2363" s="121"/>
      <c r="G2363" s="121"/>
      <c r="H2363" s="121"/>
    </row>
    <row r="2364" spans="3:8" x14ac:dyDescent="0.2">
      <c r="C2364" s="121"/>
      <c r="E2364" s="121"/>
      <c r="F2364" s="121"/>
      <c r="G2364" s="121"/>
      <c r="H2364" s="121"/>
    </row>
    <row r="2365" spans="3:8" x14ac:dyDescent="0.2">
      <c r="C2365" s="121"/>
      <c r="E2365" s="121"/>
      <c r="F2365" s="121"/>
      <c r="G2365" s="121"/>
      <c r="H2365" s="121"/>
    </row>
    <row r="2366" spans="3:8" x14ac:dyDescent="0.2">
      <c r="C2366" s="121"/>
      <c r="E2366" s="121"/>
      <c r="F2366" s="121"/>
      <c r="G2366" s="121"/>
      <c r="H2366" s="121"/>
    </row>
    <row r="2367" spans="3:8" x14ac:dyDescent="0.2">
      <c r="C2367" s="121"/>
      <c r="E2367" s="121"/>
      <c r="F2367" s="121"/>
      <c r="G2367" s="121"/>
      <c r="H2367" s="121"/>
    </row>
    <row r="2368" spans="3:8" x14ac:dyDescent="0.2">
      <c r="C2368" s="121"/>
      <c r="E2368" s="121"/>
      <c r="F2368" s="121"/>
      <c r="G2368" s="121"/>
      <c r="H2368" s="121"/>
    </row>
    <row r="2369" spans="3:8" x14ac:dyDescent="0.2">
      <c r="C2369" s="121"/>
      <c r="E2369" s="121"/>
      <c r="F2369" s="121"/>
      <c r="G2369" s="121"/>
      <c r="H2369" s="121"/>
    </row>
    <row r="2370" spans="3:8" x14ac:dyDescent="0.2">
      <c r="C2370" s="121"/>
      <c r="E2370" s="121"/>
      <c r="F2370" s="121"/>
      <c r="G2370" s="121"/>
      <c r="H2370" s="121"/>
    </row>
    <row r="2371" spans="3:8" x14ac:dyDescent="0.2">
      <c r="C2371" s="121"/>
      <c r="E2371" s="121"/>
      <c r="F2371" s="121"/>
      <c r="G2371" s="121"/>
      <c r="H2371" s="121"/>
    </row>
    <row r="2372" spans="3:8" x14ac:dyDescent="0.2">
      <c r="C2372" s="121"/>
      <c r="E2372" s="121"/>
      <c r="F2372" s="121"/>
      <c r="G2372" s="121"/>
      <c r="H2372" s="121"/>
    </row>
    <row r="2373" spans="3:8" x14ac:dyDescent="0.2">
      <c r="C2373" s="121"/>
      <c r="E2373" s="121"/>
      <c r="F2373" s="121"/>
      <c r="G2373" s="121"/>
      <c r="H2373" s="121"/>
    </row>
    <row r="2374" spans="3:8" x14ac:dyDescent="0.2">
      <c r="C2374" s="121"/>
      <c r="E2374" s="121"/>
      <c r="F2374" s="121"/>
      <c r="G2374" s="121"/>
      <c r="H2374" s="121"/>
    </row>
    <row r="2375" spans="3:8" x14ac:dyDescent="0.2">
      <c r="C2375" s="121"/>
      <c r="E2375" s="121"/>
      <c r="F2375" s="121"/>
      <c r="G2375" s="121"/>
      <c r="H2375" s="121"/>
    </row>
    <row r="2376" spans="3:8" x14ac:dyDescent="0.2">
      <c r="C2376" s="121"/>
      <c r="E2376" s="121"/>
      <c r="F2376" s="121"/>
      <c r="G2376" s="121"/>
      <c r="H2376" s="121"/>
    </row>
    <row r="2377" spans="3:8" x14ac:dyDescent="0.2">
      <c r="C2377" s="121"/>
      <c r="E2377" s="121"/>
      <c r="F2377" s="121"/>
      <c r="G2377" s="121"/>
      <c r="H2377" s="121"/>
    </row>
    <row r="2378" spans="3:8" x14ac:dyDescent="0.2">
      <c r="C2378" s="121"/>
      <c r="E2378" s="121"/>
      <c r="F2378" s="121"/>
      <c r="G2378" s="121"/>
      <c r="H2378" s="121"/>
    </row>
    <row r="2379" spans="3:8" x14ac:dyDescent="0.2">
      <c r="C2379" s="121"/>
      <c r="E2379" s="121"/>
      <c r="F2379" s="121"/>
      <c r="G2379" s="121"/>
      <c r="H2379" s="121"/>
    </row>
    <row r="2380" spans="3:8" x14ac:dyDescent="0.2">
      <c r="C2380" s="121"/>
      <c r="E2380" s="121"/>
      <c r="F2380" s="121"/>
      <c r="G2380" s="121"/>
      <c r="H2380" s="121"/>
    </row>
    <row r="2381" spans="3:8" x14ac:dyDescent="0.2">
      <c r="C2381" s="121"/>
      <c r="E2381" s="121"/>
      <c r="F2381" s="121"/>
      <c r="G2381" s="121"/>
      <c r="H2381" s="121"/>
    </row>
    <row r="2382" spans="3:8" x14ac:dyDescent="0.2">
      <c r="C2382" s="121"/>
      <c r="E2382" s="121"/>
      <c r="F2382" s="121"/>
      <c r="G2382" s="121"/>
      <c r="H2382" s="121"/>
    </row>
    <row r="2383" spans="3:8" x14ac:dyDescent="0.2">
      <c r="C2383" s="121"/>
      <c r="E2383" s="121"/>
      <c r="F2383" s="121"/>
      <c r="G2383" s="121"/>
      <c r="H2383" s="121"/>
    </row>
    <row r="2384" spans="3:8" x14ac:dyDescent="0.2">
      <c r="C2384" s="121"/>
      <c r="E2384" s="121"/>
      <c r="F2384" s="121"/>
      <c r="G2384" s="121"/>
      <c r="H2384" s="121"/>
    </row>
    <row r="2385" spans="3:8" x14ac:dyDescent="0.2">
      <c r="C2385" s="121"/>
      <c r="E2385" s="121"/>
      <c r="F2385" s="121"/>
      <c r="G2385" s="121"/>
      <c r="H2385" s="121"/>
    </row>
    <row r="2386" spans="3:8" x14ac:dyDescent="0.2">
      <c r="C2386" s="121"/>
      <c r="E2386" s="121"/>
      <c r="F2386" s="121"/>
      <c r="G2386" s="121"/>
      <c r="H2386" s="121"/>
    </row>
    <row r="2387" spans="3:8" x14ac:dyDescent="0.2">
      <c r="C2387" s="121"/>
      <c r="E2387" s="121"/>
      <c r="F2387" s="121"/>
      <c r="G2387" s="121"/>
      <c r="H2387" s="121"/>
    </row>
    <row r="2388" spans="3:8" x14ac:dyDescent="0.2">
      <c r="C2388" s="121"/>
      <c r="E2388" s="121"/>
      <c r="F2388" s="121"/>
      <c r="G2388" s="121"/>
      <c r="H2388" s="121"/>
    </row>
    <row r="2389" spans="3:8" x14ac:dyDescent="0.2">
      <c r="C2389" s="121"/>
      <c r="E2389" s="121"/>
      <c r="F2389" s="121"/>
      <c r="G2389" s="121"/>
      <c r="H2389" s="121"/>
    </row>
    <row r="2390" spans="3:8" x14ac:dyDescent="0.2">
      <c r="C2390" s="121"/>
      <c r="E2390" s="121"/>
      <c r="F2390" s="121"/>
      <c r="G2390" s="121"/>
      <c r="H2390" s="121"/>
    </row>
    <row r="2391" spans="3:8" x14ac:dyDescent="0.2">
      <c r="C2391" s="121"/>
      <c r="E2391" s="121"/>
      <c r="F2391" s="121"/>
      <c r="G2391" s="121"/>
      <c r="H2391" s="121"/>
    </row>
    <row r="2392" spans="3:8" x14ac:dyDescent="0.2">
      <c r="C2392" s="121"/>
      <c r="E2392" s="121"/>
      <c r="F2392" s="121"/>
      <c r="G2392" s="121"/>
      <c r="H2392" s="121"/>
    </row>
    <row r="2393" spans="3:8" x14ac:dyDescent="0.2">
      <c r="C2393" s="121"/>
      <c r="E2393" s="121"/>
      <c r="F2393" s="121"/>
      <c r="G2393" s="121"/>
      <c r="H2393" s="121"/>
    </row>
    <row r="2394" spans="3:8" x14ac:dyDescent="0.2">
      <c r="C2394" s="121"/>
      <c r="E2394" s="121"/>
      <c r="F2394" s="121"/>
      <c r="G2394" s="121"/>
      <c r="H2394" s="121"/>
    </row>
    <row r="2395" spans="3:8" x14ac:dyDescent="0.2">
      <c r="C2395" s="121"/>
      <c r="E2395" s="121"/>
      <c r="F2395" s="121"/>
      <c r="G2395" s="121"/>
      <c r="H2395" s="121"/>
    </row>
    <row r="2396" spans="3:8" x14ac:dyDescent="0.2">
      <c r="C2396" s="121"/>
      <c r="E2396" s="121"/>
      <c r="F2396" s="121"/>
      <c r="G2396" s="121"/>
      <c r="H2396" s="121"/>
    </row>
    <row r="2397" spans="3:8" x14ac:dyDescent="0.2">
      <c r="C2397" s="121"/>
      <c r="E2397" s="121"/>
      <c r="F2397" s="121"/>
      <c r="G2397" s="121"/>
      <c r="H2397" s="121"/>
    </row>
    <row r="2398" spans="3:8" x14ac:dyDescent="0.2">
      <c r="C2398" s="121"/>
      <c r="E2398" s="121"/>
      <c r="F2398" s="121"/>
      <c r="G2398" s="121"/>
      <c r="H2398" s="121"/>
    </row>
    <row r="2399" spans="3:8" x14ac:dyDescent="0.2">
      <c r="C2399" s="121"/>
      <c r="E2399" s="121"/>
      <c r="F2399" s="121"/>
      <c r="G2399" s="121"/>
      <c r="H2399" s="121"/>
    </row>
    <row r="2400" spans="3:8" x14ac:dyDescent="0.2">
      <c r="C2400" s="121"/>
      <c r="E2400" s="121"/>
      <c r="F2400" s="121"/>
      <c r="G2400" s="121"/>
      <c r="H2400" s="121"/>
    </row>
    <row r="2401" spans="3:8" x14ac:dyDescent="0.2">
      <c r="C2401" s="121"/>
      <c r="E2401" s="121"/>
      <c r="F2401" s="121"/>
      <c r="G2401" s="121"/>
      <c r="H2401" s="121"/>
    </row>
    <row r="2402" spans="3:8" x14ac:dyDescent="0.2">
      <c r="C2402" s="121"/>
      <c r="E2402" s="121"/>
      <c r="F2402" s="121"/>
      <c r="G2402" s="121"/>
      <c r="H2402" s="121"/>
    </row>
    <row r="2403" spans="3:8" x14ac:dyDescent="0.2">
      <c r="C2403" s="121"/>
      <c r="E2403" s="121"/>
      <c r="F2403" s="121"/>
      <c r="G2403" s="121"/>
      <c r="H2403" s="121"/>
    </row>
    <row r="2404" spans="3:8" x14ac:dyDescent="0.2">
      <c r="C2404" s="121"/>
      <c r="E2404" s="121"/>
      <c r="F2404" s="121"/>
      <c r="G2404" s="121"/>
      <c r="H2404" s="121"/>
    </row>
    <row r="2405" spans="3:8" x14ac:dyDescent="0.2">
      <c r="C2405" s="121"/>
      <c r="E2405" s="121"/>
      <c r="F2405" s="121"/>
      <c r="G2405" s="121"/>
      <c r="H2405" s="121"/>
    </row>
    <row r="2406" spans="3:8" x14ac:dyDescent="0.2">
      <c r="C2406" s="121"/>
      <c r="E2406" s="121"/>
      <c r="F2406" s="121"/>
      <c r="G2406" s="121"/>
      <c r="H2406" s="121"/>
    </row>
    <row r="2407" spans="3:8" x14ac:dyDescent="0.2">
      <c r="C2407" s="121"/>
      <c r="E2407" s="121"/>
      <c r="F2407" s="121"/>
      <c r="G2407" s="121"/>
      <c r="H2407" s="121"/>
    </row>
    <row r="2408" spans="3:8" x14ac:dyDescent="0.2">
      <c r="C2408" s="121"/>
      <c r="E2408" s="121"/>
      <c r="F2408" s="121"/>
      <c r="G2408" s="121"/>
      <c r="H2408" s="121"/>
    </row>
    <row r="2409" spans="3:8" x14ac:dyDescent="0.2">
      <c r="C2409" s="121"/>
      <c r="E2409" s="121"/>
      <c r="F2409" s="121"/>
      <c r="G2409" s="121"/>
      <c r="H2409" s="121"/>
    </row>
    <row r="2410" spans="3:8" x14ac:dyDescent="0.2">
      <c r="C2410" s="121"/>
      <c r="E2410" s="121"/>
      <c r="F2410" s="121"/>
      <c r="G2410" s="121"/>
      <c r="H2410" s="121"/>
    </row>
    <row r="2411" spans="3:8" x14ac:dyDescent="0.2">
      <c r="C2411" s="121"/>
      <c r="E2411" s="121"/>
      <c r="F2411" s="121"/>
      <c r="G2411" s="121"/>
      <c r="H2411" s="121"/>
    </row>
    <row r="2412" spans="3:8" x14ac:dyDescent="0.2">
      <c r="C2412" s="121"/>
      <c r="E2412" s="121"/>
      <c r="F2412" s="121"/>
      <c r="G2412" s="121"/>
      <c r="H2412" s="121"/>
    </row>
    <row r="2413" spans="3:8" x14ac:dyDescent="0.2">
      <c r="C2413" s="121"/>
      <c r="E2413" s="121"/>
      <c r="F2413" s="121"/>
      <c r="G2413" s="121"/>
      <c r="H2413" s="121"/>
    </row>
    <row r="2414" spans="3:8" x14ac:dyDescent="0.2">
      <c r="C2414" s="121"/>
      <c r="E2414" s="121"/>
      <c r="F2414" s="121"/>
      <c r="G2414" s="121"/>
      <c r="H2414" s="121"/>
    </row>
    <row r="2415" spans="3:8" x14ac:dyDescent="0.2">
      <c r="C2415" s="121"/>
      <c r="E2415" s="121"/>
      <c r="F2415" s="121"/>
      <c r="G2415" s="121"/>
      <c r="H2415" s="121"/>
    </row>
    <row r="2416" spans="3:8" x14ac:dyDescent="0.2">
      <c r="C2416" s="121"/>
      <c r="E2416" s="121"/>
      <c r="F2416" s="121"/>
      <c r="G2416" s="121"/>
      <c r="H2416" s="121"/>
    </row>
    <row r="2417" spans="3:8" x14ac:dyDescent="0.2">
      <c r="C2417" s="121"/>
      <c r="E2417" s="121"/>
      <c r="F2417" s="121"/>
      <c r="G2417" s="121"/>
      <c r="H2417" s="121"/>
    </row>
    <row r="2418" spans="3:8" x14ac:dyDescent="0.2">
      <c r="C2418" s="121"/>
      <c r="E2418" s="121"/>
      <c r="F2418" s="121"/>
      <c r="G2418" s="121"/>
      <c r="H2418" s="121"/>
    </row>
    <row r="2419" spans="3:8" x14ac:dyDescent="0.2">
      <c r="C2419" s="121"/>
      <c r="E2419" s="121"/>
      <c r="F2419" s="121"/>
      <c r="G2419" s="121"/>
      <c r="H2419" s="121"/>
    </row>
    <row r="2420" spans="3:8" x14ac:dyDescent="0.2">
      <c r="C2420" s="121"/>
      <c r="E2420" s="121"/>
      <c r="F2420" s="121"/>
      <c r="G2420" s="121"/>
      <c r="H2420" s="121"/>
    </row>
    <row r="2421" spans="3:8" x14ac:dyDescent="0.2">
      <c r="C2421" s="121"/>
      <c r="E2421" s="121"/>
      <c r="F2421" s="121"/>
      <c r="G2421" s="121"/>
      <c r="H2421" s="121"/>
    </row>
    <row r="2422" spans="3:8" x14ac:dyDescent="0.2">
      <c r="C2422" s="121"/>
      <c r="E2422" s="121"/>
      <c r="F2422" s="121"/>
      <c r="G2422" s="121"/>
      <c r="H2422" s="121"/>
    </row>
    <row r="2423" spans="3:8" x14ac:dyDescent="0.2">
      <c r="C2423" s="121"/>
      <c r="E2423" s="121"/>
      <c r="F2423" s="121"/>
      <c r="G2423" s="121"/>
      <c r="H2423" s="121"/>
    </row>
    <row r="2424" spans="3:8" x14ac:dyDescent="0.2">
      <c r="C2424" s="121"/>
      <c r="E2424" s="121"/>
      <c r="F2424" s="121"/>
      <c r="G2424" s="121"/>
      <c r="H2424" s="121"/>
    </row>
    <row r="2425" spans="3:8" x14ac:dyDescent="0.2">
      <c r="C2425" s="121"/>
      <c r="E2425" s="121"/>
      <c r="F2425" s="121"/>
      <c r="G2425" s="121"/>
      <c r="H2425" s="121"/>
    </row>
    <row r="2426" spans="3:8" x14ac:dyDescent="0.2">
      <c r="C2426" s="121"/>
      <c r="E2426" s="121"/>
      <c r="F2426" s="121"/>
      <c r="G2426" s="121"/>
      <c r="H2426" s="121"/>
    </row>
    <row r="2427" spans="3:8" x14ac:dyDescent="0.2">
      <c r="C2427" s="121"/>
      <c r="E2427" s="121"/>
      <c r="F2427" s="121"/>
      <c r="G2427" s="121"/>
      <c r="H2427" s="121"/>
    </row>
    <row r="2428" spans="3:8" x14ac:dyDescent="0.2">
      <c r="C2428" s="121"/>
      <c r="E2428" s="121"/>
      <c r="F2428" s="121"/>
      <c r="G2428" s="121"/>
      <c r="H2428" s="121"/>
    </row>
    <row r="2429" spans="3:8" x14ac:dyDescent="0.2">
      <c r="C2429" s="121"/>
      <c r="E2429" s="121"/>
      <c r="F2429" s="121"/>
      <c r="G2429" s="121"/>
      <c r="H2429" s="121"/>
    </row>
    <row r="2430" spans="3:8" x14ac:dyDescent="0.2">
      <c r="C2430" s="121"/>
      <c r="E2430" s="121"/>
      <c r="F2430" s="121"/>
      <c r="G2430" s="121"/>
      <c r="H2430" s="121"/>
    </row>
    <row r="2431" spans="3:8" x14ac:dyDescent="0.2">
      <c r="C2431" s="121"/>
      <c r="E2431" s="121"/>
      <c r="F2431" s="121"/>
      <c r="G2431" s="121"/>
      <c r="H2431" s="121"/>
    </row>
    <row r="2432" spans="3:8" x14ac:dyDescent="0.2">
      <c r="C2432" s="121"/>
      <c r="E2432" s="121"/>
      <c r="F2432" s="121"/>
      <c r="G2432" s="121"/>
      <c r="H2432" s="121"/>
    </row>
    <row r="2433" spans="3:8" x14ac:dyDescent="0.2">
      <c r="C2433" s="121"/>
      <c r="E2433" s="121"/>
      <c r="F2433" s="121"/>
      <c r="G2433" s="121"/>
      <c r="H2433" s="121"/>
    </row>
    <row r="2434" spans="3:8" x14ac:dyDescent="0.2">
      <c r="C2434" s="121"/>
      <c r="E2434" s="121"/>
      <c r="F2434" s="121"/>
      <c r="G2434" s="121"/>
      <c r="H2434" s="121"/>
    </row>
    <row r="2435" spans="3:8" x14ac:dyDescent="0.2">
      <c r="C2435" s="121"/>
      <c r="E2435" s="121"/>
      <c r="F2435" s="121"/>
      <c r="G2435" s="121"/>
      <c r="H2435" s="121"/>
    </row>
    <row r="2436" spans="3:8" x14ac:dyDescent="0.2">
      <c r="C2436" s="121"/>
      <c r="E2436" s="121"/>
      <c r="F2436" s="121"/>
      <c r="G2436" s="121"/>
      <c r="H2436" s="121"/>
    </row>
    <row r="2437" spans="3:8" x14ac:dyDescent="0.2">
      <c r="C2437" s="121"/>
      <c r="E2437" s="121"/>
      <c r="F2437" s="121"/>
      <c r="G2437" s="121"/>
      <c r="H2437" s="121"/>
    </row>
    <row r="2438" spans="3:8" x14ac:dyDescent="0.2">
      <c r="C2438" s="121"/>
      <c r="E2438" s="121"/>
      <c r="F2438" s="121"/>
      <c r="G2438" s="121"/>
      <c r="H2438" s="121"/>
    </row>
    <row r="2439" spans="3:8" x14ac:dyDescent="0.2">
      <c r="C2439" s="121"/>
      <c r="E2439" s="121"/>
      <c r="F2439" s="121"/>
      <c r="G2439" s="121"/>
      <c r="H2439" s="121"/>
    </row>
    <row r="2440" spans="3:8" x14ac:dyDescent="0.2">
      <c r="C2440" s="121"/>
      <c r="E2440" s="121"/>
      <c r="F2440" s="121"/>
      <c r="G2440" s="121"/>
      <c r="H2440" s="121"/>
    </row>
    <row r="2441" spans="3:8" x14ac:dyDescent="0.2">
      <c r="C2441" s="121"/>
      <c r="E2441" s="121"/>
      <c r="F2441" s="121"/>
      <c r="G2441" s="121"/>
      <c r="H2441" s="121"/>
    </row>
    <row r="2442" spans="3:8" x14ac:dyDescent="0.2">
      <c r="C2442" s="121"/>
      <c r="E2442" s="121"/>
      <c r="F2442" s="121"/>
      <c r="G2442" s="121"/>
      <c r="H2442" s="121"/>
    </row>
    <row r="2443" spans="3:8" x14ac:dyDescent="0.2">
      <c r="C2443" s="121"/>
      <c r="E2443" s="121"/>
      <c r="F2443" s="121"/>
      <c r="G2443" s="121"/>
      <c r="H2443" s="121"/>
    </row>
    <row r="2444" spans="3:8" x14ac:dyDescent="0.2">
      <c r="C2444" s="121"/>
      <c r="E2444" s="121"/>
      <c r="F2444" s="121"/>
      <c r="G2444" s="121"/>
      <c r="H2444" s="121"/>
    </row>
    <row r="2445" spans="3:8" x14ac:dyDescent="0.2">
      <c r="C2445" s="121"/>
      <c r="E2445" s="121"/>
      <c r="F2445" s="121"/>
      <c r="G2445" s="121"/>
      <c r="H2445" s="121"/>
    </row>
    <row r="2446" spans="3:8" x14ac:dyDescent="0.2">
      <c r="C2446" s="121"/>
      <c r="E2446" s="121"/>
      <c r="F2446" s="121"/>
      <c r="G2446" s="121"/>
      <c r="H2446" s="121"/>
    </row>
    <row r="2447" spans="3:8" x14ac:dyDescent="0.2">
      <c r="C2447" s="121"/>
      <c r="E2447" s="121"/>
      <c r="F2447" s="121"/>
      <c r="G2447" s="121"/>
      <c r="H2447" s="121"/>
    </row>
    <row r="2448" spans="3:8" x14ac:dyDescent="0.2">
      <c r="C2448" s="121"/>
      <c r="E2448" s="121"/>
      <c r="F2448" s="121"/>
      <c r="G2448" s="121"/>
      <c r="H2448" s="121"/>
    </row>
    <row r="2449" spans="3:8" x14ac:dyDescent="0.2">
      <c r="C2449" s="121"/>
      <c r="E2449" s="121"/>
      <c r="F2449" s="121"/>
      <c r="G2449" s="121"/>
      <c r="H2449" s="121"/>
    </row>
    <row r="2450" spans="3:8" x14ac:dyDescent="0.2">
      <c r="C2450" s="121"/>
      <c r="E2450" s="121"/>
      <c r="F2450" s="121"/>
      <c r="G2450" s="121"/>
      <c r="H2450" s="121"/>
    </row>
    <row r="2451" spans="3:8" x14ac:dyDescent="0.2">
      <c r="C2451" s="121"/>
      <c r="E2451" s="121"/>
      <c r="F2451" s="121"/>
      <c r="G2451" s="121"/>
      <c r="H2451" s="121"/>
    </row>
    <row r="2452" spans="3:8" x14ac:dyDescent="0.2">
      <c r="C2452" s="121"/>
      <c r="E2452" s="121"/>
      <c r="F2452" s="121"/>
      <c r="G2452" s="121"/>
      <c r="H2452" s="121"/>
    </row>
    <row r="2453" spans="3:8" x14ac:dyDescent="0.2">
      <c r="C2453" s="121"/>
      <c r="E2453" s="121"/>
      <c r="F2453" s="121"/>
      <c r="G2453" s="121"/>
      <c r="H2453" s="121"/>
    </row>
    <row r="2454" spans="3:8" x14ac:dyDescent="0.2">
      <c r="C2454" s="121"/>
      <c r="E2454" s="121"/>
      <c r="F2454" s="121"/>
      <c r="G2454" s="121"/>
      <c r="H2454" s="121"/>
    </row>
    <row r="2455" spans="3:8" x14ac:dyDescent="0.2">
      <c r="C2455" s="121"/>
      <c r="E2455" s="121"/>
      <c r="F2455" s="121"/>
      <c r="G2455" s="121"/>
      <c r="H2455" s="121"/>
    </row>
    <row r="2456" spans="3:8" x14ac:dyDescent="0.2">
      <c r="C2456" s="121"/>
      <c r="E2456" s="121"/>
      <c r="F2456" s="121"/>
      <c r="G2456" s="121"/>
      <c r="H2456" s="121"/>
    </row>
    <row r="2457" spans="3:8" x14ac:dyDescent="0.2">
      <c r="C2457" s="121"/>
      <c r="E2457" s="121"/>
      <c r="F2457" s="121"/>
      <c r="G2457" s="121"/>
      <c r="H2457" s="121"/>
    </row>
    <row r="2458" spans="3:8" x14ac:dyDescent="0.2">
      <c r="C2458" s="121"/>
      <c r="E2458" s="121"/>
      <c r="F2458" s="121"/>
      <c r="G2458" s="121"/>
      <c r="H2458" s="121"/>
    </row>
    <row r="2459" spans="3:8" x14ac:dyDescent="0.2">
      <c r="C2459" s="121"/>
      <c r="E2459" s="121"/>
      <c r="F2459" s="121"/>
      <c r="G2459" s="121"/>
      <c r="H2459" s="121"/>
    </row>
    <row r="2460" spans="3:8" x14ac:dyDescent="0.2">
      <c r="C2460" s="121"/>
      <c r="E2460" s="121"/>
      <c r="F2460" s="121"/>
      <c r="G2460" s="121"/>
      <c r="H2460" s="121"/>
    </row>
    <row r="2461" spans="3:8" x14ac:dyDescent="0.2">
      <c r="C2461" s="121"/>
      <c r="E2461" s="121"/>
      <c r="F2461" s="121"/>
      <c r="G2461" s="121"/>
      <c r="H2461" s="121"/>
    </row>
    <row r="2462" spans="3:8" x14ac:dyDescent="0.2">
      <c r="C2462" s="121"/>
      <c r="E2462" s="121"/>
      <c r="F2462" s="121"/>
      <c r="G2462" s="121"/>
      <c r="H2462" s="121"/>
    </row>
    <row r="2463" spans="3:8" x14ac:dyDescent="0.2">
      <c r="C2463" s="121"/>
      <c r="E2463" s="121"/>
      <c r="F2463" s="121"/>
      <c r="G2463" s="121"/>
      <c r="H2463" s="121"/>
    </row>
    <row r="2464" spans="3:8" x14ac:dyDescent="0.2">
      <c r="C2464" s="121"/>
      <c r="E2464" s="121"/>
      <c r="F2464" s="121"/>
      <c r="G2464" s="121"/>
      <c r="H2464" s="121"/>
    </row>
    <row r="2465" spans="3:8" x14ac:dyDescent="0.2">
      <c r="C2465" s="121"/>
      <c r="E2465" s="121"/>
      <c r="F2465" s="121"/>
      <c r="G2465" s="121"/>
      <c r="H2465" s="121"/>
    </row>
    <row r="2466" spans="3:8" x14ac:dyDescent="0.2">
      <c r="C2466" s="121"/>
      <c r="E2466" s="121"/>
      <c r="F2466" s="121"/>
      <c r="G2466" s="121"/>
      <c r="H2466" s="121"/>
    </row>
    <row r="2467" spans="3:8" x14ac:dyDescent="0.2">
      <c r="C2467" s="121"/>
      <c r="E2467" s="121"/>
      <c r="F2467" s="121"/>
      <c r="G2467" s="121"/>
      <c r="H2467" s="121"/>
    </row>
    <row r="2468" spans="3:8" x14ac:dyDescent="0.2">
      <c r="C2468" s="121"/>
      <c r="E2468" s="121"/>
      <c r="F2468" s="121"/>
      <c r="G2468" s="121"/>
      <c r="H2468" s="121"/>
    </row>
    <row r="2469" spans="3:8" x14ac:dyDescent="0.2">
      <c r="C2469" s="121"/>
      <c r="E2469" s="121"/>
      <c r="F2469" s="121"/>
      <c r="G2469" s="121"/>
      <c r="H2469" s="121"/>
    </row>
    <row r="2470" spans="3:8" x14ac:dyDescent="0.2">
      <c r="C2470" s="121"/>
      <c r="E2470" s="121"/>
      <c r="F2470" s="121"/>
      <c r="G2470" s="121"/>
      <c r="H2470" s="121"/>
    </row>
    <row r="2471" spans="3:8" x14ac:dyDescent="0.2">
      <c r="C2471" s="121"/>
      <c r="E2471" s="121"/>
      <c r="F2471" s="121"/>
      <c r="G2471" s="121"/>
      <c r="H2471" s="121"/>
    </row>
    <row r="2472" spans="3:8" x14ac:dyDescent="0.2">
      <c r="C2472" s="121"/>
      <c r="E2472" s="121"/>
      <c r="F2472" s="121"/>
      <c r="G2472" s="121"/>
      <c r="H2472" s="121"/>
    </row>
    <row r="2473" spans="3:8" x14ac:dyDescent="0.2">
      <c r="C2473" s="121"/>
      <c r="E2473" s="121"/>
      <c r="F2473" s="121"/>
      <c r="G2473" s="121"/>
      <c r="H2473" s="121"/>
    </row>
    <row r="2474" spans="3:8" x14ac:dyDescent="0.2">
      <c r="C2474" s="121"/>
      <c r="E2474" s="121"/>
      <c r="F2474" s="121"/>
      <c r="G2474" s="121"/>
      <c r="H2474" s="121"/>
    </row>
    <row r="2475" spans="3:8" x14ac:dyDescent="0.2">
      <c r="C2475" s="121"/>
      <c r="E2475" s="121"/>
      <c r="F2475" s="121"/>
      <c r="G2475" s="121"/>
      <c r="H2475" s="121"/>
    </row>
    <row r="2476" spans="3:8" x14ac:dyDescent="0.2">
      <c r="C2476" s="121"/>
      <c r="E2476" s="121"/>
      <c r="F2476" s="121"/>
      <c r="G2476" s="121"/>
      <c r="H2476" s="121"/>
    </row>
    <row r="2477" spans="3:8" x14ac:dyDescent="0.2">
      <c r="C2477" s="121"/>
      <c r="E2477" s="121"/>
      <c r="F2477" s="121"/>
      <c r="G2477" s="121"/>
      <c r="H2477" s="121"/>
    </row>
    <row r="2478" spans="3:8" x14ac:dyDescent="0.2">
      <c r="C2478" s="121"/>
      <c r="E2478" s="121"/>
      <c r="F2478" s="121"/>
      <c r="G2478" s="121"/>
      <c r="H2478" s="121"/>
    </row>
    <row r="2479" spans="3:8" x14ac:dyDescent="0.2">
      <c r="C2479" s="121"/>
      <c r="E2479" s="121"/>
      <c r="F2479" s="121"/>
      <c r="G2479" s="121"/>
      <c r="H2479" s="121"/>
    </row>
    <row r="2480" spans="3:8" x14ac:dyDescent="0.2">
      <c r="C2480" s="121"/>
      <c r="E2480" s="121"/>
      <c r="F2480" s="121"/>
      <c r="G2480" s="121"/>
      <c r="H2480" s="121"/>
    </row>
    <row r="2481" spans="3:8" x14ac:dyDescent="0.2">
      <c r="C2481" s="121"/>
      <c r="E2481" s="121"/>
      <c r="F2481" s="121"/>
      <c r="G2481" s="121"/>
      <c r="H2481" s="121"/>
    </row>
    <row r="2482" spans="3:8" x14ac:dyDescent="0.2">
      <c r="C2482" s="121"/>
      <c r="E2482" s="121"/>
      <c r="F2482" s="121"/>
      <c r="G2482" s="121"/>
      <c r="H2482" s="121"/>
    </row>
    <row r="2483" spans="3:8" x14ac:dyDescent="0.2">
      <c r="C2483" s="121"/>
      <c r="E2483" s="121"/>
      <c r="F2483" s="121"/>
      <c r="G2483" s="121"/>
      <c r="H2483" s="121"/>
    </row>
    <row r="2484" spans="3:8" x14ac:dyDescent="0.2">
      <c r="C2484" s="121"/>
      <c r="E2484" s="121"/>
      <c r="F2484" s="121"/>
      <c r="G2484" s="121"/>
      <c r="H2484" s="121"/>
    </row>
    <row r="2485" spans="3:8" x14ac:dyDescent="0.2">
      <c r="C2485" s="121"/>
      <c r="E2485" s="121"/>
      <c r="F2485" s="121"/>
      <c r="G2485" s="121"/>
      <c r="H2485" s="121"/>
    </row>
    <row r="2486" spans="3:8" x14ac:dyDescent="0.2">
      <c r="C2486" s="121"/>
      <c r="E2486" s="121"/>
      <c r="F2486" s="121"/>
      <c r="G2486" s="121"/>
      <c r="H2486" s="121"/>
    </row>
    <row r="2487" spans="3:8" x14ac:dyDescent="0.2">
      <c r="C2487" s="121"/>
      <c r="E2487" s="121"/>
      <c r="F2487" s="121"/>
      <c r="G2487" s="121"/>
      <c r="H2487" s="121"/>
    </row>
    <row r="2488" spans="3:8" x14ac:dyDescent="0.2">
      <c r="C2488" s="121"/>
      <c r="E2488" s="121"/>
      <c r="F2488" s="121"/>
      <c r="G2488" s="121"/>
      <c r="H2488" s="121"/>
    </row>
    <row r="2489" spans="3:8" x14ac:dyDescent="0.2">
      <c r="C2489" s="121"/>
      <c r="E2489" s="121"/>
      <c r="F2489" s="121"/>
      <c r="G2489" s="121"/>
      <c r="H2489" s="121"/>
    </row>
    <row r="2490" spans="3:8" x14ac:dyDescent="0.2">
      <c r="C2490" s="121"/>
      <c r="E2490" s="121"/>
      <c r="F2490" s="121"/>
      <c r="G2490" s="121"/>
      <c r="H2490" s="121"/>
    </row>
    <row r="2491" spans="3:8" x14ac:dyDescent="0.2">
      <c r="C2491" s="121"/>
      <c r="E2491" s="121"/>
      <c r="F2491" s="121"/>
      <c r="G2491" s="121"/>
      <c r="H2491" s="121"/>
    </row>
    <row r="2492" spans="3:8" x14ac:dyDescent="0.2">
      <c r="C2492" s="121"/>
      <c r="E2492" s="121"/>
      <c r="F2492" s="121"/>
      <c r="G2492" s="121"/>
      <c r="H2492" s="121"/>
    </row>
    <row r="2493" spans="3:8" x14ac:dyDescent="0.2">
      <c r="C2493" s="121"/>
      <c r="E2493" s="121"/>
      <c r="F2493" s="121"/>
      <c r="G2493" s="121"/>
      <c r="H2493" s="121"/>
    </row>
    <row r="2494" spans="3:8" x14ac:dyDescent="0.2">
      <c r="C2494" s="121"/>
      <c r="E2494" s="121"/>
      <c r="F2494" s="121"/>
      <c r="G2494" s="121"/>
      <c r="H2494" s="121"/>
    </row>
    <row r="2495" spans="3:8" x14ac:dyDescent="0.2">
      <c r="C2495" s="121"/>
      <c r="E2495" s="121"/>
      <c r="F2495" s="121"/>
      <c r="G2495" s="121"/>
      <c r="H2495" s="121"/>
    </row>
    <row r="2496" spans="3:8" x14ac:dyDescent="0.2">
      <c r="C2496" s="121"/>
      <c r="E2496" s="121"/>
      <c r="F2496" s="121"/>
      <c r="G2496" s="121"/>
      <c r="H2496" s="121"/>
    </row>
    <row r="2497" spans="3:8" x14ac:dyDescent="0.2">
      <c r="C2497" s="121"/>
      <c r="E2497" s="121"/>
      <c r="F2497" s="121"/>
      <c r="G2497" s="121"/>
      <c r="H2497" s="121"/>
    </row>
    <row r="2498" spans="3:8" x14ac:dyDescent="0.2">
      <c r="C2498" s="121"/>
      <c r="E2498" s="121"/>
      <c r="F2498" s="121"/>
      <c r="G2498" s="121"/>
      <c r="H2498" s="121"/>
    </row>
    <row r="2499" spans="3:8" x14ac:dyDescent="0.2">
      <c r="C2499" s="121"/>
      <c r="E2499" s="121"/>
      <c r="F2499" s="121"/>
      <c r="G2499" s="121"/>
      <c r="H2499" s="121"/>
    </row>
    <row r="2500" spans="3:8" x14ac:dyDescent="0.2">
      <c r="C2500" s="121"/>
      <c r="E2500" s="121"/>
      <c r="F2500" s="121"/>
      <c r="G2500" s="121"/>
      <c r="H2500" s="121"/>
    </row>
    <row r="2501" spans="3:8" x14ac:dyDescent="0.2">
      <c r="C2501" s="121"/>
      <c r="E2501" s="121"/>
      <c r="F2501" s="121"/>
      <c r="G2501" s="121"/>
      <c r="H2501" s="121"/>
    </row>
    <row r="2502" spans="3:8" x14ac:dyDescent="0.2">
      <c r="C2502" s="121"/>
      <c r="E2502" s="121"/>
      <c r="F2502" s="121"/>
      <c r="G2502" s="121"/>
      <c r="H2502" s="121"/>
    </row>
    <row r="2503" spans="3:8" x14ac:dyDescent="0.2">
      <c r="C2503" s="121"/>
      <c r="E2503" s="121"/>
      <c r="F2503" s="121"/>
      <c r="G2503" s="121"/>
      <c r="H2503" s="121"/>
    </row>
    <row r="2504" spans="3:8" x14ac:dyDescent="0.2">
      <c r="C2504" s="121"/>
      <c r="E2504" s="121"/>
      <c r="F2504" s="121"/>
      <c r="G2504" s="121"/>
      <c r="H2504" s="121"/>
    </row>
    <row r="2505" spans="3:8" x14ac:dyDescent="0.2">
      <c r="C2505" s="121"/>
      <c r="E2505" s="121"/>
      <c r="F2505" s="121"/>
      <c r="G2505" s="121"/>
      <c r="H2505" s="121"/>
    </row>
    <row r="2506" spans="3:8" x14ac:dyDescent="0.2">
      <c r="C2506" s="121"/>
      <c r="E2506" s="121"/>
      <c r="F2506" s="121"/>
      <c r="G2506" s="121"/>
      <c r="H2506" s="121"/>
    </row>
    <row r="2507" spans="3:8" x14ac:dyDescent="0.2">
      <c r="C2507" s="121"/>
      <c r="E2507" s="121"/>
      <c r="F2507" s="121"/>
      <c r="G2507" s="121"/>
      <c r="H2507" s="121"/>
    </row>
    <row r="2508" spans="3:8" x14ac:dyDescent="0.2">
      <c r="C2508" s="121"/>
      <c r="E2508" s="121"/>
      <c r="F2508" s="121"/>
      <c r="G2508" s="121"/>
      <c r="H2508" s="121"/>
    </row>
    <row r="2509" spans="3:8" x14ac:dyDescent="0.2">
      <c r="C2509" s="121"/>
      <c r="E2509" s="121"/>
      <c r="F2509" s="121"/>
      <c r="G2509" s="121"/>
      <c r="H2509" s="121"/>
    </row>
    <row r="2510" spans="3:8" x14ac:dyDescent="0.2">
      <c r="C2510" s="121"/>
      <c r="E2510" s="121"/>
      <c r="F2510" s="121"/>
      <c r="G2510" s="121"/>
      <c r="H2510" s="121"/>
    </row>
    <row r="2511" spans="3:8" x14ac:dyDescent="0.2">
      <c r="C2511" s="121"/>
      <c r="E2511" s="121"/>
      <c r="F2511" s="121"/>
      <c r="G2511" s="121"/>
      <c r="H2511" s="121"/>
    </row>
    <row r="2512" spans="3:8" x14ac:dyDescent="0.2">
      <c r="C2512" s="121"/>
      <c r="E2512" s="121"/>
      <c r="F2512" s="121"/>
      <c r="G2512" s="121"/>
      <c r="H2512" s="121"/>
    </row>
    <row r="2513" spans="3:8" x14ac:dyDescent="0.2">
      <c r="C2513" s="121"/>
      <c r="E2513" s="121"/>
      <c r="F2513" s="121"/>
      <c r="G2513" s="121"/>
      <c r="H2513" s="121"/>
    </row>
    <row r="2514" spans="3:8" x14ac:dyDescent="0.2">
      <c r="C2514" s="121"/>
      <c r="E2514" s="121"/>
      <c r="F2514" s="121"/>
      <c r="G2514" s="121"/>
      <c r="H2514" s="121"/>
    </row>
    <row r="2515" spans="3:8" x14ac:dyDescent="0.2">
      <c r="C2515" s="121"/>
      <c r="E2515" s="121"/>
      <c r="F2515" s="121"/>
      <c r="G2515" s="121"/>
      <c r="H2515" s="121"/>
    </row>
    <row r="2516" spans="3:8" x14ac:dyDescent="0.2">
      <c r="C2516" s="121"/>
      <c r="E2516" s="121"/>
      <c r="F2516" s="121"/>
      <c r="G2516" s="121"/>
      <c r="H2516" s="121"/>
    </row>
    <row r="2517" spans="3:8" x14ac:dyDescent="0.2">
      <c r="C2517" s="121"/>
      <c r="E2517" s="121"/>
      <c r="F2517" s="121"/>
      <c r="G2517" s="121"/>
      <c r="H2517" s="121"/>
    </row>
    <row r="2518" spans="3:8" x14ac:dyDescent="0.2">
      <c r="C2518" s="121"/>
      <c r="E2518" s="121"/>
      <c r="F2518" s="121"/>
      <c r="G2518" s="121"/>
      <c r="H2518" s="121"/>
    </row>
    <row r="2519" spans="3:8" x14ac:dyDescent="0.2">
      <c r="C2519" s="121"/>
      <c r="E2519" s="121"/>
      <c r="F2519" s="121"/>
      <c r="G2519" s="121"/>
      <c r="H2519" s="121"/>
    </row>
    <row r="2520" spans="3:8" x14ac:dyDescent="0.2">
      <c r="C2520" s="121"/>
      <c r="E2520" s="121"/>
      <c r="F2520" s="121"/>
      <c r="G2520" s="121"/>
      <c r="H2520" s="121"/>
    </row>
    <row r="2521" spans="3:8" x14ac:dyDescent="0.2">
      <c r="C2521" s="121"/>
      <c r="E2521" s="121"/>
      <c r="F2521" s="121"/>
      <c r="G2521" s="121"/>
      <c r="H2521" s="121"/>
    </row>
    <row r="2522" spans="3:8" x14ac:dyDescent="0.2">
      <c r="C2522" s="121"/>
      <c r="E2522" s="121"/>
      <c r="F2522" s="121"/>
      <c r="G2522" s="121"/>
      <c r="H2522" s="121"/>
    </row>
    <row r="2523" spans="3:8" x14ac:dyDescent="0.2">
      <c r="C2523" s="121"/>
      <c r="E2523" s="121"/>
      <c r="F2523" s="121"/>
      <c r="G2523" s="121"/>
      <c r="H2523" s="121"/>
    </row>
    <row r="2524" spans="3:8" x14ac:dyDescent="0.2">
      <c r="C2524" s="121"/>
      <c r="E2524" s="121"/>
      <c r="F2524" s="121"/>
      <c r="G2524" s="121"/>
      <c r="H2524" s="121"/>
    </row>
    <row r="2525" spans="3:8" x14ac:dyDescent="0.2">
      <c r="C2525" s="121"/>
      <c r="E2525" s="121"/>
      <c r="F2525" s="121"/>
      <c r="G2525" s="121"/>
      <c r="H2525" s="121"/>
    </row>
    <row r="2526" spans="3:8" x14ac:dyDescent="0.2">
      <c r="C2526" s="121"/>
      <c r="E2526" s="121"/>
      <c r="F2526" s="121"/>
      <c r="G2526" s="121"/>
      <c r="H2526" s="121"/>
    </row>
    <row r="2527" spans="3:8" x14ac:dyDescent="0.2">
      <c r="C2527" s="121"/>
      <c r="E2527" s="121"/>
      <c r="F2527" s="121"/>
      <c r="G2527" s="121"/>
      <c r="H2527" s="121"/>
    </row>
    <row r="2528" spans="3:8" x14ac:dyDescent="0.2">
      <c r="C2528" s="121"/>
      <c r="E2528" s="121"/>
      <c r="F2528" s="121"/>
      <c r="G2528" s="121"/>
      <c r="H2528" s="121"/>
    </row>
    <row r="2529" spans="3:8" x14ac:dyDescent="0.2">
      <c r="C2529" s="121"/>
      <c r="E2529" s="121"/>
      <c r="F2529" s="121"/>
      <c r="G2529" s="121"/>
      <c r="H2529" s="121"/>
    </row>
    <row r="2530" spans="3:8" x14ac:dyDescent="0.2">
      <c r="C2530" s="121"/>
      <c r="E2530" s="121"/>
      <c r="F2530" s="121"/>
      <c r="G2530" s="121"/>
      <c r="H2530" s="121"/>
    </row>
    <row r="2531" spans="3:8" x14ac:dyDescent="0.2">
      <c r="C2531" s="121"/>
      <c r="E2531" s="121"/>
      <c r="F2531" s="121"/>
      <c r="G2531" s="121"/>
      <c r="H2531" s="121"/>
    </row>
    <row r="2532" spans="3:8" x14ac:dyDescent="0.2">
      <c r="C2532" s="121"/>
      <c r="E2532" s="121"/>
      <c r="F2532" s="121"/>
      <c r="G2532" s="121"/>
      <c r="H2532" s="121"/>
    </row>
    <row r="2533" spans="3:8" x14ac:dyDescent="0.2">
      <c r="C2533" s="121"/>
      <c r="E2533" s="121"/>
      <c r="F2533" s="121"/>
      <c r="G2533" s="121"/>
      <c r="H2533" s="121"/>
    </row>
    <row r="2534" spans="3:8" x14ac:dyDescent="0.2">
      <c r="C2534" s="121"/>
      <c r="E2534" s="121"/>
      <c r="F2534" s="121"/>
      <c r="G2534" s="121"/>
      <c r="H2534" s="121"/>
    </row>
    <row r="2535" spans="3:8" x14ac:dyDescent="0.2">
      <c r="C2535" s="121"/>
      <c r="E2535" s="121"/>
      <c r="F2535" s="121"/>
      <c r="G2535" s="121"/>
      <c r="H2535" s="121"/>
    </row>
    <row r="2536" spans="3:8" x14ac:dyDescent="0.2">
      <c r="C2536" s="121"/>
      <c r="E2536" s="121"/>
      <c r="F2536" s="121"/>
      <c r="G2536" s="121"/>
      <c r="H2536" s="121"/>
    </row>
    <row r="2537" spans="3:8" x14ac:dyDescent="0.2">
      <c r="C2537" s="121"/>
      <c r="E2537" s="121"/>
      <c r="F2537" s="121"/>
      <c r="G2537" s="121"/>
      <c r="H2537" s="121"/>
    </row>
    <row r="2538" spans="3:8" x14ac:dyDescent="0.2">
      <c r="C2538" s="121"/>
      <c r="E2538" s="121"/>
      <c r="F2538" s="121"/>
      <c r="G2538" s="121"/>
      <c r="H2538" s="121"/>
    </row>
    <row r="2539" spans="3:8" x14ac:dyDescent="0.2">
      <c r="C2539" s="121"/>
      <c r="E2539" s="121"/>
      <c r="F2539" s="121"/>
      <c r="G2539" s="121"/>
      <c r="H2539" s="121"/>
    </row>
    <row r="2540" spans="3:8" x14ac:dyDescent="0.2">
      <c r="C2540" s="121"/>
      <c r="E2540" s="121"/>
      <c r="F2540" s="121"/>
      <c r="G2540" s="121"/>
      <c r="H2540" s="121"/>
    </row>
    <row r="2541" spans="3:8" x14ac:dyDescent="0.2">
      <c r="C2541" s="121"/>
      <c r="E2541" s="121"/>
      <c r="F2541" s="121"/>
      <c r="G2541" s="121"/>
      <c r="H2541" s="121"/>
    </row>
    <row r="2542" spans="3:8" x14ac:dyDescent="0.2">
      <c r="C2542" s="121"/>
      <c r="E2542" s="121"/>
      <c r="F2542" s="121"/>
      <c r="G2542" s="121"/>
      <c r="H2542" s="121"/>
    </row>
    <row r="2543" spans="3:8" x14ac:dyDescent="0.2">
      <c r="C2543" s="121"/>
      <c r="E2543" s="121"/>
      <c r="F2543" s="121"/>
      <c r="G2543" s="121"/>
      <c r="H2543" s="121"/>
    </row>
    <row r="2544" spans="3:8" x14ac:dyDescent="0.2">
      <c r="C2544" s="121"/>
      <c r="E2544" s="121"/>
      <c r="F2544" s="121"/>
      <c r="G2544" s="121"/>
      <c r="H2544" s="121"/>
    </row>
    <row r="2545" spans="3:8" x14ac:dyDescent="0.2">
      <c r="C2545" s="121"/>
      <c r="E2545" s="121"/>
      <c r="F2545" s="121"/>
      <c r="G2545" s="121"/>
      <c r="H2545" s="121"/>
    </row>
    <row r="2546" spans="3:8" x14ac:dyDescent="0.2">
      <c r="C2546" s="121"/>
      <c r="E2546" s="121"/>
      <c r="F2546" s="121"/>
      <c r="G2546" s="121"/>
      <c r="H2546" s="121"/>
    </row>
    <row r="2547" spans="3:8" x14ac:dyDescent="0.2">
      <c r="C2547" s="121"/>
      <c r="E2547" s="121"/>
      <c r="F2547" s="121"/>
      <c r="G2547" s="121"/>
      <c r="H2547" s="121"/>
    </row>
    <row r="2548" spans="3:8" x14ac:dyDescent="0.2">
      <c r="C2548" s="121"/>
      <c r="E2548" s="121"/>
      <c r="F2548" s="121"/>
      <c r="G2548" s="121"/>
      <c r="H2548" s="121"/>
    </row>
    <row r="2549" spans="3:8" x14ac:dyDescent="0.2">
      <c r="C2549" s="121"/>
      <c r="E2549" s="121"/>
      <c r="F2549" s="121"/>
      <c r="G2549" s="121"/>
      <c r="H2549" s="121"/>
    </row>
    <row r="2550" spans="3:8" x14ac:dyDescent="0.2">
      <c r="C2550" s="121"/>
      <c r="E2550" s="121"/>
      <c r="F2550" s="121"/>
      <c r="G2550" s="121"/>
      <c r="H2550" s="121"/>
    </row>
    <row r="2551" spans="3:8" x14ac:dyDescent="0.2">
      <c r="C2551" s="121"/>
      <c r="E2551" s="121"/>
      <c r="F2551" s="121"/>
      <c r="G2551" s="121"/>
      <c r="H2551" s="121"/>
    </row>
    <row r="2552" spans="3:8" x14ac:dyDescent="0.2">
      <c r="C2552" s="121"/>
      <c r="E2552" s="121"/>
      <c r="F2552" s="121"/>
      <c r="G2552" s="121"/>
      <c r="H2552" s="121"/>
    </row>
    <row r="2553" spans="3:8" x14ac:dyDescent="0.2">
      <c r="C2553" s="121"/>
      <c r="E2553" s="121"/>
      <c r="F2553" s="121"/>
      <c r="G2553" s="121"/>
      <c r="H2553" s="121"/>
    </row>
    <row r="2554" spans="3:8" x14ac:dyDescent="0.2">
      <c r="C2554" s="121"/>
      <c r="E2554" s="121"/>
      <c r="F2554" s="121"/>
      <c r="G2554" s="121"/>
      <c r="H2554" s="121"/>
    </row>
    <row r="2555" spans="3:8" x14ac:dyDescent="0.2">
      <c r="C2555" s="121"/>
      <c r="E2555" s="121"/>
      <c r="F2555" s="121"/>
      <c r="G2555" s="121"/>
      <c r="H2555" s="121"/>
    </row>
    <row r="2556" spans="3:8" x14ac:dyDescent="0.2">
      <c r="C2556" s="121"/>
      <c r="E2556" s="121"/>
      <c r="F2556" s="121"/>
      <c r="G2556" s="121"/>
      <c r="H2556" s="121"/>
    </row>
    <row r="2557" spans="3:8" x14ac:dyDescent="0.2">
      <c r="C2557" s="121"/>
      <c r="E2557" s="121"/>
      <c r="F2557" s="121"/>
      <c r="G2557" s="121"/>
      <c r="H2557" s="121"/>
    </row>
    <row r="2558" spans="3:8" x14ac:dyDescent="0.2">
      <c r="C2558" s="121"/>
      <c r="E2558" s="121"/>
      <c r="F2558" s="121"/>
      <c r="G2558" s="121"/>
      <c r="H2558" s="121"/>
    </row>
    <row r="2559" spans="3:8" x14ac:dyDescent="0.2">
      <c r="C2559" s="121"/>
      <c r="E2559" s="121"/>
      <c r="F2559" s="121"/>
      <c r="G2559" s="121"/>
      <c r="H2559" s="121"/>
    </row>
    <row r="2560" spans="3:8" x14ac:dyDescent="0.2">
      <c r="C2560" s="121"/>
      <c r="E2560" s="121"/>
      <c r="F2560" s="121"/>
      <c r="G2560" s="121"/>
      <c r="H2560" s="121"/>
    </row>
    <row r="2561" spans="3:8" x14ac:dyDescent="0.2">
      <c r="C2561" s="121"/>
      <c r="E2561" s="121"/>
      <c r="F2561" s="121"/>
      <c r="G2561" s="121"/>
      <c r="H2561" s="121"/>
    </row>
    <row r="2562" spans="3:8" x14ac:dyDescent="0.2">
      <c r="C2562" s="121"/>
      <c r="E2562" s="121"/>
      <c r="F2562" s="121"/>
      <c r="G2562" s="121"/>
      <c r="H2562" s="121"/>
    </row>
    <row r="2563" spans="3:8" x14ac:dyDescent="0.2">
      <c r="C2563" s="121"/>
      <c r="E2563" s="121"/>
      <c r="F2563" s="121"/>
      <c r="G2563" s="121"/>
      <c r="H2563" s="121"/>
    </row>
    <row r="2564" spans="3:8" x14ac:dyDescent="0.2">
      <c r="C2564" s="121"/>
      <c r="E2564" s="121"/>
      <c r="F2564" s="121"/>
      <c r="G2564" s="121"/>
      <c r="H2564" s="121"/>
    </row>
    <row r="2565" spans="3:8" x14ac:dyDescent="0.2">
      <c r="C2565" s="121"/>
      <c r="E2565" s="121"/>
      <c r="F2565" s="121"/>
      <c r="G2565" s="121"/>
      <c r="H2565" s="121"/>
    </row>
    <row r="2566" spans="3:8" x14ac:dyDescent="0.2">
      <c r="C2566" s="121"/>
      <c r="E2566" s="121"/>
      <c r="F2566" s="121"/>
      <c r="G2566" s="121"/>
      <c r="H2566" s="121"/>
    </row>
    <row r="2567" spans="3:8" x14ac:dyDescent="0.2">
      <c r="C2567" s="121"/>
      <c r="E2567" s="121"/>
      <c r="F2567" s="121"/>
      <c r="G2567" s="121"/>
      <c r="H2567" s="121"/>
    </row>
    <row r="2568" spans="3:8" x14ac:dyDescent="0.2">
      <c r="C2568" s="121"/>
      <c r="E2568" s="121"/>
      <c r="F2568" s="121"/>
      <c r="G2568" s="121"/>
      <c r="H2568" s="121"/>
    </row>
    <row r="2569" spans="3:8" x14ac:dyDescent="0.2">
      <c r="C2569" s="121"/>
      <c r="E2569" s="121"/>
      <c r="F2569" s="121"/>
      <c r="G2569" s="121"/>
      <c r="H2569" s="121"/>
    </row>
    <row r="2570" spans="3:8" x14ac:dyDescent="0.2">
      <c r="C2570" s="121"/>
      <c r="E2570" s="121"/>
      <c r="F2570" s="121"/>
      <c r="G2570" s="121"/>
      <c r="H2570" s="121"/>
    </row>
    <row r="2571" spans="3:8" x14ac:dyDescent="0.2">
      <c r="C2571" s="121"/>
      <c r="E2571" s="121"/>
      <c r="F2571" s="121"/>
      <c r="G2571" s="121"/>
      <c r="H2571" s="121"/>
    </row>
    <row r="2572" spans="3:8" x14ac:dyDescent="0.2">
      <c r="C2572" s="121"/>
      <c r="E2572" s="121"/>
      <c r="F2572" s="121"/>
      <c r="G2572" s="121"/>
      <c r="H2572" s="121"/>
    </row>
    <row r="2573" spans="3:8" x14ac:dyDescent="0.2">
      <c r="C2573" s="121"/>
      <c r="E2573" s="121"/>
      <c r="F2573" s="121"/>
      <c r="G2573" s="121"/>
      <c r="H2573" s="121"/>
    </row>
    <row r="2574" spans="3:8" x14ac:dyDescent="0.2">
      <c r="C2574" s="121"/>
      <c r="E2574" s="121"/>
      <c r="F2574" s="121"/>
      <c r="G2574" s="121"/>
      <c r="H2574" s="121"/>
    </row>
    <row r="2575" spans="3:8" x14ac:dyDescent="0.2">
      <c r="C2575" s="121"/>
      <c r="E2575" s="121"/>
      <c r="F2575" s="121"/>
      <c r="G2575" s="121"/>
      <c r="H2575" s="121"/>
    </row>
    <row r="2576" spans="3:8" x14ac:dyDescent="0.2">
      <c r="C2576" s="121"/>
      <c r="E2576" s="121"/>
      <c r="F2576" s="121"/>
      <c r="G2576" s="121"/>
      <c r="H2576" s="121"/>
    </row>
    <row r="2577" spans="3:8" x14ac:dyDescent="0.2">
      <c r="C2577" s="121"/>
      <c r="E2577" s="121"/>
      <c r="F2577" s="121"/>
      <c r="G2577" s="121"/>
      <c r="H2577" s="121"/>
    </row>
    <row r="2578" spans="3:8" x14ac:dyDescent="0.2">
      <c r="C2578" s="121"/>
      <c r="E2578" s="121"/>
      <c r="F2578" s="121"/>
      <c r="G2578" s="121"/>
      <c r="H2578" s="121"/>
    </row>
    <row r="2579" spans="3:8" x14ac:dyDescent="0.2">
      <c r="C2579" s="121"/>
      <c r="E2579" s="121"/>
      <c r="F2579" s="121"/>
      <c r="G2579" s="121"/>
      <c r="H2579" s="121"/>
    </row>
    <row r="2580" spans="3:8" x14ac:dyDescent="0.2">
      <c r="C2580" s="121"/>
      <c r="E2580" s="121"/>
      <c r="F2580" s="121"/>
      <c r="G2580" s="121"/>
      <c r="H2580" s="121"/>
    </row>
    <row r="2581" spans="3:8" x14ac:dyDescent="0.2">
      <c r="C2581" s="121"/>
      <c r="E2581" s="121"/>
      <c r="F2581" s="121"/>
      <c r="G2581" s="121"/>
      <c r="H2581" s="121"/>
    </row>
    <row r="2582" spans="3:8" x14ac:dyDescent="0.2">
      <c r="C2582" s="121"/>
      <c r="E2582" s="121"/>
      <c r="F2582" s="121"/>
      <c r="G2582" s="121"/>
      <c r="H2582" s="121"/>
    </row>
    <row r="2583" spans="3:8" x14ac:dyDescent="0.2">
      <c r="C2583" s="121"/>
      <c r="E2583" s="121"/>
      <c r="F2583" s="121"/>
      <c r="G2583" s="121"/>
      <c r="H2583" s="121"/>
    </row>
    <row r="2584" spans="3:8" x14ac:dyDescent="0.2">
      <c r="C2584" s="121"/>
      <c r="E2584" s="121"/>
      <c r="F2584" s="121"/>
      <c r="G2584" s="121"/>
      <c r="H2584" s="121"/>
    </row>
    <row r="2585" spans="3:8" x14ac:dyDescent="0.2">
      <c r="C2585" s="121"/>
      <c r="E2585" s="121"/>
      <c r="F2585" s="121"/>
      <c r="G2585" s="121"/>
      <c r="H2585" s="121"/>
    </row>
    <row r="2586" spans="3:8" x14ac:dyDescent="0.2">
      <c r="C2586" s="121"/>
      <c r="E2586" s="121"/>
      <c r="F2586" s="121"/>
      <c r="G2586" s="121"/>
      <c r="H2586" s="121"/>
    </row>
    <row r="2587" spans="3:8" x14ac:dyDescent="0.2">
      <c r="C2587" s="121"/>
      <c r="E2587" s="121"/>
      <c r="F2587" s="121"/>
      <c r="G2587" s="121"/>
      <c r="H2587" s="121"/>
    </row>
    <row r="2588" spans="3:8" x14ac:dyDescent="0.2">
      <c r="C2588" s="121"/>
      <c r="E2588" s="121"/>
      <c r="F2588" s="121"/>
      <c r="G2588" s="121"/>
      <c r="H2588" s="121"/>
    </row>
    <row r="2589" spans="3:8" x14ac:dyDescent="0.2">
      <c r="C2589" s="121"/>
      <c r="E2589" s="121"/>
      <c r="F2589" s="121"/>
      <c r="G2589" s="121"/>
      <c r="H2589" s="121"/>
    </row>
    <row r="2590" spans="3:8" x14ac:dyDescent="0.2">
      <c r="C2590" s="121"/>
      <c r="E2590" s="121"/>
      <c r="F2590" s="121"/>
      <c r="G2590" s="121"/>
      <c r="H2590" s="121"/>
    </row>
    <row r="2591" spans="3:8" x14ac:dyDescent="0.2">
      <c r="C2591" s="121"/>
      <c r="E2591" s="121"/>
      <c r="F2591" s="121"/>
      <c r="G2591" s="121"/>
      <c r="H2591" s="121"/>
    </row>
    <row r="2592" spans="3:8" x14ac:dyDescent="0.2">
      <c r="C2592" s="121"/>
      <c r="E2592" s="121"/>
      <c r="F2592" s="121"/>
      <c r="G2592" s="121"/>
      <c r="H2592" s="121"/>
    </row>
    <row r="2593" spans="3:8" x14ac:dyDescent="0.2">
      <c r="C2593" s="121"/>
      <c r="E2593" s="121"/>
      <c r="F2593" s="121"/>
      <c r="G2593" s="121"/>
      <c r="H2593" s="121"/>
    </row>
    <row r="2594" spans="3:8" x14ac:dyDescent="0.2">
      <c r="C2594" s="121"/>
      <c r="E2594" s="121"/>
      <c r="F2594" s="121"/>
      <c r="G2594" s="121"/>
      <c r="H2594" s="121"/>
    </row>
    <row r="2595" spans="3:8" x14ac:dyDescent="0.2">
      <c r="C2595" s="121"/>
      <c r="E2595" s="121"/>
      <c r="F2595" s="121"/>
      <c r="G2595" s="121"/>
      <c r="H2595" s="121"/>
    </row>
    <row r="2596" spans="3:8" x14ac:dyDescent="0.2">
      <c r="C2596" s="121"/>
      <c r="E2596" s="121"/>
      <c r="F2596" s="121"/>
      <c r="G2596" s="121"/>
      <c r="H2596" s="121"/>
    </row>
    <row r="2597" spans="3:8" x14ac:dyDescent="0.2">
      <c r="C2597" s="121"/>
      <c r="E2597" s="121"/>
      <c r="F2597" s="121"/>
      <c r="G2597" s="121"/>
      <c r="H2597" s="121"/>
    </row>
    <row r="2598" spans="3:8" x14ac:dyDescent="0.2">
      <c r="C2598" s="121"/>
      <c r="E2598" s="121"/>
      <c r="F2598" s="121"/>
      <c r="G2598" s="121"/>
      <c r="H2598" s="121"/>
    </row>
    <row r="2599" spans="3:8" x14ac:dyDescent="0.2">
      <c r="C2599" s="121"/>
      <c r="E2599" s="121"/>
      <c r="F2599" s="121"/>
      <c r="G2599" s="121"/>
      <c r="H2599" s="121"/>
    </row>
    <row r="2600" spans="3:8" x14ac:dyDescent="0.2">
      <c r="C2600" s="121"/>
      <c r="E2600" s="121"/>
      <c r="F2600" s="121"/>
      <c r="G2600" s="121"/>
      <c r="H2600" s="121"/>
    </row>
    <row r="2601" spans="3:8" x14ac:dyDescent="0.2">
      <c r="C2601" s="121"/>
      <c r="E2601" s="121"/>
      <c r="F2601" s="121"/>
      <c r="G2601" s="121"/>
      <c r="H2601" s="121"/>
    </row>
    <row r="2602" spans="3:8" x14ac:dyDescent="0.2">
      <c r="C2602" s="121"/>
      <c r="E2602" s="121"/>
      <c r="F2602" s="121"/>
      <c r="G2602" s="121"/>
      <c r="H2602" s="121"/>
    </row>
    <row r="2603" spans="3:8" x14ac:dyDescent="0.2">
      <c r="C2603" s="121"/>
      <c r="E2603" s="121"/>
      <c r="F2603" s="121"/>
      <c r="G2603" s="121"/>
      <c r="H2603" s="121"/>
    </row>
    <row r="2604" spans="3:8" x14ac:dyDescent="0.2">
      <c r="C2604" s="121"/>
      <c r="E2604" s="121"/>
      <c r="F2604" s="121"/>
      <c r="G2604" s="121"/>
      <c r="H2604" s="121"/>
    </row>
    <row r="2605" spans="3:8" x14ac:dyDescent="0.2">
      <c r="C2605" s="121"/>
      <c r="E2605" s="121"/>
      <c r="F2605" s="121"/>
      <c r="G2605" s="121"/>
      <c r="H2605" s="121"/>
    </row>
    <row r="2606" spans="3:8" x14ac:dyDescent="0.2">
      <c r="C2606" s="121"/>
      <c r="E2606" s="121"/>
      <c r="F2606" s="121"/>
      <c r="G2606" s="121"/>
      <c r="H2606" s="121"/>
    </row>
    <row r="2607" spans="3:8" x14ac:dyDescent="0.2">
      <c r="C2607" s="121"/>
      <c r="E2607" s="121"/>
      <c r="F2607" s="121"/>
      <c r="G2607" s="121"/>
      <c r="H2607" s="121"/>
    </row>
    <row r="2608" spans="3:8" x14ac:dyDescent="0.2">
      <c r="C2608" s="121"/>
      <c r="E2608" s="121"/>
      <c r="F2608" s="121"/>
      <c r="G2608" s="121"/>
      <c r="H2608" s="121"/>
    </row>
    <row r="2609" spans="3:8" x14ac:dyDescent="0.2">
      <c r="C2609" s="121"/>
      <c r="E2609" s="121"/>
      <c r="F2609" s="121"/>
      <c r="G2609" s="121"/>
      <c r="H2609" s="121"/>
    </row>
    <row r="2610" spans="3:8" x14ac:dyDescent="0.2">
      <c r="C2610" s="121"/>
      <c r="E2610" s="121"/>
      <c r="F2610" s="121"/>
      <c r="G2610" s="121"/>
      <c r="H2610" s="121"/>
    </row>
    <row r="2611" spans="3:8" x14ac:dyDescent="0.2">
      <c r="C2611" s="121"/>
      <c r="E2611" s="121"/>
      <c r="F2611" s="121"/>
      <c r="G2611" s="121"/>
      <c r="H2611" s="121"/>
    </row>
    <row r="2612" spans="3:8" x14ac:dyDescent="0.2">
      <c r="C2612" s="121"/>
      <c r="E2612" s="121"/>
      <c r="F2612" s="121"/>
      <c r="G2612" s="121"/>
      <c r="H2612" s="121"/>
    </row>
    <row r="2613" spans="3:8" x14ac:dyDescent="0.2">
      <c r="C2613" s="121"/>
      <c r="E2613" s="121"/>
      <c r="F2613" s="121"/>
      <c r="G2613" s="121"/>
      <c r="H2613" s="121"/>
    </row>
    <row r="2614" spans="3:8" x14ac:dyDescent="0.2">
      <c r="C2614" s="121"/>
      <c r="E2614" s="121"/>
      <c r="F2614" s="121"/>
      <c r="G2614" s="121"/>
      <c r="H2614" s="121"/>
    </row>
    <row r="2615" spans="3:8" x14ac:dyDescent="0.2">
      <c r="C2615" s="121"/>
      <c r="E2615" s="121"/>
      <c r="F2615" s="121"/>
      <c r="G2615" s="121"/>
      <c r="H2615" s="121"/>
    </row>
    <row r="2616" spans="3:8" x14ac:dyDescent="0.2">
      <c r="C2616" s="121"/>
      <c r="E2616" s="121"/>
      <c r="F2616" s="121"/>
      <c r="G2616" s="121"/>
      <c r="H2616" s="121"/>
    </row>
    <row r="2617" spans="3:8" x14ac:dyDescent="0.2">
      <c r="C2617" s="121"/>
      <c r="E2617" s="121"/>
      <c r="F2617" s="121"/>
      <c r="G2617" s="121"/>
      <c r="H2617" s="121"/>
    </row>
    <row r="2618" spans="3:8" x14ac:dyDescent="0.2">
      <c r="C2618" s="121"/>
      <c r="E2618" s="121"/>
      <c r="F2618" s="121"/>
      <c r="G2618" s="121"/>
      <c r="H2618" s="121"/>
    </row>
    <row r="2619" spans="3:8" x14ac:dyDescent="0.2">
      <c r="C2619" s="121"/>
      <c r="E2619" s="121"/>
      <c r="F2619" s="121"/>
      <c r="G2619" s="121"/>
      <c r="H2619" s="121"/>
    </row>
    <row r="2620" spans="3:8" x14ac:dyDescent="0.2">
      <c r="C2620" s="121"/>
      <c r="E2620" s="121"/>
      <c r="F2620" s="121"/>
      <c r="G2620" s="121"/>
      <c r="H2620" s="121"/>
    </row>
    <row r="2621" spans="3:8" x14ac:dyDescent="0.2">
      <c r="C2621" s="121"/>
      <c r="E2621" s="121"/>
      <c r="F2621" s="121"/>
      <c r="G2621" s="121"/>
      <c r="H2621" s="121"/>
    </row>
    <row r="2622" spans="3:8" x14ac:dyDescent="0.2">
      <c r="C2622" s="121"/>
      <c r="E2622" s="121"/>
      <c r="F2622" s="121"/>
      <c r="G2622" s="121"/>
      <c r="H2622" s="121"/>
    </row>
    <row r="2623" spans="3:8" x14ac:dyDescent="0.2">
      <c r="C2623" s="121"/>
      <c r="E2623" s="121"/>
      <c r="F2623" s="121"/>
      <c r="G2623" s="121"/>
      <c r="H2623" s="121"/>
    </row>
    <row r="2624" spans="3:8" x14ac:dyDescent="0.2">
      <c r="C2624" s="121"/>
      <c r="E2624" s="121"/>
      <c r="F2624" s="121"/>
      <c r="G2624" s="121"/>
      <c r="H2624" s="121"/>
    </row>
    <row r="2625" spans="3:8" x14ac:dyDescent="0.2">
      <c r="C2625" s="121"/>
      <c r="E2625" s="121"/>
      <c r="F2625" s="121"/>
      <c r="G2625" s="121"/>
      <c r="H2625" s="121"/>
    </row>
    <row r="2626" spans="3:8" x14ac:dyDescent="0.2">
      <c r="C2626" s="121"/>
      <c r="E2626" s="121"/>
      <c r="F2626" s="121"/>
      <c r="G2626" s="121"/>
      <c r="H2626" s="121"/>
    </row>
    <row r="2627" spans="3:8" x14ac:dyDescent="0.2">
      <c r="C2627" s="121"/>
      <c r="E2627" s="121"/>
      <c r="F2627" s="121"/>
      <c r="G2627" s="121"/>
      <c r="H2627" s="121"/>
    </row>
    <row r="2628" spans="3:8" x14ac:dyDescent="0.2">
      <c r="C2628" s="121"/>
      <c r="E2628" s="121"/>
      <c r="F2628" s="121"/>
      <c r="G2628" s="121"/>
      <c r="H2628" s="121"/>
    </row>
    <row r="2629" spans="3:8" x14ac:dyDescent="0.2">
      <c r="C2629" s="121"/>
      <c r="E2629" s="121"/>
      <c r="F2629" s="121"/>
      <c r="G2629" s="121"/>
      <c r="H2629" s="121"/>
    </row>
    <row r="2630" spans="3:8" x14ac:dyDescent="0.2">
      <c r="C2630" s="121"/>
      <c r="E2630" s="121"/>
      <c r="F2630" s="121"/>
      <c r="G2630" s="121"/>
      <c r="H2630" s="121"/>
    </row>
    <row r="2631" spans="3:8" x14ac:dyDescent="0.2">
      <c r="C2631" s="121"/>
      <c r="E2631" s="121"/>
      <c r="F2631" s="121"/>
      <c r="G2631" s="121"/>
      <c r="H2631" s="121"/>
    </row>
    <row r="2632" spans="3:8" x14ac:dyDescent="0.2">
      <c r="C2632" s="121"/>
      <c r="E2632" s="121"/>
      <c r="F2632" s="121"/>
      <c r="G2632" s="121"/>
      <c r="H2632" s="121"/>
    </row>
    <row r="2633" spans="3:8" x14ac:dyDescent="0.2">
      <c r="C2633" s="121"/>
      <c r="E2633" s="121"/>
      <c r="F2633" s="121"/>
      <c r="G2633" s="121"/>
      <c r="H2633" s="121"/>
    </row>
    <row r="2634" spans="3:8" x14ac:dyDescent="0.2">
      <c r="C2634" s="121"/>
      <c r="E2634" s="121"/>
      <c r="F2634" s="121"/>
      <c r="G2634" s="121"/>
      <c r="H2634" s="121"/>
    </row>
    <row r="2635" spans="3:8" x14ac:dyDescent="0.2">
      <c r="C2635" s="121"/>
      <c r="E2635" s="121"/>
      <c r="F2635" s="121"/>
      <c r="G2635" s="121"/>
      <c r="H2635" s="121"/>
    </row>
    <row r="2636" spans="3:8" x14ac:dyDescent="0.2">
      <c r="C2636" s="121"/>
      <c r="E2636" s="121"/>
      <c r="F2636" s="121"/>
      <c r="G2636" s="121"/>
      <c r="H2636" s="121"/>
    </row>
    <row r="2637" spans="3:8" x14ac:dyDescent="0.2">
      <c r="C2637" s="121"/>
      <c r="E2637" s="121"/>
      <c r="F2637" s="121"/>
      <c r="G2637" s="121"/>
      <c r="H2637" s="121"/>
    </row>
    <row r="2638" spans="3:8" x14ac:dyDescent="0.2">
      <c r="C2638" s="121"/>
      <c r="E2638" s="121"/>
      <c r="F2638" s="121"/>
      <c r="G2638" s="121"/>
      <c r="H2638" s="121"/>
    </row>
    <row r="2639" spans="3:8" x14ac:dyDescent="0.2">
      <c r="C2639" s="121"/>
      <c r="E2639" s="121"/>
      <c r="F2639" s="121"/>
      <c r="G2639" s="121"/>
      <c r="H2639" s="121"/>
    </row>
    <row r="2640" spans="3:8" x14ac:dyDescent="0.2">
      <c r="C2640" s="121"/>
      <c r="E2640" s="121"/>
      <c r="F2640" s="121"/>
      <c r="G2640" s="121"/>
      <c r="H2640" s="121"/>
    </row>
    <row r="2641" spans="3:8" x14ac:dyDescent="0.2">
      <c r="C2641" s="121"/>
      <c r="E2641" s="121"/>
      <c r="F2641" s="121"/>
      <c r="G2641" s="121"/>
      <c r="H2641" s="121"/>
    </row>
    <row r="2642" spans="3:8" x14ac:dyDescent="0.2">
      <c r="C2642" s="121"/>
      <c r="E2642" s="121"/>
      <c r="F2642" s="121"/>
      <c r="G2642" s="121"/>
      <c r="H2642" s="121"/>
    </row>
    <row r="2643" spans="3:8" x14ac:dyDescent="0.2">
      <c r="C2643" s="121"/>
      <c r="E2643" s="121"/>
      <c r="F2643" s="121"/>
      <c r="G2643" s="121"/>
      <c r="H2643" s="121"/>
    </row>
    <row r="2644" spans="3:8" x14ac:dyDescent="0.2">
      <c r="C2644" s="121"/>
      <c r="E2644" s="121"/>
      <c r="F2644" s="121"/>
      <c r="G2644" s="121"/>
      <c r="H2644" s="121"/>
    </row>
    <row r="2645" spans="3:8" x14ac:dyDescent="0.2">
      <c r="C2645" s="121"/>
      <c r="E2645" s="121"/>
      <c r="F2645" s="121"/>
      <c r="G2645" s="121"/>
      <c r="H2645" s="121"/>
    </row>
    <row r="2646" spans="3:8" x14ac:dyDescent="0.2">
      <c r="C2646" s="121"/>
      <c r="E2646" s="121"/>
      <c r="F2646" s="121"/>
      <c r="G2646" s="121"/>
      <c r="H2646" s="121"/>
    </row>
    <row r="2647" spans="3:8" x14ac:dyDescent="0.2">
      <c r="C2647" s="121"/>
      <c r="E2647" s="121"/>
      <c r="F2647" s="121"/>
      <c r="G2647" s="121"/>
      <c r="H2647" s="121"/>
    </row>
    <row r="2648" spans="3:8" x14ac:dyDescent="0.2">
      <c r="C2648" s="121"/>
      <c r="E2648" s="121"/>
      <c r="F2648" s="121"/>
      <c r="G2648" s="121"/>
      <c r="H2648" s="121"/>
    </row>
    <row r="2649" spans="3:8" x14ac:dyDescent="0.2">
      <c r="C2649" s="121"/>
      <c r="E2649" s="121"/>
      <c r="F2649" s="121"/>
      <c r="G2649" s="121"/>
      <c r="H2649" s="121"/>
    </row>
    <row r="2650" spans="3:8" x14ac:dyDescent="0.2">
      <c r="C2650" s="121"/>
      <c r="E2650" s="121"/>
      <c r="F2650" s="121"/>
      <c r="G2650" s="121"/>
      <c r="H2650" s="121"/>
    </row>
    <row r="2651" spans="3:8" x14ac:dyDescent="0.2">
      <c r="C2651" s="121"/>
      <c r="E2651" s="121"/>
      <c r="F2651" s="121"/>
      <c r="G2651" s="121"/>
      <c r="H2651" s="121"/>
    </row>
    <row r="2652" spans="3:8" x14ac:dyDescent="0.2">
      <c r="C2652" s="121"/>
      <c r="E2652" s="121"/>
      <c r="F2652" s="121"/>
      <c r="G2652" s="121"/>
      <c r="H2652" s="121"/>
    </row>
    <row r="2653" spans="3:8" x14ac:dyDescent="0.2">
      <c r="C2653" s="121"/>
      <c r="E2653" s="121"/>
      <c r="F2653" s="121"/>
      <c r="G2653" s="121"/>
      <c r="H2653" s="121"/>
    </row>
    <row r="2654" spans="3:8" x14ac:dyDescent="0.2">
      <c r="C2654" s="121"/>
      <c r="E2654" s="121"/>
      <c r="F2654" s="121"/>
      <c r="G2654" s="121"/>
      <c r="H2654" s="121"/>
    </row>
    <row r="2655" spans="3:8" x14ac:dyDescent="0.2">
      <c r="C2655" s="121"/>
      <c r="E2655" s="121"/>
      <c r="F2655" s="121"/>
      <c r="G2655" s="121"/>
      <c r="H2655" s="121"/>
    </row>
    <row r="2656" spans="3:8" x14ac:dyDescent="0.2">
      <c r="C2656" s="121"/>
      <c r="E2656" s="121"/>
      <c r="F2656" s="121"/>
      <c r="G2656" s="121"/>
      <c r="H2656" s="121"/>
    </row>
    <row r="2657" spans="3:8" x14ac:dyDescent="0.2">
      <c r="C2657" s="121"/>
      <c r="E2657" s="121"/>
      <c r="F2657" s="121"/>
      <c r="G2657" s="121"/>
      <c r="H2657" s="121"/>
    </row>
    <row r="2658" spans="3:8" x14ac:dyDescent="0.2">
      <c r="C2658" s="121"/>
      <c r="E2658" s="121"/>
      <c r="F2658" s="121"/>
      <c r="G2658" s="121"/>
      <c r="H2658" s="121"/>
    </row>
    <row r="2659" spans="3:8" x14ac:dyDescent="0.2">
      <c r="C2659" s="121"/>
      <c r="E2659" s="121"/>
      <c r="F2659" s="121"/>
      <c r="G2659" s="121"/>
      <c r="H2659" s="121"/>
    </row>
    <row r="2660" spans="3:8" x14ac:dyDescent="0.2">
      <c r="C2660" s="121"/>
      <c r="E2660" s="121"/>
      <c r="F2660" s="121"/>
      <c r="G2660" s="121"/>
      <c r="H2660" s="121"/>
    </row>
    <row r="2661" spans="3:8" x14ac:dyDescent="0.2">
      <c r="C2661" s="121"/>
      <c r="E2661" s="121"/>
      <c r="F2661" s="121"/>
      <c r="G2661" s="121"/>
      <c r="H2661" s="121"/>
    </row>
    <row r="2662" spans="3:8" x14ac:dyDescent="0.2">
      <c r="C2662" s="121"/>
      <c r="E2662" s="121"/>
      <c r="F2662" s="121"/>
      <c r="G2662" s="121"/>
      <c r="H2662" s="121"/>
    </row>
    <row r="2663" spans="3:8" x14ac:dyDescent="0.2">
      <c r="C2663" s="121"/>
      <c r="E2663" s="121"/>
      <c r="F2663" s="121"/>
      <c r="G2663" s="121"/>
      <c r="H2663" s="121"/>
    </row>
    <row r="2664" spans="3:8" x14ac:dyDescent="0.2">
      <c r="C2664" s="121"/>
      <c r="E2664" s="121"/>
      <c r="F2664" s="121"/>
      <c r="G2664" s="121"/>
      <c r="H2664" s="121"/>
    </row>
    <row r="2665" spans="3:8" x14ac:dyDescent="0.2">
      <c r="C2665" s="121"/>
      <c r="E2665" s="121"/>
      <c r="F2665" s="121"/>
      <c r="G2665" s="121"/>
      <c r="H2665" s="121"/>
    </row>
    <row r="2666" spans="3:8" x14ac:dyDescent="0.2">
      <c r="C2666" s="121"/>
      <c r="E2666" s="121"/>
      <c r="F2666" s="121"/>
      <c r="G2666" s="121"/>
      <c r="H2666" s="121"/>
    </row>
    <row r="2667" spans="3:8" x14ac:dyDescent="0.2">
      <c r="C2667" s="121"/>
      <c r="E2667" s="121"/>
      <c r="F2667" s="121"/>
      <c r="G2667" s="121"/>
      <c r="H2667" s="121"/>
    </row>
    <row r="2668" spans="3:8" x14ac:dyDescent="0.2">
      <c r="C2668" s="121"/>
      <c r="E2668" s="121"/>
      <c r="F2668" s="121"/>
      <c r="G2668" s="121"/>
      <c r="H2668" s="121"/>
    </row>
    <row r="2669" spans="3:8" x14ac:dyDescent="0.2">
      <c r="C2669" s="121"/>
      <c r="E2669" s="121"/>
      <c r="F2669" s="121"/>
      <c r="G2669" s="121"/>
      <c r="H2669" s="121"/>
    </row>
    <row r="2670" spans="3:8" x14ac:dyDescent="0.2">
      <c r="C2670" s="121"/>
      <c r="E2670" s="121"/>
      <c r="F2670" s="121"/>
      <c r="G2670" s="121"/>
      <c r="H2670" s="121"/>
    </row>
    <row r="2671" spans="3:8" x14ac:dyDescent="0.2">
      <c r="C2671" s="121"/>
      <c r="E2671" s="121"/>
      <c r="F2671" s="121"/>
      <c r="G2671" s="121"/>
      <c r="H2671" s="121"/>
    </row>
    <row r="2672" spans="3:8" x14ac:dyDescent="0.2">
      <c r="C2672" s="121"/>
      <c r="E2672" s="121"/>
      <c r="F2672" s="121"/>
      <c r="G2672" s="121"/>
      <c r="H2672" s="121"/>
    </row>
    <row r="2673" spans="3:8" x14ac:dyDescent="0.2">
      <c r="C2673" s="121"/>
      <c r="E2673" s="121"/>
      <c r="F2673" s="121"/>
      <c r="G2673" s="121"/>
      <c r="H2673" s="121"/>
    </row>
    <row r="2674" spans="3:8" x14ac:dyDescent="0.2">
      <c r="C2674" s="121"/>
      <c r="E2674" s="121"/>
      <c r="F2674" s="121"/>
      <c r="G2674" s="121"/>
      <c r="H2674" s="121"/>
    </row>
    <row r="2675" spans="3:8" x14ac:dyDescent="0.2">
      <c r="C2675" s="121"/>
      <c r="E2675" s="121"/>
      <c r="F2675" s="121"/>
      <c r="G2675" s="121"/>
      <c r="H2675" s="121"/>
    </row>
    <row r="2676" spans="3:8" x14ac:dyDescent="0.2">
      <c r="C2676" s="121"/>
      <c r="E2676" s="121"/>
      <c r="F2676" s="121"/>
      <c r="G2676" s="121"/>
      <c r="H2676" s="121"/>
    </row>
    <row r="2677" spans="3:8" x14ac:dyDescent="0.2">
      <c r="C2677" s="121"/>
      <c r="E2677" s="121"/>
      <c r="F2677" s="121"/>
      <c r="G2677" s="121"/>
      <c r="H2677" s="121"/>
    </row>
    <row r="2678" spans="3:8" x14ac:dyDescent="0.2">
      <c r="C2678" s="121"/>
      <c r="E2678" s="121"/>
      <c r="F2678" s="121"/>
      <c r="G2678" s="121"/>
      <c r="H2678" s="121"/>
    </row>
    <row r="2679" spans="3:8" x14ac:dyDescent="0.2">
      <c r="C2679" s="121"/>
      <c r="E2679" s="121"/>
      <c r="F2679" s="121"/>
      <c r="G2679" s="121"/>
      <c r="H2679" s="121"/>
    </row>
    <row r="2680" spans="3:8" x14ac:dyDescent="0.2">
      <c r="C2680" s="121"/>
      <c r="E2680" s="121"/>
      <c r="F2680" s="121"/>
      <c r="G2680" s="121"/>
      <c r="H2680" s="121"/>
    </row>
    <row r="2681" spans="3:8" x14ac:dyDescent="0.2">
      <c r="C2681" s="121"/>
      <c r="E2681" s="121"/>
      <c r="F2681" s="121"/>
      <c r="G2681" s="121"/>
      <c r="H2681" s="121"/>
    </row>
    <row r="2682" spans="3:8" x14ac:dyDescent="0.2">
      <c r="C2682" s="121"/>
      <c r="E2682" s="121"/>
      <c r="F2682" s="121"/>
      <c r="G2682" s="121"/>
      <c r="H2682" s="121"/>
    </row>
    <row r="2683" spans="3:8" x14ac:dyDescent="0.2">
      <c r="C2683" s="121"/>
      <c r="E2683" s="121"/>
      <c r="F2683" s="121"/>
      <c r="G2683" s="121"/>
      <c r="H2683" s="121"/>
    </row>
    <row r="2684" spans="3:8" x14ac:dyDescent="0.2">
      <c r="C2684" s="121"/>
      <c r="E2684" s="121"/>
      <c r="F2684" s="121"/>
      <c r="G2684" s="121"/>
      <c r="H2684" s="121"/>
    </row>
    <row r="2685" spans="3:8" x14ac:dyDescent="0.2">
      <c r="C2685" s="121"/>
      <c r="E2685" s="121"/>
      <c r="F2685" s="121"/>
      <c r="G2685" s="121"/>
      <c r="H2685" s="121"/>
    </row>
    <row r="2686" spans="3:8" x14ac:dyDescent="0.2">
      <c r="C2686" s="121"/>
      <c r="E2686" s="121"/>
      <c r="F2686" s="121"/>
      <c r="G2686" s="121"/>
      <c r="H2686" s="121"/>
    </row>
    <row r="2687" spans="3:8" x14ac:dyDescent="0.2">
      <c r="C2687" s="121"/>
      <c r="E2687" s="121"/>
      <c r="F2687" s="121"/>
      <c r="G2687" s="121"/>
      <c r="H2687" s="121"/>
    </row>
    <row r="2688" spans="3:8" x14ac:dyDescent="0.2">
      <c r="C2688" s="121"/>
      <c r="E2688" s="121"/>
      <c r="F2688" s="121"/>
      <c r="G2688" s="121"/>
      <c r="H2688" s="121"/>
    </row>
    <row r="2689" spans="3:8" x14ac:dyDescent="0.2">
      <c r="C2689" s="121"/>
      <c r="E2689" s="121"/>
      <c r="F2689" s="121"/>
      <c r="G2689" s="121"/>
      <c r="H2689" s="121"/>
    </row>
    <row r="2690" spans="3:8" x14ac:dyDescent="0.2">
      <c r="C2690" s="121"/>
      <c r="E2690" s="121"/>
      <c r="F2690" s="121"/>
      <c r="G2690" s="121"/>
      <c r="H2690" s="121"/>
    </row>
    <row r="2691" spans="3:8" x14ac:dyDescent="0.2">
      <c r="C2691" s="121"/>
      <c r="E2691" s="121"/>
      <c r="F2691" s="121"/>
      <c r="G2691" s="121"/>
      <c r="H2691" s="121"/>
    </row>
    <row r="2692" spans="3:8" x14ac:dyDescent="0.2">
      <c r="C2692" s="121"/>
      <c r="E2692" s="121"/>
      <c r="F2692" s="121"/>
      <c r="G2692" s="121"/>
      <c r="H2692" s="121"/>
    </row>
    <row r="2693" spans="3:8" x14ac:dyDescent="0.2">
      <c r="C2693" s="121"/>
      <c r="E2693" s="121"/>
      <c r="F2693" s="121"/>
      <c r="G2693" s="121"/>
      <c r="H2693" s="121"/>
    </row>
    <row r="2694" spans="3:8" x14ac:dyDescent="0.2">
      <c r="C2694" s="121"/>
      <c r="E2694" s="121"/>
      <c r="F2694" s="121"/>
      <c r="G2694" s="121"/>
      <c r="H2694" s="121"/>
    </row>
    <row r="2695" spans="3:8" x14ac:dyDescent="0.2">
      <c r="C2695" s="121"/>
      <c r="E2695" s="121"/>
      <c r="F2695" s="121"/>
      <c r="G2695" s="121"/>
      <c r="H2695" s="121"/>
    </row>
    <row r="2696" spans="3:8" x14ac:dyDescent="0.2">
      <c r="C2696" s="121"/>
      <c r="E2696" s="121"/>
      <c r="F2696" s="121"/>
      <c r="G2696" s="121"/>
      <c r="H2696" s="121"/>
    </row>
    <row r="2697" spans="3:8" x14ac:dyDescent="0.2">
      <c r="C2697" s="121"/>
      <c r="E2697" s="121"/>
      <c r="F2697" s="121"/>
      <c r="G2697" s="121"/>
      <c r="H2697" s="121"/>
    </row>
    <row r="2698" spans="3:8" x14ac:dyDescent="0.2">
      <c r="C2698" s="121"/>
      <c r="E2698" s="121"/>
      <c r="F2698" s="121"/>
      <c r="G2698" s="121"/>
      <c r="H2698" s="121"/>
    </row>
    <row r="2699" spans="3:8" x14ac:dyDescent="0.2">
      <c r="C2699" s="121"/>
      <c r="E2699" s="121"/>
      <c r="F2699" s="121"/>
      <c r="G2699" s="121"/>
      <c r="H2699" s="121"/>
    </row>
    <row r="2700" spans="3:8" x14ac:dyDescent="0.2">
      <c r="C2700" s="121"/>
      <c r="E2700" s="121"/>
      <c r="F2700" s="121"/>
      <c r="G2700" s="121"/>
      <c r="H2700" s="121"/>
    </row>
    <row r="2701" spans="3:8" x14ac:dyDescent="0.2">
      <c r="C2701" s="121"/>
      <c r="E2701" s="121"/>
      <c r="F2701" s="121"/>
      <c r="G2701" s="121"/>
      <c r="H2701" s="121"/>
    </row>
    <row r="2702" spans="3:8" x14ac:dyDescent="0.2">
      <c r="C2702" s="121"/>
      <c r="E2702" s="121"/>
      <c r="F2702" s="121"/>
      <c r="G2702" s="121"/>
      <c r="H2702" s="121"/>
    </row>
    <row r="2703" spans="3:8" x14ac:dyDescent="0.2">
      <c r="C2703" s="121"/>
      <c r="E2703" s="121"/>
      <c r="F2703" s="121"/>
      <c r="G2703" s="121"/>
      <c r="H2703" s="121"/>
    </row>
    <row r="2704" spans="3:8" x14ac:dyDescent="0.2">
      <c r="C2704" s="121"/>
      <c r="E2704" s="121"/>
      <c r="F2704" s="121"/>
      <c r="G2704" s="121"/>
      <c r="H2704" s="121"/>
    </row>
    <row r="2705" spans="3:8" x14ac:dyDescent="0.2">
      <c r="C2705" s="121"/>
      <c r="E2705" s="121"/>
      <c r="F2705" s="121"/>
      <c r="G2705" s="121"/>
      <c r="H2705" s="121"/>
    </row>
    <row r="2706" spans="3:8" x14ac:dyDescent="0.2">
      <c r="C2706" s="121"/>
      <c r="E2706" s="121"/>
      <c r="F2706" s="121"/>
      <c r="G2706" s="121"/>
      <c r="H2706" s="121"/>
    </row>
    <row r="2707" spans="3:8" x14ac:dyDescent="0.2">
      <c r="C2707" s="121"/>
      <c r="E2707" s="121"/>
      <c r="F2707" s="121"/>
      <c r="G2707" s="121"/>
      <c r="H2707" s="121"/>
    </row>
    <row r="2708" spans="3:8" x14ac:dyDescent="0.2">
      <c r="C2708" s="121"/>
      <c r="E2708" s="121"/>
      <c r="F2708" s="121"/>
      <c r="G2708" s="121"/>
      <c r="H2708" s="121"/>
    </row>
    <row r="2709" spans="3:8" x14ac:dyDescent="0.2">
      <c r="C2709" s="121"/>
      <c r="E2709" s="121"/>
      <c r="F2709" s="121"/>
      <c r="G2709" s="121"/>
      <c r="H2709" s="121"/>
    </row>
    <row r="2710" spans="3:8" x14ac:dyDescent="0.2">
      <c r="C2710" s="121"/>
      <c r="E2710" s="121"/>
      <c r="F2710" s="121"/>
      <c r="G2710" s="121"/>
      <c r="H2710" s="121"/>
    </row>
    <row r="2711" spans="3:8" x14ac:dyDescent="0.2">
      <c r="C2711" s="121"/>
      <c r="E2711" s="121"/>
      <c r="F2711" s="121"/>
      <c r="G2711" s="121"/>
      <c r="H2711" s="121"/>
    </row>
    <row r="2712" spans="3:8" x14ac:dyDescent="0.2">
      <c r="C2712" s="121"/>
      <c r="E2712" s="121"/>
      <c r="F2712" s="121"/>
      <c r="G2712" s="121"/>
      <c r="H2712" s="121"/>
    </row>
    <row r="2713" spans="3:8" x14ac:dyDescent="0.2">
      <c r="C2713" s="121"/>
      <c r="E2713" s="121"/>
      <c r="F2713" s="121"/>
      <c r="G2713" s="121"/>
      <c r="H2713" s="121"/>
    </row>
    <row r="2714" spans="3:8" x14ac:dyDescent="0.2">
      <c r="C2714" s="121"/>
      <c r="E2714" s="121"/>
      <c r="F2714" s="121"/>
      <c r="G2714" s="121"/>
      <c r="H2714" s="121"/>
    </row>
    <row r="2715" spans="3:8" x14ac:dyDescent="0.2">
      <c r="C2715" s="121"/>
      <c r="E2715" s="121"/>
      <c r="F2715" s="121"/>
      <c r="G2715" s="121"/>
      <c r="H2715" s="121"/>
    </row>
    <row r="2716" spans="3:8" x14ac:dyDescent="0.2">
      <c r="C2716" s="121"/>
      <c r="E2716" s="121"/>
      <c r="F2716" s="121"/>
      <c r="G2716" s="121"/>
      <c r="H2716" s="121"/>
    </row>
    <row r="2717" spans="3:8" x14ac:dyDescent="0.2">
      <c r="C2717" s="121"/>
      <c r="E2717" s="121"/>
      <c r="F2717" s="121"/>
      <c r="G2717" s="121"/>
      <c r="H2717" s="121"/>
    </row>
    <row r="2718" spans="3:8" x14ac:dyDescent="0.2">
      <c r="C2718" s="121"/>
      <c r="E2718" s="121"/>
      <c r="F2718" s="121"/>
      <c r="G2718" s="121"/>
      <c r="H2718" s="121"/>
    </row>
    <row r="2719" spans="3:8" x14ac:dyDescent="0.2">
      <c r="C2719" s="121"/>
      <c r="E2719" s="121"/>
      <c r="F2719" s="121"/>
      <c r="G2719" s="121"/>
      <c r="H2719" s="121"/>
    </row>
    <row r="2720" spans="3:8" x14ac:dyDescent="0.2">
      <c r="C2720" s="121"/>
      <c r="E2720" s="121"/>
      <c r="F2720" s="121"/>
      <c r="G2720" s="121"/>
      <c r="H2720" s="121"/>
    </row>
    <row r="2721" spans="3:8" x14ac:dyDescent="0.2">
      <c r="C2721" s="121"/>
      <c r="E2721" s="121"/>
      <c r="F2721" s="121"/>
      <c r="G2721" s="121"/>
      <c r="H2721" s="121"/>
    </row>
    <row r="2722" spans="3:8" x14ac:dyDescent="0.2">
      <c r="C2722" s="121"/>
      <c r="E2722" s="121"/>
      <c r="F2722" s="121"/>
      <c r="G2722" s="121"/>
      <c r="H2722" s="121"/>
    </row>
    <row r="2723" spans="3:8" x14ac:dyDescent="0.2">
      <c r="C2723" s="121"/>
      <c r="E2723" s="121"/>
      <c r="F2723" s="121"/>
      <c r="G2723" s="121"/>
      <c r="H2723" s="121"/>
    </row>
    <row r="2724" spans="3:8" x14ac:dyDescent="0.2">
      <c r="C2724" s="121"/>
      <c r="E2724" s="121"/>
      <c r="F2724" s="121"/>
      <c r="G2724" s="121"/>
      <c r="H2724" s="121"/>
    </row>
    <row r="2725" spans="3:8" x14ac:dyDescent="0.2">
      <c r="C2725" s="121"/>
      <c r="E2725" s="121"/>
      <c r="F2725" s="121"/>
      <c r="G2725" s="121"/>
      <c r="H2725" s="121"/>
    </row>
    <row r="2726" spans="3:8" x14ac:dyDescent="0.2">
      <c r="C2726" s="121"/>
      <c r="E2726" s="121"/>
      <c r="F2726" s="121"/>
      <c r="G2726" s="121"/>
      <c r="H2726" s="121"/>
    </row>
    <row r="2727" spans="3:8" x14ac:dyDescent="0.2">
      <c r="C2727" s="121"/>
      <c r="E2727" s="121"/>
      <c r="F2727" s="121"/>
      <c r="G2727" s="121"/>
      <c r="H2727" s="121"/>
    </row>
    <row r="2728" spans="3:8" x14ac:dyDescent="0.2">
      <c r="C2728" s="121"/>
      <c r="E2728" s="121"/>
      <c r="F2728" s="121"/>
      <c r="G2728" s="121"/>
      <c r="H2728" s="121"/>
    </row>
    <row r="2729" spans="3:8" x14ac:dyDescent="0.2">
      <c r="C2729" s="121"/>
      <c r="E2729" s="121"/>
      <c r="F2729" s="121"/>
      <c r="G2729" s="121"/>
      <c r="H2729" s="121"/>
    </row>
    <row r="2730" spans="3:8" x14ac:dyDescent="0.2">
      <c r="C2730" s="121"/>
      <c r="E2730" s="121"/>
      <c r="F2730" s="121"/>
      <c r="G2730" s="121"/>
      <c r="H2730" s="121"/>
    </row>
    <row r="2731" spans="3:8" x14ac:dyDescent="0.2">
      <c r="C2731" s="121"/>
      <c r="E2731" s="121"/>
      <c r="F2731" s="121"/>
      <c r="G2731" s="121"/>
      <c r="H2731" s="121"/>
    </row>
    <row r="2732" spans="3:8" x14ac:dyDescent="0.2">
      <c r="C2732" s="121"/>
      <c r="E2732" s="121"/>
      <c r="F2732" s="121"/>
      <c r="G2732" s="121"/>
      <c r="H2732" s="121"/>
    </row>
    <row r="2733" spans="3:8" x14ac:dyDescent="0.2">
      <c r="C2733" s="121"/>
      <c r="E2733" s="121"/>
      <c r="F2733" s="121"/>
      <c r="G2733" s="121"/>
      <c r="H2733" s="121"/>
    </row>
    <row r="2734" spans="3:8" x14ac:dyDescent="0.2">
      <c r="C2734" s="121"/>
      <c r="E2734" s="121"/>
      <c r="F2734" s="121"/>
      <c r="G2734" s="121"/>
      <c r="H2734" s="121"/>
    </row>
    <row r="2735" spans="3:8" x14ac:dyDescent="0.2">
      <c r="C2735" s="121"/>
      <c r="E2735" s="121"/>
      <c r="F2735" s="121"/>
      <c r="G2735" s="121"/>
      <c r="H2735" s="121"/>
    </row>
    <row r="2736" spans="3:8" x14ac:dyDescent="0.2">
      <c r="C2736" s="121"/>
      <c r="E2736" s="121"/>
      <c r="F2736" s="121"/>
      <c r="G2736" s="121"/>
      <c r="H2736" s="121"/>
    </row>
    <row r="2737" spans="3:8" x14ac:dyDescent="0.2">
      <c r="C2737" s="121"/>
      <c r="E2737" s="121"/>
      <c r="F2737" s="121"/>
      <c r="G2737" s="121"/>
      <c r="H2737" s="121"/>
    </row>
    <row r="2738" spans="3:8" x14ac:dyDescent="0.2">
      <c r="C2738" s="121"/>
      <c r="E2738" s="121"/>
      <c r="F2738" s="121"/>
      <c r="G2738" s="121"/>
      <c r="H2738" s="121"/>
    </row>
    <row r="2739" spans="3:8" x14ac:dyDescent="0.2">
      <c r="C2739" s="121"/>
      <c r="E2739" s="121"/>
      <c r="F2739" s="121"/>
      <c r="G2739" s="121"/>
      <c r="H2739" s="121"/>
    </row>
    <row r="2740" spans="3:8" x14ac:dyDescent="0.2">
      <c r="C2740" s="121"/>
      <c r="E2740" s="121"/>
      <c r="F2740" s="121"/>
      <c r="G2740" s="121"/>
      <c r="H2740" s="121"/>
    </row>
    <row r="2741" spans="3:8" x14ac:dyDescent="0.2">
      <c r="C2741" s="121"/>
      <c r="E2741" s="121"/>
      <c r="F2741" s="121"/>
      <c r="G2741" s="121"/>
      <c r="H2741" s="121"/>
    </row>
    <row r="2742" spans="3:8" x14ac:dyDescent="0.2">
      <c r="C2742" s="121"/>
      <c r="E2742" s="121"/>
      <c r="F2742" s="121"/>
      <c r="G2742" s="121"/>
      <c r="H2742" s="121"/>
    </row>
    <row r="2743" spans="3:8" x14ac:dyDescent="0.2">
      <c r="C2743" s="121"/>
      <c r="E2743" s="121"/>
      <c r="F2743" s="121"/>
      <c r="G2743" s="121"/>
      <c r="H2743" s="121"/>
    </row>
    <row r="2744" spans="3:8" x14ac:dyDescent="0.2">
      <c r="C2744" s="121"/>
      <c r="E2744" s="121"/>
      <c r="F2744" s="121"/>
      <c r="G2744" s="121"/>
      <c r="H2744" s="121"/>
    </row>
    <row r="2745" spans="3:8" x14ac:dyDescent="0.2">
      <c r="C2745" s="121"/>
      <c r="E2745" s="121"/>
      <c r="F2745" s="121"/>
      <c r="G2745" s="121"/>
      <c r="H2745" s="121"/>
    </row>
    <row r="2746" spans="3:8" x14ac:dyDescent="0.2">
      <c r="C2746" s="121"/>
      <c r="E2746" s="121"/>
      <c r="F2746" s="121"/>
      <c r="G2746" s="121"/>
      <c r="H2746" s="121"/>
    </row>
    <row r="2747" spans="3:8" x14ac:dyDescent="0.2">
      <c r="C2747" s="121"/>
      <c r="E2747" s="121"/>
      <c r="F2747" s="121"/>
      <c r="G2747" s="121"/>
      <c r="H2747" s="121"/>
    </row>
    <row r="2748" spans="3:8" x14ac:dyDescent="0.2">
      <c r="C2748" s="121"/>
      <c r="E2748" s="121"/>
      <c r="F2748" s="121"/>
      <c r="G2748" s="121"/>
      <c r="H2748" s="121"/>
    </row>
    <row r="2749" spans="3:8" x14ac:dyDescent="0.2">
      <c r="C2749" s="121"/>
      <c r="E2749" s="121"/>
      <c r="F2749" s="121"/>
      <c r="G2749" s="121"/>
      <c r="H2749" s="121"/>
    </row>
    <row r="2750" spans="3:8" x14ac:dyDescent="0.2">
      <c r="C2750" s="121"/>
      <c r="E2750" s="121"/>
      <c r="F2750" s="121"/>
      <c r="G2750" s="121"/>
      <c r="H2750" s="121"/>
    </row>
    <row r="2751" spans="3:8" x14ac:dyDescent="0.2">
      <c r="C2751" s="121"/>
      <c r="E2751" s="121"/>
      <c r="F2751" s="121"/>
      <c r="G2751" s="121"/>
      <c r="H2751" s="121"/>
    </row>
    <row r="2752" spans="3:8" x14ac:dyDescent="0.2">
      <c r="C2752" s="121"/>
      <c r="E2752" s="121"/>
      <c r="F2752" s="121"/>
      <c r="G2752" s="121"/>
      <c r="H2752" s="121"/>
    </row>
    <row r="2753" spans="3:8" x14ac:dyDescent="0.2">
      <c r="C2753" s="121"/>
      <c r="E2753" s="121"/>
      <c r="F2753" s="121"/>
      <c r="G2753" s="121"/>
      <c r="H2753" s="121"/>
    </row>
    <row r="2754" spans="3:8" x14ac:dyDescent="0.2">
      <c r="C2754" s="121"/>
      <c r="E2754" s="121"/>
      <c r="F2754" s="121"/>
      <c r="G2754" s="121"/>
      <c r="H2754" s="121"/>
    </row>
    <row r="2755" spans="3:8" x14ac:dyDescent="0.2">
      <c r="C2755" s="121"/>
      <c r="E2755" s="121"/>
      <c r="F2755" s="121"/>
      <c r="G2755" s="121"/>
      <c r="H2755" s="121"/>
    </row>
    <row r="2756" spans="3:8" x14ac:dyDescent="0.2">
      <c r="C2756" s="121"/>
      <c r="E2756" s="121"/>
      <c r="F2756" s="121"/>
      <c r="G2756" s="121"/>
      <c r="H2756" s="121"/>
    </row>
    <row r="2757" spans="3:8" x14ac:dyDescent="0.2">
      <c r="C2757" s="121"/>
      <c r="E2757" s="121"/>
      <c r="F2757" s="121"/>
      <c r="G2757" s="121"/>
      <c r="H2757" s="121"/>
    </row>
    <row r="2758" spans="3:8" x14ac:dyDescent="0.2">
      <c r="C2758" s="121"/>
      <c r="E2758" s="121"/>
      <c r="F2758" s="121"/>
      <c r="G2758" s="121"/>
      <c r="H2758" s="121"/>
    </row>
    <row r="2759" spans="3:8" x14ac:dyDescent="0.2">
      <c r="C2759" s="121"/>
      <c r="E2759" s="121"/>
      <c r="F2759" s="121"/>
      <c r="G2759" s="121"/>
      <c r="H2759" s="121"/>
    </row>
    <row r="2760" spans="3:8" x14ac:dyDescent="0.2">
      <c r="C2760" s="121"/>
      <c r="E2760" s="121"/>
      <c r="F2760" s="121"/>
      <c r="G2760" s="121"/>
      <c r="H2760" s="121"/>
    </row>
    <row r="2761" spans="3:8" x14ac:dyDescent="0.2">
      <c r="C2761" s="121"/>
      <c r="E2761" s="121"/>
      <c r="F2761" s="121"/>
      <c r="G2761" s="121"/>
      <c r="H2761" s="121"/>
    </row>
    <row r="2762" spans="3:8" x14ac:dyDescent="0.2">
      <c r="C2762" s="121"/>
      <c r="E2762" s="121"/>
      <c r="F2762" s="121"/>
      <c r="G2762" s="121"/>
      <c r="H2762" s="121"/>
    </row>
    <row r="2763" spans="3:8" x14ac:dyDescent="0.2">
      <c r="C2763" s="121"/>
      <c r="E2763" s="121"/>
      <c r="F2763" s="121"/>
      <c r="G2763" s="121"/>
      <c r="H2763" s="121"/>
    </row>
    <row r="2764" spans="3:8" x14ac:dyDescent="0.2">
      <c r="C2764" s="121"/>
      <c r="E2764" s="121"/>
      <c r="F2764" s="121"/>
      <c r="G2764" s="121"/>
      <c r="H2764" s="121"/>
    </row>
    <row r="2765" spans="3:8" x14ac:dyDescent="0.2">
      <c r="C2765" s="121"/>
      <c r="E2765" s="121"/>
      <c r="F2765" s="121"/>
      <c r="G2765" s="121"/>
      <c r="H2765" s="121"/>
    </row>
    <row r="2766" spans="3:8" x14ac:dyDescent="0.2">
      <c r="C2766" s="121"/>
      <c r="E2766" s="121"/>
      <c r="F2766" s="121"/>
      <c r="G2766" s="121"/>
      <c r="H2766" s="121"/>
    </row>
    <row r="2767" spans="3:8" x14ac:dyDescent="0.2">
      <c r="C2767" s="121"/>
      <c r="E2767" s="121"/>
      <c r="F2767" s="121"/>
      <c r="G2767" s="121"/>
      <c r="H2767" s="121"/>
    </row>
    <row r="2768" spans="3:8" x14ac:dyDescent="0.2">
      <c r="C2768" s="121"/>
      <c r="E2768" s="121"/>
      <c r="F2768" s="121"/>
      <c r="G2768" s="121"/>
      <c r="H2768" s="121"/>
    </row>
    <row r="2769" spans="3:8" x14ac:dyDescent="0.2">
      <c r="C2769" s="121"/>
      <c r="E2769" s="121"/>
      <c r="F2769" s="121"/>
      <c r="G2769" s="121"/>
      <c r="H2769" s="121"/>
    </row>
    <row r="2770" spans="3:8" x14ac:dyDescent="0.2">
      <c r="C2770" s="121"/>
      <c r="E2770" s="121"/>
      <c r="F2770" s="121"/>
      <c r="G2770" s="121"/>
      <c r="H2770" s="121"/>
    </row>
    <row r="2771" spans="3:8" x14ac:dyDescent="0.2">
      <c r="C2771" s="121"/>
      <c r="E2771" s="121"/>
      <c r="F2771" s="121"/>
      <c r="G2771" s="121"/>
      <c r="H2771" s="121"/>
    </row>
    <row r="2772" spans="3:8" x14ac:dyDescent="0.2">
      <c r="C2772" s="121"/>
      <c r="E2772" s="121"/>
      <c r="F2772" s="121"/>
      <c r="G2772" s="121"/>
      <c r="H2772" s="121"/>
    </row>
    <row r="2773" spans="3:8" x14ac:dyDescent="0.2">
      <c r="C2773" s="121"/>
      <c r="E2773" s="121"/>
      <c r="F2773" s="121"/>
      <c r="G2773" s="121"/>
      <c r="H2773" s="121"/>
    </row>
    <row r="2774" spans="3:8" x14ac:dyDescent="0.2">
      <c r="C2774" s="121"/>
      <c r="E2774" s="121"/>
      <c r="F2774" s="121"/>
      <c r="G2774" s="121"/>
      <c r="H2774" s="121"/>
    </row>
    <row r="2775" spans="3:8" x14ac:dyDescent="0.2">
      <c r="C2775" s="121"/>
      <c r="E2775" s="121"/>
      <c r="F2775" s="121"/>
      <c r="G2775" s="121"/>
      <c r="H2775" s="121"/>
    </row>
    <row r="2776" spans="3:8" x14ac:dyDescent="0.2">
      <c r="C2776" s="121"/>
      <c r="E2776" s="121"/>
      <c r="F2776" s="121"/>
      <c r="G2776" s="121"/>
      <c r="H2776" s="121"/>
    </row>
    <row r="2777" spans="3:8" x14ac:dyDescent="0.2">
      <c r="C2777" s="121"/>
      <c r="E2777" s="121"/>
      <c r="F2777" s="121"/>
      <c r="G2777" s="121"/>
      <c r="H2777" s="121"/>
    </row>
    <row r="2778" spans="3:8" x14ac:dyDescent="0.2">
      <c r="C2778" s="121"/>
      <c r="E2778" s="121"/>
      <c r="F2778" s="121"/>
      <c r="G2778" s="121"/>
      <c r="H2778" s="121"/>
    </row>
    <row r="2779" spans="3:8" x14ac:dyDescent="0.2">
      <c r="C2779" s="121"/>
      <c r="E2779" s="121"/>
      <c r="F2779" s="121"/>
      <c r="G2779" s="121"/>
      <c r="H2779" s="121"/>
    </row>
    <row r="2780" spans="3:8" x14ac:dyDescent="0.2">
      <c r="C2780" s="121"/>
      <c r="E2780" s="121"/>
      <c r="F2780" s="121"/>
      <c r="G2780" s="121"/>
      <c r="H2780" s="121"/>
    </row>
    <row r="2781" spans="3:8" x14ac:dyDescent="0.2">
      <c r="C2781" s="121"/>
      <c r="E2781" s="121"/>
      <c r="F2781" s="121"/>
      <c r="G2781" s="121"/>
      <c r="H2781" s="121"/>
    </row>
    <row r="2782" spans="3:8" x14ac:dyDescent="0.2">
      <c r="C2782" s="121"/>
      <c r="E2782" s="121"/>
      <c r="F2782" s="121"/>
      <c r="G2782" s="121"/>
      <c r="H2782" s="121"/>
    </row>
    <row r="2783" spans="3:8" x14ac:dyDescent="0.2">
      <c r="C2783" s="121"/>
      <c r="E2783" s="121"/>
      <c r="F2783" s="121"/>
      <c r="G2783" s="121"/>
      <c r="H2783" s="121"/>
    </row>
    <row r="2784" spans="3:8" x14ac:dyDescent="0.2">
      <c r="C2784" s="121"/>
      <c r="E2784" s="121"/>
      <c r="F2784" s="121"/>
      <c r="G2784" s="121"/>
      <c r="H2784" s="121"/>
    </row>
    <row r="2785" spans="3:8" x14ac:dyDescent="0.2">
      <c r="C2785" s="121"/>
      <c r="E2785" s="121"/>
      <c r="F2785" s="121"/>
      <c r="G2785" s="121"/>
      <c r="H2785" s="121"/>
    </row>
    <row r="2786" spans="3:8" x14ac:dyDescent="0.2">
      <c r="C2786" s="121"/>
      <c r="E2786" s="121"/>
      <c r="F2786" s="121"/>
      <c r="G2786" s="121"/>
      <c r="H2786" s="121"/>
    </row>
    <row r="2787" spans="3:8" x14ac:dyDescent="0.2">
      <c r="C2787" s="121"/>
      <c r="E2787" s="121"/>
      <c r="F2787" s="121"/>
      <c r="G2787" s="121"/>
      <c r="H2787" s="121"/>
    </row>
    <row r="2788" spans="3:8" x14ac:dyDescent="0.2">
      <c r="C2788" s="121"/>
      <c r="E2788" s="121"/>
      <c r="F2788" s="121"/>
      <c r="G2788" s="121"/>
      <c r="H2788" s="121"/>
    </row>
    <row r="2789" spans="3:8" x14ac:dyDescent="0.2">
      <c r="C2789" s="121"/>
      <c r="E2789" s="121"/>
      <c r="F2789" s="121"/>
      <c r="G2789" s="121"/>
      <c r="H2789" s="121"/>
    </row>
    <row r="2790" spans="3:8" x14ac:dyDescent="0.2">
      <c r="C2790" s="121"/>
      <c r="E2790" s="121"/>
      <c r="F2790" s="121"/>
      <c r="G2790" s="121"/>
      <c r="H2790" s="121"/>
    </row>
    <row r="2791" spans="3:8" x14ac:dyDescent="0.2">
      <c r="C2791" s="121"/>
      <c r="E2791" s="121"/>
      <c r="F2791" s="121"/>
      <c r="G2791" s="121"/>
      <c r="H2791" s="121"/>
    </row>
    <row r="2792" spans="3:8" x14ac:dyDescent="0.2">
      <c r="C2792" s="121"/>
      <c r="E2792" s="121"/>
      <c r="F2792" s="121"/>
      <c r="G2792" s="121"/>
      <c r="H2792" s="121"/>
    </row>
    <row r="2793" spans="3:8" x14ac:dyDescent="0.2">
      <c r="C2793" s="121"/>
      <c r="E2793" s="121"/>
      <c r="F2793" s="121"/>
      <c r="G2793" s="121"/>
      <c r="H2793" s="121"/>
    </row>
    <row r="2794" spans="3:8" x14ac:dyDescent="0.2">
      <c r="C2794" s="121"/>
      <c r="E2794" s="121"/>
      <c r="F2794" s="121"/>
      <c r="G2794" s="121"/>
      <c r="H2794" s="121"/>
    </row>
    <row r="2795" spans="3:8" x14ac:dyDescent="0.2">
      <c r="C2795" s="121"/>
      <c r="E2795" s="121"/>
      <c r="F2795" s="121"/>
      <c r="G2795" s="121"/>
      <c r="H2795" s="121"/>
    </row>
    <row r="2796" spans="3:8" x14ac:dyDescent="0.2">
      <c r="C2796" s="121"/>
      <c r="E2796" s="121"/>
      <c r="F2796" s="121"/>
      <c r="G2796" s="121"/>
      <c r="H2796" s="121"/>
    </row>
    <row r="2797" spans="3:8" x14ac:dyDescent="0.2">
      <c r="C2797" s="121"/>
      <c r="E2797" s="121"/>
      <c r="F2797" s="121"/>
      <c r="G2797" s="121"/>
      <c r="H2797" s="121"/>
    </row>
    <row r="2798" spans="3:8" x14ac:dyDescent="0.2">
      <c r="C2798" s="121"/>
      <c r="E2798" s="121"/>
      <c r="F2798" s="121"/>
      <c r="G2798" s="121"/>
      <c r="H2798" s="121"/>
    </row>
    <row r="2799" spans="3:8" x14ac:dyDescent="0.2">
      <c r="C2799" s="121"/>
      <c r="E2799" s="121"/>
      <c r="F2799" s="121"/>
      <c r="G2799" s="121"/>
      <c r="H2799" s="121"/>
    </row>
    <row r="2800" spans="3:8" x14ac:dyDescent="0.2">
      <c r="C2800" s="121"/>
      <c r="E2800" s="121"/>
      <c r="F2800" s="121"/>
      <c r="G2800" s="121"/>
      <c r="H2800" s="121"/>
    </row>
    <row r="2801" spans="3:8" x14ac:dyDescent="0.2">
      <c r="C2801" s="121"/>
      <c r="E2801" s="121"/>
      <c r="F2801" s="121"/>
      <c r="G2801" s="121"/>
      <c r="H2801" s="121"/>
    </row>
    <row r="2802" spans="3:8" x14ac:dyDescent="0.2">
      <c r="C2802" s="121"/>
      <c r="E2802" s="121"/>
      <c r="F2802" s="121"/>
      <c r="G2802" s="121"/>
      <c r="H2802" s="121"/>
    </row>
    <row r="2803" spans="3:8" x14ac:dyDescent="0.2">
      <c r="C2803" s="121"/>
      <c r="E2803" s="121"/>
      <c r="F2803" s="121"/>
      <c r="G2803" s="121"/>
      <c r="H2803" s="121"/>
    </row>
    <row r="2804" spans="3:8" x14ac:dyDescent="0.2">
      <c r="C2804" s="121"/>
      <c r="E2804" s="121"/>
      <c r="F2804" s="121"/>
      <c r="G2804" s="121"/>
      <c r="H2804" s="121"/>
    </row>
    <row r="2805" spans="3:8" x14ac:dyDescent="0.2">
      <c r="C2805" s="121"/>
      <c r="E2805" s="121"/>
      <c r="F2805" s="121"/>
      <c r="G2805" s="121"/>
      <c r="H2805" s="121"/>
    </row>
    <row r="2806" spans="3:8" x14ac:dyDescent="0.2">
      <c r="C2806" s="121"/>
      <c r="E2806" s="121"/>
      <c r="F2806" s="121"/>
      <c r="G2806" s="121"/>
      <c r="H2806" s="121"/>
    </row>
    <row r="2807" spans="3:8" x14ac:dyDescent="0.2">
      <c r="C2807" s="121"/>
      <c r="E2807" s="121"/>
      <c r="F2807" s="121"/>
      <c r="G2807" s="121"/>
      <c r="H2807" s="121"/>
    </row>
    <row r="2808" spans="3:8" x14ac:dyDescent="0.2">
      <c r="C2808" s="121"/>
      <c r="E2808" s="121"/>
      <c r="F2808" s="121"/>
      <c r="G2808" s="121"/>
      <c r="H2808" s="121"/>
    </row>
    <row r="2809" spans="3:8" x14ac:dyDescent="0.2">
      <c r="C2809" s="121"/>
      <c r="E2809" s="121"/>
      <c r="F2809" s="121"/>
      <c r="G2809" s="121"/>
      <c r="H2809" s="121"/>
    </row>
    <row r="2810" spans="3:8" x14ac:dyDescent="0.2">
      <c r="C2810" s="121"/>
      <c r="E2810" s="121"/>
      <c r="F2810" s="121"/>
      <c r="G2810" s="121"/>
      <c r="H2810" s="121"/>
    </row>
    <row r="2811" spans="3:8" x14ac:dyDescent="0.2">
      <c r="C2811" s="121"/>
      <c r="E2811" s="121"/>
      <c r="F2811" s="121"/>
      <c r="G2811" s="121"/>
      <c r="H2811" s="121"/>
    </row>
    <row r="2812" spans="3:8" x14ac:dyDescent="0.2">
      <c r="C2812" s="121"/>
      <c r="E2812" s="121"/>
      <c r="F2812" s="121"/>
      <c r="G2812" s="121"/>
      <c r="H2812" s="121"/>
    </row>
    <row r="2813" spans="3:8" x14ac:dyDescent="0.2">
      <c r="C2813" s="121"/>
      <c r="E2813" s="121"/>
      <c r="F2813" s="121"/>
      <c r="G2813" s="121"/>
      <c r="H2813" s="121"/>
    </row>
    <row r="2814" spans="3:8" x14ac:dyDescent="0.2">
      <c r="C2814" s="121"/>
      <c r="E2814" s="121"/>
      <c r="F2814" s="121"/>
      <c r="G2814" s="121"/>
      <c r="H2814" s="121"/>
    </row>
    <row r="2815" spans="3:8" x14ac:dyDescent="0.2">
      <c r="C2815" s="121"/>
      <c r="E2815" s="121"/>
      <c r="F2815" s="121"/>
      <c r="G2815" s="121"/>
      <c r="H2815" s="121"/>
    </row>
    <row r="2816" spans="3:8" x14ac:dyDescent="0.2">
      <c r="C2816" s="121"/>
      <c r="E2816" s="121"/>
      <c r="F2816" s="121"/>
      <c r="G2816" s="121"/>
      <c r="H2816" s="121"/>
    </row>
    <row r="2817" spans="3:8" x14ac:dyDescent="0.2">
      <c r="C2817" s="121"/>
      <c r="E2817" s="121"/>
      <c r="F2817" s="121"/>
      <c r="G2817" s="121"/>
      <c r="H2817" s="121"/>
    </row>
    <row r="2818" spans="3:8" x14ac:dyDescent="0.2">
      <c r="C2818" s="121"/>
      <c r="E2818" s="121"/>
      <c r="F2818" s="121"/>
      <c r="G2818" s="121"/>
      <c r="H2818" s="121"/>
    </row>
    <row r="2819" spans="3:8" x14ac:dyDescent="0.2">
      <c r="C2819" s="121"/>
      <c r="E2819" s="121"/>
      <c r="F2819" s="121"/>
      <c r="G2819" s="121"/>
      <c r="H2819" s="121"/>
    </row>
    <row r="2820" spans="3:8" x14ac:dyDescent="0.2">
      <c r="C2820" s="121"/>
      <c r="E2820" s="121"/>
      <c r="F2820" s="121"/>
      <c r="G2820" s="121"/>
      <c r="H2820" s="121"/>
    </row>
    <row r="2821" spans="3:8" x14ac:dyDescent="0.2">
      <c r="C2821" s="121"/>
      <c r="E2821" s="121"/>
      <c r="F2821" s="121"/>
      <c r="G2821" s="121"/>
      <c r="H2821" s="121"/>
    </row>
    <row r="2822" spans="3:8" x14ac:dyDescent="0.2">
      <c r="C2822" s="121"/>
      <c r="E2822" s="121"/>
      <c r="F2822" s="121"/>
      <c r="G2822" s="121"/>
      <c r="H2822" s="121"/>
    </row>
    <row r="2823" spans="3:8" x14ac:dyDescent="0.2">
      <c r="C2823" s="121"/>
      <c r="E2823" s="121"/>
      <c r="F2823" s="121"/>
      <c r="G2823" s="121"/>
      <c r="H2823" s="121"/>
    </row>
    <row r="2824" spans="3:8" x14ac:dyDescent="0.2">
      <c r="C2824" s="121"/>
      <c r="E2824" s="121"/>
      <c r="F2824" s="121"/>
      <c r="G2824" s="121"/>
      <c r="H2824" s="121"/>
    </row>
    <row r="2825" spans="3:8" x14ac:dyDescent="0.2">
      <c r="C2825" s="121"/>
      <c r="E2825" s="121"/>
      <c r="F2825" s="121"/>
      <c r="G2825" s="121"/>
      <c r="H2825" s="121"/>
    </row>
    <row r="2826" spans="3:8" x14ac:dyDescent="0.2">
      <c r="C2826" s="121"/>
      <c r="E2826" s="121"/>
      <c r="F2826" s="121"/>
      <c r="G2826" s="121"/>
      <c r="H2826" s="121"/>
    </row>
    <row r="2827" spans="3:8" x14ac:dyDescent="0.2">
      <c r="C2827" s="121"/>
      <c r="E2827" s="121"/>
      <c r="F2827" s="121"/>
      <c r="G2827" s="121"/>
      <c r="H2827" s="121"/>
    </row>
    <row r="2828" spans="3:8" x14ac:dyDescent="0.2">
      <c r="C2828" s="121"/>
      <c r="E2828" s="121"/>
      <c r="F2828" s="121"/>
      <c r="G2828" s="121"/>
      <c r="H2828" s="121"/>
    </row>
    <row r="2829" spans="3:8" x14ac:dyDescent="0.2">
      <c r="C2829" s="121"/>
      <c r="E2829" s="121"/>
      <c r="F2829" s="121"/>
      <c r="G2829" s="121"/>
      <c r="H2829" s="121"/>
    </row>
    <row r="2830" spans="3:8" x14ac:dyDescent="0.2">
      <c r="C2830" s="121"/>
      <c r="E2830" s="121"/>
      <c r="F2830" s="121"/>
      <c r="G2830" s="121"/>
      <c r="H2830" s="121"/>
    </row>
    <row r="2831" spans="3:8" x14ac:dyDescent="0.2">
      <c r="C2831" s="121"/>
      <c r="E2831" s="121"/>
      <c r="F2831" s="121"/>
      <c r="G2831" s="121"/>
      <c r="H2831" s="121"/>
    </row>
    <row r="2832" spans="3:8" x14ac:dyDescent="0.2">
      <c r="C2832" s="121"/>
      <c r="E2832" s="121"/>
      <c r="F2832" s="121"/>
      <c r="G2832" s="121"/>
      <c r="H2832" s="121"/>
    </row>
    <row r="2833" spans="3:8" x14ac:dyDescent="0.2">
      <c r="C2833" s="121"/>
      <c r="E2833" s="121"/>
      <c r="F2833" s="121"/>
      <c r="G2833" s="121"/>
      <c r="H2833" s="121"/>
    </row>
    <row r="2834" spans="3:8" x14ac:dyDescent="0.2">
      <c r="C2834" s="121"/>
      <c r="E2834" s="121"/>
      <c r="F2834" s="121"/>
      <c r="G2834" s="121"/>
      <c r="H2834" s="121"/>
    </row>
    <row r="2835" spans="3:8" x14ac:dyDescent="0.2">
      <c r="C2835" s="121"/>
      <c r="E2835" s="121"/>
      <c r="F2835" s="121"/>
      <c r="G2835" s="121"/>
      <c r="H2835" s="121"/>
    </row>
    <row r="2836" spans="3:8" x14ac:dyDescent="0.2">
      <c r="C2836" s="121"/>
      <c r="E2836" s="121"/>
      <c r="F2836" s="121"/>
      <c r="G2836" s="121"/>
      <c r="H2836" s="121"/>
    </row>
    <row r="2837" spans="3:8" x14ac:dyDescent="0.2">
      <c r="C2837" s="121"/>
      <c r="E2837" s="121"/>
      <c r="F2837" s="121"/>
      <c r="G2837" s="121"/>
      <c r="H2837" s="121"/>
    </row>
    <row r="2838" spans="3:8" x14ac:dyDescent="0.2">
      <c r="C2838" s="121"/>
      <c r="E2838" s="121"/>
      <c r="F2838" s="121"/>
      <c r="G2838" s="121"/>
      <c r="H2838" s="121"/>
    </row>
    <row r="2839" spans="3:8" x14ac:dyDescent="0.2">
      <c r="C2839" s="121"/>
      <c r="E2839" s="121"/>
      <c r="F2839" s="121"/>
      <c r="G2839" s="121"/>
      <c r="H2839" s="121"/>
    </row>
    <row r="2840" spans="3:8" x14ac:dyDescent="0.2">
      <c r="C2840" s="121"/>
      <c r="E2840" s="121"/>
      <c r="F2840" s="121"/>
      <c r="G2840" s="121"/>
      <c r="H2840" s="121"/>
    </row>
    <row r="2841" spans="3:8" x14ac:dyDescent="0.2">
      <c r="C2841" s="121"/>
      <c r="E2841" s="121"/>
      <c r="F2841" s="121"/>
      <c r="G2841" s="121"/>
      <c r="H2841" s="121"/>
    </row>
    <row r="2842" spans="3:8" x14ac:dyDescent="0.2">
      <c r="C2842" s="121"/>
      <c r="E2842" s="121"/>
      <c r="F2842" s="121"/>
      <c r="G2842" s="121"/>
      <c r="H2842" s="121"/>
    </row>
    <row r="2843" spans="3:8" x14ac:dyDescent="0.2">
      <c r="C2843" s="121"/>
      <c r="E2843" s="121"/>
      <c r="F2843" s="121"/>
      <c r="G2843" s="121"/>
      <c r="H2843" s="121"/>
    </row>
    <row r="2844" spans="3:8" x14ac:dyDescent="0.2">
      <c r="C2844" s="121"/>
      <c r="E2844" s="121"/>
      <c r="F2844" s="121"/>
      <c r="G2844" s="121"/>
      <c r="H2844" s="121"/>
    </row>
    <row r="2845" spans="3:8" x14ac:dyDescent="0.2">
      <c r="C2845" s="121"/>
      <c r="E2845" s="121"/>
      <c r="F2845" s="121"/>
      <c r="G2845" s="121"/>
      <c r="H2845" s="121"/>
    </row>
    <row r="2846" spans="3:8" x14ac:dyDescent="0.2">
      <c r="C2846" s="121"/>
      <c r="E2846" s="121"/>
      <c r="F2846" s="121"/>
      <c r="G2846" s="121"/>
      <c r="H2846" s="121"/>
    </row>
    <row r="2847" spans="3:8" x14ac:dyDescent="0.2">
      <c r="C2847" s="121"/>
      <c r="E2847" s="121"/>
      <c r="F2847" s="121"/>
      <c r="G2847" s="121"/>
      <c r="H2847" s="121"/>
    </row>
    <row r="2848" spans="3:8" x14ac:dyDescent="0.2">
      <c r="C2848" s="121"/>
      <c r="E2848" s="121"/>
      <c r="F2848" s="121"/>
      <c r="G2848" s="121"/>
      <c r="H2848" s="121"/>
    </row>
    <row r="2849" spans="3:8" x14ac:dyDescent="0.2">
      <c r="C2849" s="121"/>
      <c r="E2849" s="121"/>
      <c r="F2849" s="121"/>
      <c r="G2849" s="121"/>
      <c r="H2849" s="121"/>
    </row>
    <row r="2850" spans="3:8" x14ac:dyDescent="0.2">
      <c r="C2850" s="121"/>
      <c r="E2850" s="121"/>
      <c r="F2850" s="121"/>
      <c r="G2850" s="121"/>
      <c r="H2850" s="121"/>
    </row>
    <row r="2851" spans="3:8" x14ac:dyDescent="0.2">
      <c r="C2851" s="121"/>
      <c r="E2851" s="121"/>
      <c r="F2851" s="121"/>
      <c r="G2851" s="121"/>
      <c r="H2851" s="121"/>
    </row>
    <row r="2852" spans="3:8" x14ac:dyDescent="0.2">
      <c r="C2852" s="121"/>
      <c r="E2852" s="121"/>
      <c r="F2852" s="121"/>
      <c r="G2852" s="121"/>
      <c r="H2852" s="121"/>
    </row>
    <row r="2853" spans="3:8" x14ac:dyDescent="0.2">
      <c r="C2853" s="121"/>
      <c r="E2853" s="121"/>
      <c r="F2853" s="121"/>
      <c r="G2853" s="121"/>
      <c r="H2853" s="121"/>
    </row>
    <row r="2854" spans="3:8" x14ac:dyDescent="0.2">
      <c r="C2854" s="121"/>
      <c r="E2854" s="121"/>
      <c r="F2854" s="121"/>
      <c r="G2854" s="121"/>
      <c r="H2854" s="121"/>
    </row>
    <row r="2855" spans="3:8" x14ac:dyDescent="0.2">
      <c r="C2855" s="121"/>
      <c r="E2855" s="121"/>
      <c r="F2855" s="121"/>
      <c r="G2855" s="121"/>
      <c r="H2855" s="121"/>
    </row>
    <row r="2856" spans="3:8" x14ac:dyDescent="0.2">
      <c r="C2856" s="121"/>
      <c r="E2856" s="121"/>
      <c r="F2856" s="121"/>
      <c r="G2856" s="121"/>
      <c r="H2856" s="121"/>
    </row>
    <row r="2857" spans="3:8" x14ac:dyDescent="0.2">
      <c r="C2857" s="121"/>
      <c r="E2857" s="121"/>
      <c r="F2857" s="121"/>
      <c r="G2857" s="121"/>
      <c r="H2857" s="121"/>
    </row>
    <row r="2858" spans="3:8" x14ac:dyDescent="0.2">
      <c r="C2858" s="121"/>
      <c r="E2858" s="121"/>
      <c r="F2858" s="121"/>
      <c r="G2858" s="121"/>
      <c r="H2858" s="121"/>
    </row>
    <row r="2859" spans="3:8" x14ac:dyDescent="0.2">
      <c r="C2859" s="121"/>
      <c r="E2859" s="121"/>
      <c r="F2859" s="121"/>
      <c r="G2859" s="121"/>
      <c r="H2859" s="121"/>
    </row>
    <row r="2860" spans="3:8" x14ac:dyDescent="0.2">
      <c r="C2860" s="121"/>
      <c r="E2860" s="121"/>
      <c r="F2860" s="121"/>
      <c r="G2860" s="121"/>
      <c r="H2860" s="121"/>
    </row>
    <row r="2861" spans="3:8" x14ac:dyDescent="0.2">
      <c r="C2861" s="121"/>
      <c r="E2861" s="121"/>
      <c r="F2861" s="121"/>
      <c r="G2861" s="121"/>
      <c r="H2861" s="121"/>
    </row>
    <row r="2862" spans="3:8" x14ac:dyDescent="0.2">
      <c r="C2862" s="121"/>
      <c r="E2862" s="121"/>
      <c r="F2862" s="121"/>
      <c r="G2862" s="121"/>
      <c r="H2862" s="121"/>
    </row>
    <row r="2863" spans="3:8" x14ac:dyDescent="0.2">
      <c r="C2863" s="121"/>
      <c r="E2863" s="121"/>
      <c r="F2863" s="121"/>
      <c r="G2863" s="121"/>
      <c r="H2863" s="121"/>
    </row>
    <row r="2864" spans="3:8" x14ac:dyDescent="0.2">
      <c r="C2864" s="121"/>
      <c r="E2864" s="121"/>
      <c r="F2864" s="121"/>
      <c r="G2864" s="121"/>
      <c r="H2864" s="121"/>
    </row>
    <row r="2865" spans="3:8" x14ac:dyDescent="0.2">
      <c r="C2865" s="121"/>
      <c r="E2865" s="121"/>
      <c r="F2865" s="121"/>
      <c r="G2865" s="121"/>
      <c r="H2865" s="121"/>
    </row>
    <row r="2866" spans="3:8" x14ac:dyDescent="0.2">
      <c r="C2866" s="121"/>
      <c r="E2866" s="121"/>
      <c r="F2866" s="121"/>
      <c r="G2866" s="121"/>
      <c r="H2866" s="121"/>
    </row>
    <row r="2867" spans="3:8" x14ac:dyDescent="0.2">
      <c r="C2867" s="121"/>
      <c r="E2867" s="121"/>
      <c r="F2867" s="121"/>
      <c r="G2867" s="121"/>
      <c r="H2867" s="121"/>
    </row>
    <row r="2868" spans="3:8" x14ac:dyDescent="0.2">
      <c r="C2868" s="121"/>
      <c r="E2868" s="121"/>
      <c r="F2868" s="121"/>
      <c r="G2868" s="121"/>
      <c r="H2868" s="121"/>
    </row>
    <row r="2869" spans="3:8" x14ac:dyDescent="0.2">
      <c r="C2869" s="121"/>
      <c r="E2869" s="121"/>
      <c r="F2869" s="121"/>
      <c r="G2869" s="121"/>
      <c r="H2869" s="121"/>
    </row>
    <row r="2870" spans="3:8" x14ac:dyDescent="0.2">
      <c r="C2870" s="121"/>
      <c r="E2870" s="121"/>
      <c r="F2870" s="121"/>
      <c r="G2870" s="121"/>
      <c r="H2870" s="121"/>
    </row>
    <row r="2871" spans="3:8" x14ac:dyDescent="0.2">
      <c r="C2871" s="121"/>
      <c r="E2871" s="121"/>
      <c r="F2871" s="121"/>
      <c r="G2871" s="121"/>
      <c r="H2871" s="121"/>
    </row>
    <row r="2872" spans="3:8" x14ac:dyDescent="0.2">
      <c r="C2872" s="121"/>
      <c r="E2872" s="121"/>
      <c r="F2872" s="121"/>
      <c r="G2872" s="121"/>
      <c r="H2872" s="121"/>
    </row>
    <row r="2873" spans="3:8" x14ac:dyDescent="0.2">
      <c r="C2873" s="121"/>
      <c r="E2873" s="121"/>
      <c r="F2873" s="121"/>
      <c r="G2873" s="121"/>
      <c r="H2873" s="121"/>
    </row>
    <row r="2874" spans="3:8" x14ac:dyDescent="0.2">
      <c r="C2874" s="121"/>
      <c r="E2874" s="121"/>
      <c r="F2874" s="121"/>
      <c r="G2874" s="121"/>
      <c r="H2874" s="121"/>
    </row>
    <row r="2875" spans="3:8" x14ac:dyDescent="0.2">
      <c r="C2875" s="121"/>
      <c r="E2875" s="121"/>
      <c r="F2875" s="121"/>
      <c r="G2875" s="121"/>
      <c r="H2875" s="121"/>
    </row>
    <row r="2876" spans="3:8" x14ac:dyDescent="0.2">
      <c r="C2876" s="121"/>
      <c r="E2876" s="121"/>
      <c r="F2876" s="121"/>
      <c r="G2876" s="121"/>
      <c r="H2876" s="121"/>
    </row>
    <row r="2877" spans="3:8" x14ac:dyDescent="0.2">
      <c r="C2877" s="121"/>
      <c r="E2877" s="121"/>
      <c r="F2877" s="121"/>
      <c r="G2877" s="121"/>
      <c r="H2877" s="121"/>
    </row>
    <row r="2878" spans="3:8" x14ac:dyDescent="0.2">
      <c r="C2878" s="121"/>
      <c r="E2878" s="121"/>
      <c r="F2878" s="121"/>
      <c r="G2878" s="121"/>
      <c r="H2878" s="121"/>
    </row>
    <row r="2879" spans="3:8" x14ac:dyDescent="0.2">
      <c r="C2879" s="121"/>
      <c r="E2879" s="121"/>
      <c r="F2879" s="121"/>
      <c r="G2879" s="121"/>
      <c r="H2879" s="121"/>
    </row>
    <row r="2880" spans="3:8" x14ac:dyDescent="0.2">
      <c r="C2880" s="121"/>
      <c r="E2880" s="121"/>
      <c r="F2880" s="121"/>
      <c r="G2880" s="121"/>
      <c r="H2880" s="121"/>
    </row>
    <row r="2881" spans="3:8" x14ac:dyDescent="0.2">
      <c r="C2881" s="121"/>
      <c r="E2881" s="121"/>
      <c r="F2881" s="121"/>
      <c r="G2881" s="121"/>
      <c r="H2881" s="121"/>
    </row>
    <row r="2882" spans="3:8" x14ac:dyDescent="0.2">
      <c r="C2882" s="121"/>
      <c r="E2882" s="121"/>
      <c r="F2882" s="121"/>
      <c r="G2882" s="121"/>
      <c r="H2882" s="121"/>
    </row>
    <row r="2883" spans="3:8" x14ac:dyDescent="0.2">
      <c r="C2883" s="121"/>
      <c r="E2883" s="121"/>
      <c r="F2883" s="121"/>
      <c r="G2883" s="121"/>
      <c r="H2883" s="121"/>
    </row>
    <row r="2884" spans="3:8" x14ac:dyDescent="0.2">
      <c r="C2884" s="121"/>
      <c r="E2884" s="121"/>
      <c r="F2884" s="121"/>
      <c r="G2884" s="121"/>
      <c r="H2884" s="121"/>
    </row>
    <row r="2885" spans="3:8" x14ac:dyDescent="0.2">
      <c r="C2885" s="121"/>
      <c r="E2885" s="121"/>
      <c r="F2885" s="121"/>
      <c r="G2885" s="121"/>
      <c r="H2885" s="121"/>
    </row>
    <row r="2886" spans="3:8" x14ac:dyDescent="0.2">
      <c r="C2886" s="121"/>
      <c r="E2886" s="121"/>
      <c r="F2886" s="121"/>
      <c r="G2886" s="121"/>
      <c r="H2886" s="121"/>
    </row>
    <row r="2887" spans="3:8" x14ac:dyDescent="0.2">
      <c r="C2887" s="121"/>
      <c r="E2887" s="121"/>
      <c r="F2887" s="121"/>
      <c r="G2887" s="121"/>
      <c r="H2887" s="121"/>
    </row>
    <row r="2888" spans="3:8" x14ac:dyDescent="0.2">
      <c r="C2888" s="121"/>
      <c r="E2888" s="121"/>
      <c r="F2888" s="121"/>
      <c r="G2888" s="121"/>
      <c r="H2888" s="121"/>
    </row>
    <row r="2889" spans="3:8" x14ac:dyDescent="0.2">
      <c r="C2889" s="121"/>
      <c r="E2889" s="121"/>
      <c r="F2889" s="121"/>
      <c r="G2889" s="121"/>
      <c r="H2889" s="121"/>
    </row>
    <row r="2890" spans="3:8" x14ac:dyDescent="0.2">
      <c r="C2890" s="121"/>
      <c r="E2890" s="121"/>
      <c r="F2890" s="121"/>
      <c r="G2890" s="121"/>
      <c r="H2890" s="121"/>
    </row>
    <row r="2891" spans="3:8" x14ac:dyDescent="0.2">
      <c r="C2891" s="121"/>
      <c r="E2891" s="121"/>
      <c r="F2891" s="121"/>
      <c r="G2891" s="121"/>
      <c r="H2891" s="121"/>
    </row>
    <row r="2892" spans="3:8" x14ac:dyDescent="0.2">
      <c r="C2892" s="121"/>
      <c r="E2892" s="121"/>
      <c r="F2892" s="121"/>
      <c r="G2892" s="121"/>
      <c r="H2892" s="121"/>
    </row>
    <row r="2893" spans="3:8" x14ac:dyDescent="0.2">
      <c r="C2893" s="121"/>
      <c r="E2893" s="121"/>
      <c r="F2893" s="121"/>
      <c r="G2893" s="121"/>
      <c r="H2893" s="121"/>
    </row>
    <row r="2894" spans="3:8" x14ac:dyDescent="0.2">
      <c r="C2894" s="121"/>
      <c r="E2894" s="121"/>
      <c r="F2894" s="121"/>
      <c r="G2894" s="121"/>
      <c r="H2894" s="121"/>
    </row>
    <row r="2895" spans="3:8" x14ac:dyDescent="0.2">
      <c r="C2895" s="121"/>
      <c r="E2895" s="121"/>
      <c r="F2895" s="121"/>
      <c r="G2895" s="121"/>
      <c r="H2895" s="121"/>
    </row>
    <row r="2896" spans="3:8" x14ac:dyDescent="0.2">
      <c r="C2896" s="121"/>
      <c r="E2896" s="121"/>
      <c r="F2896" s="121"/>
      <c r="G2896" s="121"/>
      <c r="H2896" s="121"/>
    </row>
    <row r="2897" spans="3:8" x14ac:dyDescent="0.2">
      <c r="C2897" s="121"/>
      <c r="E2897" s="121"/>
      <c r="F2897" s="121"/>
      <c r="G2897" s="121"/>
      <c r="H2897" s="121"/>
    </row>
    <row r="2898" spans="3:8" x14ac:dyDescent="0.2">
      <c r="C2898" s="121"/>
      <c r="E2898" s="121"/>
      <c r="F2898" s="121"/>
      <c r="G2898" s="121"/>
      <c r="H2898" s="121"/>
    </row>
    <row r="2899" spans="3:8" x14ac:dyDescent="0.2">
      <c r="C2899" s="121"/>
      <c r="E2899" s="121"/>
      <c r="F2899" s="121"/>
      <c r="G2899" s="121"/>
      <c r="H2899" s="121"/>
    </row>
    <row r="2900" spans="3:8" x14ac:dyDescent="0.2">
      <c r="C2900" s="121"/>
      <c r="E2900" s="121"/>
      <c r="F2900" s="121"/>
      <c r="G2900" s="121"/>
      <c r="H2900" s="121"/>
    </row>
    <row r="2901" spans="3:8" x14ac:dyDescent="0.2">
      <c r="C2901" s="121"/>
      <c r="E2901" s="121"/>
      <c r="F2901" s="121"/>
      <c r="G2901" s="121"/>
      <c r="H2901" s="121"/>
    </row>
    <row r="2902" spans="3:8" x14ac:dyDescent="0.2">
      <c r="C2902" s="121"/>
      <c r="E2902" s="121"/>
      <c r="F2902" s="121"/>
      <c r="G2902" s="121"/>
      <c r="H2902" s="121"/>
    </row>
    <row r="2903" spans="3:8" x14ac:dyDescent="0.2">
      <c r="C2903" s="121"/>
      <c r="E2903" s="121"/>
      <c r="F2903" s="121"/>
      <c r="G2903" s="121"/>
      <c r="H2903" s="121"/>
    </row>
    <row r="2904" spans="3:8" x14ac:dyDescent="0.2">
      <c r="C2904" s="121"/>
      <c r="E2904" s="121"/>
      <c r="F2904" s="121"/>
      <c r="G2904" s="121"/>
      <c r="H2904" s="121"/>
    </row>
    <row r="2905" spans="3:8" x14ac:dyDescent="0.2">
      <c r="C2905" s="121"/>
      <c r="E2905" s="121"/>
      <c r="F2905" s="121"/>
      <c r="G2905" s="121"/>
      <c r="H2905" s="121"/>
    </row>
    <row r="2906" spans="3:8" x14ac:dyDescent="0.2">
      <c r="C2906" s="121"/>
      <c r="E2906" s="121"/>
      <c r="F2906" s="121"/>
      <c r="G2906" s="121"/>
      <c r="H2906" s="121"/>
    </row>
    <row r="2907" spans="3:8" x14ac:dyDescent="0.2">
      <c r="C2907" s="121"/>
      <c r="E2907" s="121"/>
      <c r="F2907" s="121"/>
      <c r="G2907" s="121"/>
      <c r="H2907" s="121"/>
    </row>
    <row r="2908" spans="3:8" x14ac:dyDescent="0.2">
      <c r="C2908" s="121"/>
      <c r="E2908" s="121"/>
      <c r="F2908" s="121"/>
      <c r="G2908" s="121"/>
      <c r="H2908" s="121"/>
    </row>
    <row r="2909" spans="3:8" x14ac:dyDescent="0.2">
      <c r="C2909" s="121"/>
      <c r="E2909" s="121"/>
      <c r="F2909" s="121"/>
      <c r="G2909" s="121"/>
      <c r="H2909" s="121"/>
    </row>
    <row r="2910" spans="3:8" x14ac:dyDescent="0.2">
      <c r="C2910" s="121"/>
      <c r="E2910" s="121"/>
      <c r="F2910" s="121"/>
      <c r="G2910" s="121"/>
      <c r="H2910" s="121"/>
    </row>
    <row r="2911" spans="3:8" x14ac:dyDescent="0.2">
      <c r="C2911" s="121"/>
      <c r="E2911" s="121"/>
      <c r="F2911" s="121"/>
      <c r="G2911" s="121"/>
      <c r="H2911" s="121"/>
    </row>
    <row r="2912" spans="3:8" x14ac:dyDescent="0.2">
      <c r="C2912" s="121"/>
      <c r="E2912" s="121"/>
      <c r="F2912" s="121"/>
      <c r="G2912" s="121"/>
      <c r="H2912" s="121"/>
    </row>
    <row r="2913" spans="3:8" x14ac:dyDescent="0.2">
      <c r="C2913" s="121"/>
      <c r="E2913" s="121"/>
      <c r="F2913" s="121"/>
      <c r="G2913" s="121"/>
      <c r="H2913" s="121"/>
    </row>
    <row r="2914" spans="3:8" x14ac:dyDescent="0.2">
      <c r="C2914" s="121"/>
      <c r="E2914" s="121"/>
      <c r="F2914" s="121"/>
      <c r="G2914" s="121"/>
      <c r="H2914" s="121"/>
    </row>
    <row r="2915" spans="3:8" x14ac:dyDescent="0.2">
      <c r="C2915" s="121"/>
      <c r="E2915" s="121"/>
      <c r="F2915" s="121"/>
      <c r="G2915" s="121"/>
      <c r="H2915" s="121"/>
    </row>
    <row r="2916" spans="3:8" x14ac:dyDescent="0.2">
      <c r="C2916" s="121"/>
      <c r="E2916" s="121"/>
      <c r="F2916" s="121"/>
      <c r="G2916" s="121"/>
      <c r="H2916" s="121"/>
    </row>
    <row r="2917" spans="3:8" x14ac:dyDescent="0.2">
      <c r="C2917" s="121"/>
      <c r="E2917" s="121"/>
      <c r="F2917" s="121"/>
      <c r="G2917" s="121"/>
      <c r="H2917" s="121"/>
    </row>
    <row r="2918" spans="3:8" x14ac:dyDescent="0.2">
      <c r="C2918" s="121"/>
      <c r="E2918" s="121"/>
      <c r="F2918" s="121"/>
      <c r="G2918" s="121"/>
      <c r="H2918" s="121"/>
    </row>
    <row r="2919" spans="3:8" x14ac:dyDescent="0.2">
      <c r="C2919" s="121"/>
      <c r="E2919" s="121"/>
      <c r="F2919" s="121"/>
      <c r="G2919" s="121"/>
      <c r="H2919" s="121"/>
    </row>
    <row r="2920" spans="3:8" x14ac:dyDescent="0.2">
      <c r="C2920" s="121"/>
      <c r="E2920" s="121"/>
      <c r="F2920" s="121"/>
      <c r="G2920" s="121"/>
      <c r="H2920" s="121"/>
    </row>
    <row r="2921" spans="3:8" x14ac:dyDescent="0.2">
      <c r="C2921" s="121"/>
      <c r="E2921" s="121"/>
      <c r="F2921" s="121"/>
      <c r="G2921" s="121"/>
      <c r="H2921" s="121"/>
    </row>
    <row r="2922" spans="3:8" x14ac:dyDescent="0.2">
      <c r="C2922" s="121"/>
      <c r="E2922" s="121"/>
      <c r="F2922" s="121"/>
      <c r="G2922" s="121"/>
      <c r="H2922" s="121"/>
    </row>
    <row r="2923" spans="3:8" x14ac:dyDescent="0.2">
      <c r="C2923" s="121"/>
      <c r="E2923" s="121"/>
      <c r="F2923" s="121"/>
      <c r="G2923" s="121"/>
      <c r="H2923" s="121"/>
    </row>
    <row r="2924" spans="3:8" x14ac:dyDescent="0.2">
      <c r="C2924" s="121"/>
      <c r="E2924" s="121"/>
      <c r="F2924" s="121"/>
      <c r="G2924" s="121"/>
      <c r="H2924" s="121"/>
    </row>
    <row r="2925" spans="3:8" x14ac:dyDescent="0.2">
      <c r="C2925" s="121"/>
      <c r="E2925" s="121"/>
      <c r="F2925" s="121"/>
      <c r="G2925" s="121"/>
      <c r="H2925" s="121"/>
    </row>
    <row r="2926" spans="3:8" x14ac:dyDescent="0.2">
      <c r="C2926" s="121"/>
      <c r="E2926" s="121"/>
      <c r="F2926" s="121"/>
      <c r="G2926" s="121"/>
      <c r="H2926" s="121"/>
    </row>
    <row r="2927" spans="3:8" x14ac:dyDescent="0.2">
      <c r="C2927" s="121"/>
      <c r="E2927" s="121"/>
      <c r="F2927" s="121"/>
      <c r="G2927" s="121"/>
      <c r="H2927" s="121"/>
    </row>
    <row r="2928" spans="3:8" x14ac:dyDescent="0.2">
      <c r="C2928" s="121"/>
      <c r="E2928" s="121"/>
      <c r="F2928" s="121"/>
      <c r="G2928" s="121"/>
      <c r="H2928" s="121"/>
    </row>
    <row r="2929" spans="3:8" x14ac:dyDescent="0.2">
      <c r="C2929" s="121"/>
      <c r="E2929" s="121"/>
      <c r="F2929" s="121"/>
      <c r="G2929" s="121"/>
      <c r="H2929" s="121"/>
    </row>
    <row r="2930" spans="3:8" x14ac:dyDescent="0.2">
      <c r="C2930" s="121"/>
      <c r="E2930" s="121"/>
      <c r="F2930" s="121"/>
      <c r="G2930" s="121"/>
      <c r="H2930" s="121"/>
    </row>
    <row r="2931" spans="3:8" x14ac:dyDescent="0.2">
      <c r="C2931" s="121"/>
      <c r="E2931" s="121"/>
      <c r="F2931" s="121"/>
      <c r="G2931" s="121"/>
      <c r="H2931" s="121"/>
    </row>
    <row r="2932" spans="3:8" x14ac:dyDescent="0.2">
      <c r="C2932" s="121"/>
      <c r="E2932" s="121"/>
      <c r="F2932" s="121"/>
      <c r="G2932" s="121"/>
      <c r="H2932" s="121"/>
    </row>
    <row r="2933" spans="3:8" x14ac:dyDescent="0.2">
      <c r="C2933" s="121"/>
      <c r="E2933" s="121"/>
      <c r="F2933" s="121"/>
      <c r="G2933" s="121"/>
      <c r="H2933" s="121"/>
    </row>
    <row r="2934" spans="3:8" x14ac:dyDescent="0.2">
      <c r="C2934" s="121"/>
      <c r="E2934" s="121"/>
      <c r="F2934" s="121"/>
      <c r="G2934" s="121"/>
      <c r="H2934" s="121"/>
    </row>
    <row r="2935" spans="3:8" x14ac:dyDescent="0.2">
      <c r="C2935" s="121"/>
      <c r="E2935" s="121"/>
      <c r="F2935" s="121"/>
      <c r="G2935" s="121"/>
      <c r="H2935" s="121"/>
    </row>
    <row r="2936" spans="3:8" x14ac:dyDescent="0.2">
      <c r="C2936" s="121"/>
      <c r="E2936" s="121"/>
      <c r="F2936" s="121"/>
      <c r="G2936" s="121"/>
      <c r="H2936" s="121"/>
    </row>
    <row r="2937" spans="3:8" x14ac:dyDescent="0.2">
      <c r="C2937" s="121"/>
      <c r="E2937" s="121"/>
      <c r="F2937" s="121"/>
      <c r="G2937" s="121"/>
      <c r="H2937" s="121"/>
    </row>
    <row r="2938" spans="3:8" x14ac:dyDescent="0.2">
      <c r="C2938" s="121"/>
      <c r="E2938" s="121"/>
      <c r="F2938" s="121"/>
      <c r="G2938" s="121"/>
      <c r="H2938" s="121"/>
    </row>
    <row r="2939" spans="3:8" x14ac:dyDescent="0.2">
      <c r="C2939" s="121"/>
      <c r="E2939" s="121"/>
      <c r="F2939" s="121"/>
      <c r="G2939" s="121"/>
      <c r="H2939" s="121"/>
    </row>
    <row r="2940" spans="3:8" x14ac:dyDescent="0.2">
      <c r="C2940" s="121"/>
      <c r="E2940" s="121"/>
      <c r="F2940" s="121"/>
      <c r="G2940" s="121"/>
      <c r="H2940" s="121"/>
    </row>
    <row r="2941" spans="3:8" x14ac:dyDescent="0.2">
      <c r="C2941" s="121"/>
      <c r="E2941" s="121"/>
      <c r="F2941" s="121"/>
      <c r="G2941" s="121"/>
      <c r="H2941" s="121"/>
    </row>
    <row r="2942" spans="3:8" x14ac:dyDescent="0.2">
      <c r="C2942" s="121"/>
      <c r="E2942" s="121"/>
      <c r="F2942" s="121"/>
      <c r="G2942" s="121"/>
      <c r="H2942" s="121"/>
    </row>
    <row r="2943" spans="3:8" x14ac:dyDescent="0.2">
      <c r="C2943" s="121"/>
      <c r="E2943" s="121"/>
      <c r="F2943" s="121"/>
      <c r="G2943" s="121"/>
      <c r="H2943" s="121"/>
    </row>
    <row r="2944" spans="3:8" x14ac:dyDescent="0.2">
      <c r="C2944" s="121"/>
      <c r="E2944" s="121"/>
      <c r="F2944" s="121"/>
      <c r="G2944" s="121"/>
      <c r="H2944" s="121"/>
    </row>
    <row r="2945" spans="3:8" x14ac:dyDescent="0.2">
      <c r="C2945" s="121"/>
      <c r="E2945" s="121"/>
      <c r="F2945" s="121"/>
      <c r="G2945" s="121"/>
      <c r="H2945" s="121"/>
    </row>
    <row r="2946" spans="3:8" x14ac:dyDescent="0.2">
      <c r="C2946" s="121"/>
      <c r="E2946" s="121"/>
      <c r="F2946" s="121"/>
      <c r="G2946" s="121"/>
      <c r="H2946" s="121"/>
    </row>
    <row r="2947" spans="3:8" x14ac:dyDescent="0.2">
      <c r="C2947" s="121"/>
      <c r="E2947" s="121"/>
      <c r="F2947" s="121"/>
      <c r="G2947" s="121"/>
      <c r="H2947" s="121"/>
    </row>
    <row r="2948" spans="3:8" x14ac:dyDescent="0.2">
      <c r="C2948" s="121"/>
      <c r="E2948" s="121"/>
      <c r="F2948" s="121"/>
      <c r="G2948" s="121"/>
      <c r="H2948" s="121"/>
    </row>
    <row r="2949" spans="3:8" x14ac:dyDescent="0.2">
      <c r="C2949" s="121"/>
      <c r="E2949" s="121"/>
      <c r="F2949" s="121"/>
      <c r="G2949" s="121"/>
      <c r="H2949" s="121"/>
    </row>
    <row r="2950" spans="3:8" x14ac:dyDescent="0.2">
      <c r="C2950" s="121"/>
      <c r="E2950" s="121"/>
      <c r="F2950" s="121"/>
      <c r="G2950" s="121"/>
      <c r="H2950" s="121"/>
    </row>
    <row r="2951" spans="3:8" x14ac:dyDescent="0.2">
      <c r="C2951" s="121"/>
      <c r="E2951" s="121"/>
      <c r="F2951" s="121"/>
      <c r="G2951" s="121"/>
      <c r="H2951" s="121"/>
    </row>
    <row r="2952" spans="3:8" x14ac:dyDescent="0.2">
      <c r="C2952" s="121"/>
      <c r="E2952" s="121"/>
      <c r="F2952" s="121"/>
      <c r="G2952" s="121"/>
      <c r="H2952" s="121"/>
    </row>
    <row r="2953" spans="3:8" x14ac:dyDescent="0.2">
      <c r="C2953" s="121"/>
      <c r="E2953" s="121"/>
      <c r="F2953" s="121"/>
      <c r="G2953" s="121"/>
      <c r="H2953" s="121"/>
    </row>
    <row r="2954" spans="3:8" x14ac:dyDescent="0.2">
      <c r="C2954" s="121"/>
      <c r="E2954" s="121"/>
      <c r="F2954" s="121"/>
      <c r="G2954" s="121"/>
      <c r="H2954" s="121"/>
    </row>
    <row r="2955" spans="3:8" x14ac:dyDescent="0.2">
      <c r="C2955" s="121"/>
      <c r="E2955" s="121"/>
      <c r="F2955" s="121"/>
      <c r="G2955" s="121"/>
      <c r="H2955" s="121"/>
    </row>
    <row r="2956" spans="3:8" x14ac:dyDescent="0.2">
      <c r="C2956" s="121"/>
      <c r="E2956" s="121"/>
      <c r="F2956" s="121"/>
      <c r="G2956" s="121"/>
      <c r="H2956" s="121"/>
    </row>
    <row r="2957" spans="3:8" x14ac:dyDescent="0.2">
      <c r="C2957" s="121"/>
      <c r="E2957" s="121"/>
      <c r="F2957" s="121"/>
      <c r="G2957" s="121"/>
      <c r="H2957" s="121"/>
    </row>
    <row r="2958" spans="3:8" x14ac:dyDescent="0.2">
      <c r="C2958" s="121"/>
      <c r="E2958" s="121"/>
      <c r="F2958" s="121"/>
      <c r="G2958" s="121"/>
      <c r="H2958" s="121"/>
    </row>
    <row r="2959" spans="3:8" x14ac:dyDescent="0.2">
      <c r="C2959" s="121"/>
      <c r="E2959" s="121"/>
      <c r="F2959" s="121"/>
      <c r="G2959" s="121"/>
      <c r="H2959" s="121"/>
    </row>
    <row r="2960" spans="3:8" x14ac:dyDescent="0.2">
      <c r="C2960" s="121"/>
      <c r="E2960" s="121"/>
      <c r="F2960" s="121"/>
      <c r="G2960" s="121"/>
      <c r="H2960" s="121"/>
    </row>
    <row r="2961" spans="3:8" x14ac:dyDescent="0.2">
      <c r="C2961" s="121"/>
      <c r="E2961" s="121"/>
      <c r="F2961" s="121"/>
      <c r="G2961" s="121"/>
      <c r="H2961" s="121"/>
    </row>
    <row r="2962" spans="3:8" x14ac:dyDescent="0.2">
      <c r="C2962" s="121"/>
      <c r="E2962" s="121"/>
      <c r="F2962" s="121"/>
      <c r="G2962" s="121"/>
      <c r="H2962" s="121"/>
    </row>
    <row r="2963" spans="3:8" x14ac:dyDescent="0.2">
      <c r="C2963" s="121"/>
      <c r="E2963" s="121"/>
      <c r="F2963" s="121"/>
      <c r="G2963" s="121"/>
      <c r="H2963" s="121"/>
    </row>
    <row r="2964" spans="3:8" x14ac:dyDescent="0.2">
      <c r="C2964" s="121"/>
      <c r="E2964" s="121"/>
      <c r="F2964" s="121"/>
      <c r="G2964" s="121"/>
      <c r="H2964" s="121"/>
    </row>
    <row r="2965" spans="3:8" x14ac:dyDescent="0.2">
      <c r="C2965" s="121"/>
      <c r="E2965" s="121"/>
      <c r="F2965" s="121"/>
      <c r="G2965" s="121"/>
      <c r="H2965" s="121"/>
    </row>
    <row r="2966" spans="3:8" x14ac:dyDescent="0.2">
      <c r="C2966" s="121"/>
      <c r="E2966" s="121"/>
      <c r="F2966" s="121"/>
      <c r="G2966" s="121"/>
      <c r="H2966" s="121"/>
    </row>
    <row r="2967" spans="3:8" x14ac:dyDescent="0.2">
      <c r="C2967" s="121"/>
      <c r="E2967" s="121"/>
      <c r="F2967" s="121"/>
      <c r="G2967" s="121"/>
      <c r="H2967" s="121"/>
    </row>
    <row r="2968" spans="3:8" x14ac:dyDescent="0.2">
      <c r="C2968" s="121"/>
      <c r="E2968" s="121"/>
      <c r="F2968" s="121"/>
      <c r="G2968" s="121"/>
      <c r="H2968" s="121"/>
    </row>
    <row r="2969" spans="3:8" x14ac:dyDescent="0.2">
      <c r="C2969" s="121"/>
      <c r="E2969" s="121"/>
      <c r="F2969" s="121"/>
      <c r="G2969" s="121"/>
      <c r="H2969" s="121"/>
    </row>
    <row r="2970" spans="3:8" x14ac:dyDescent="0.2">
      <c r="C2970" s="121"/>
      <c r="E2970" s="121"/>
      <c r="F2970" s="121"/>
      <c r="G2970" s="121"/>
      <c r="H2970" s="121"/>
    </row>
    <row r="2971" spans="3:8" x14ac:dyDescent="0.2">
      <c r="C2971" s="121"/>
      <c r="E2971" s="121"/>
      <c r="F2971" s="121"/>
      <c r="G2971" s="121"/>
      <c r="H2971" s="121"/>
    </row>
    <row r="2972" spans="3:8" x14ac:dyDescent="0.2">
      <c r="C2972" s="121"/>
      <c r="E2972" s="121"/>
      <c r="F2972" s="121"/>
      <c r="G2972" s="121"/>
      <c r="H2972" s="121"/>
    </row>
    <row r="2973" spans="3:8" x14ac:dyDescent="0.2">
      <c r="C2973" s="121"/>
      <c r="E2973" s="121"/>
      <c r="F2973" s="121"/>
      <c r="G2973" s="121"/>
      <c r="H2973" s="121"/>
    </row>
    <row r="2974" spans="3:8" x14ac:dyDescent="0.2">
      <c r="C2974" s="121"/>
      <c r="E2974" s="121"/>
      <c r="F2974" s="121"/>
      <c r="G2974" s="121"/>
      <c r="H2974" s="121"/>
    </row>
    <row r="2975" spans="3:8" x14ac:dyDescent="0.2">
      <c r="C2975" s="121"/>
      <c r="E2975" s="121"/>
      <c r="F2975" s="121"/>
      <c r="G2975" s="121"/>
      <c r="H2975" s="121"/>
    </row>
    <row r="2976" spans="3:8" x14ac:dyDescent="0.2">
      <c r="C2976" s="121"/>
      <c r="E2976" s="121"/>
      <c r="F2976" s="121"/>
      <c r="G2976" s="121"/>
      <c r="H2976" s="121"/>
    </row>
    <row r="2977" spans="3:8" x14ac:dyDescent="0.2">
      <c r="C2977" s="121"/>
      <c r="E2977" s="121"/>
      <c r="F2977" s="121"/>
      <c r="G2977" s="121"/>
      <c r="H2977" s="121"/>
    </row>
    <row r="2978" spans="3:8" x14ac:dyDescent="0.2">
      <c r="C2978" s="121"/>
      <c r="E2978" s="121"/>
      <c r="F2978" s="121"/>
      <c r="G2978" s="121"/>
      <c r="H2978" s="121"/>
    </row>
    <row r="2979" spans="3:8" x14ac:dyDescent="0.2">
      <c r="C2979" s="121"/>
      <c r="E2979" s="121"/>
      <c r="F2979" s="121"/>
      <c r="G2979" s="121"/>
      <c r="H2979" s="121"/>
    </row>
    <row r="2980" spans="3:8" x14ac:dyDescent="0.2">
      <c r="C2980" s="121"/>
      <c r="E2980" s="121"/>
      <c r="F2980" s="121"/>
      <c r="G2980" s="121"/>
      <c r="H2980" s="121"/>
    </row>
    <row r="2981" spans="3:8" x14ac:dyDescent="0.2">
      <c r="C2981" s="121"/>
      <c r="E2981" s="121"/>
      <c r="F2981" s="121"/>
      <c r="G2981" s="121"/>
      <c r="H2981" s="121"/>
    </row>
    <row r="2982" spans="3:8" x14ac:dyDescent="0.2">
      <c r="C2982" s="121"/>
      <c r="E2982" s="121"/>
      <c r="F2982" s="121"/>
      <c r="G2982" s="121"/>
      <c r="H2982" s="121"/>
    </row>
    <row r="2983" spans="3:8" x14ac:dyDescent="0.2">
      <c r="C2983" s="121"/>
      <c r="E2983" s="121"/>
      <c r="F2983" s="121"/>
      <c r="G2983" s="121"/>
      <c r="H2983" s="121"/>
    </row>
    <row r="2984" spans="3:8" x14ac:dyDescent="0.2">
      <c r="C2984" s="121"/>
      <c r="E2984" s="121"/>
      <c r="F2984" s="121"/>
      <c r="G2984" s="121"/>
      <c r="H2984" s="121"/>
    </row>
    <row r="2985" spans="3:8" x14ac:dyDescent="0.2">
      <c r="C2985" s="121"/>
      <c r="E2985" s="121"/>
      <c r="F2985" s="121"/>
      <c r="G2985" s="121"/>
      <c r="H2985" s="121"/>
    </row>
    <row r="2986" spans="3:8" x14ac:dyDescent="0.2">
      <c r="C2986" s="121"/>
      <c r="E2986" s="121"/>
      <c r="F2986" s="121"/>
      <c r="G2986" s="121"/>
      <c r="H2986" s="121"/>
    </row>
    <row r="2987" spans="3:8" x14ac:dyDescent="0.2">
      <c r="C2987" s="121"/>
      <c r="E2987" s="121"/>
      <c r="F2987" s="121"/>
      <c r="G2987" s="121"/>
      <c r="H2987" s="121"/>
    </row>
    <row r="2988" spans="3:8" x14ac:dyDescent="0.2">
      <c r="C2988" s="121"/>
      <c r="E2988" s="121"/>
      <c r="F2988" s="121"/>
      <c r="G2988" s="121"/>
      <c r="H2988" s="121"/>
    </row>
    <row r="2989" spans="3:8" x14ac:dyDescent="0.2">
      <c r="C2989" s="121"/>
      <c r="E2989" s="121"/>
      <c r="F2989" s="121"/>
      <c r="G2989" s="121"/>
      <c r="H2989" s="121"/>
    </row>
    <row r="2990" spans="3:8" x14ac:dyDescent="0.2">
      <c r="C2990" s="121"/>
      <c r="E2990" s="121"/>
      <c r="F2990" s="121"/>
      <c r="G2990" s="121"/>
      <c r="H2990" s="121"/>
    </row>
    <row r="2991" spans="3:8" x14ac:dyDescent="0.2">
      <c r="C2991" s="121"/>
      <c r="E2991" s="121"/>
      <c r="F2991" s="121"/>
      <c r="G2991" s="121"/>
      <c r="H2991" s="121"/>
    </row>
    <row r="2992" spans="3:8" x14ac:dyDescent="0.2">
      <c r="C2992" s="121"/>
      <c r="E2992" s="121"/>
      <c r="F2992" s="121"/>
      <c r="G2992" s="121"/>
      <c r="H2992" s="121"/>
    </row>
    <row r="2993" spans="3:8" x14ac:dyDescent="0.2">
      <c r="C2993" s="121"/>
      <c r="E2993" s="121"/>
      <c r="F2993" s="121"/>
      <c r="G2993" s="121"/>
      <c r="H2993" s="121"/>
    </row>
    <row r="2994" spans="3:8" x14ac:dyDescent="0.2">
      <c r="C2994" s="121"/>
      <c r="E2994" s="121"/>
      <c r="F2994" s="121"/>
      <c r="G2994" s="121"/>
      <c r="H2994" s="121"/>
    </row>
    <row r="2995" spans="3:8" x14ac:dyDescent="0.2">
      <c r="C2995" s="121"/>
      <c r="E2995" s="121"/>
      <c r="F2995" s="121"/>
      <c r="G2995" s="121"/>
      <c r="H2995" s="121"/>
    </row>
    <row r="2996" spans="3:8" x14ac:dyDescent="0.2">
      <c r="C2996" s="121"/>
      <c r="E2996" s="121"/>
      <c r="F2996" s="121"/>
      <c r="G2996" s="121"/>
      <c r="H2996" s="121"/>
    </row>
    <row r="2997" spans="3:8" x14ac:dyDescent="0.2">
      <c r="C2997" s="121"/>
      <c r="E2997" s="121"/>
      <c r="F2997" s="121"/>
      <c r="G2997" s="121"/>
      <c r="H2997" s="121"/>
    </row>
    <row r="2998" spans="3:8" x14ac:dyDescent="0.2">
      <c r="C2998" s="121"/>
      <c r="E2998" s="121"/>
      <c r="F2998" s="121"/>
      <c r="G2998" s="121"/>
      <c r="H2998" s="121"/>
    </row>
    <row r="2999" spans="3:8" x14ac:dyDescent="0.2">
      <c r="C2999" s="121"/>
      <c r="E2999" s="121"/>
      <c r="F2999" s="121"/>
      <c r="G2999" s="121"/>
      <c r="H2999" s="121"/>
    </row>
    <row r="3000" spans="3:8" x14ac:dyDescent="0.2">
      <c r="C3000" s="121"/>
      <c r="E3000" s="121"/>
      <c r="F3000" s="121"/>
      <c r="G3000" s="121"/>
      <c r="H3000" s="121"/>
    </row>
    <row r="3001" spans="3:8" x14ac:dyDescent="0.2">
      <c r="C3001" s="121"/>
      <c r="E3001" s="121"/>
      <c r="F3001" s="121"/>
      <c r="G3001" s="121"/>
      <c r="H3001" s="121"/>
    </row>
    <row r="3002" spans="3:8" x14ac:dyDescent="0.2">
      <c r="C3002" s="121"/>
      <c r="E3002" s="121"/>
      <c r="F3002" s="121"/>
      <c r="G3002" s="121"/>
      <c r="H3002" s="121"/>
    </row>
    <row r="3003" spans="3:8" x14ac:dyDescent="0.2">
      <c r="C3003" s="121"/>
      <c r="E3003" s="121"/>
      <c r="F3003" s="121"/>
      <c r="G3003" s="121"/>
      <c r="H3003" s="121"/>
    </row>
    <row r="3004" spans="3:8" x14ac:dyDescent="0.2">
      <c r="C3004" s="121"/>
      <c r="E3004" s="121"/>
      <c r="F3004" s="121"/>
      <c r="G3004" s="121"/>
      <c r="H3004" s="121"/>
    </row>
    <row r="3005" spans="3:8" x14ac:dyDescent="0.2">
      <c r="C3005" s="121"/>
      <c r="E3005" s="121"/>
      <c r="F3005" s="121"/>
      <c r="G3005" s="121"/>
      <c r="H3005" s="121"/>
    </row>
    <row r="3006" spans="3:8" x14ac:dyDescent="0.2">
      <c r="C3006" s="121"/>
      <c r="E3006" s="121"/>
      <c r="F3006" s="121"/>
      <c r="G3006" s="121"/>
      <c r="H3006" s="121"/>
    </row>
    <row r="3007" spans="3:8" x14ac:dyDescent="0.2">
      <c r="C3007" s="121"/>
      <c r="E3007" s="121"/>
      <c r="F3007" s="121"/>
      <c r="G3007" s="121"/>
      <c r="H3007" s="121"/>
    </row>
    <row r="3008" spans="3:8" x14ac:dyDescent="0.2">
      <c r="C3008" s="121"/>
      <c r="E3008" s="121"/>
      <c r="F3008" s="121"/>
      <c r="G3008" s="121"/>
      <c r="H3008" s="121"/>
    </row>
    <row r="3009" spans="3:8" x14ac:dyDescent="0.2">
      <c r="C3009" s="121"/>
      <c r="E3009" s="121"/>
      <c r="F3009" s="121"/>
      <c r="G3009" s="121"/>
      <c r="H3009" s="121"/>
    </row>
    <row r="3010" spans="3:8" x14ac:dyDescent="0.2">
      <c r="C3010" s="121"/>
      <c r="E3010" s="121"/>
      <c r="F3010" s="121"/>
      <c r="G3010" s="121"/>
      <c r="H3010" s="121"/>
    </row>
    <row r="3011" spans="3:8" x14ac:dyDescent="0.2">
      <c r="C3011" s="121"/>
      <c r="E3011" s="121"/>
      <c r="F3011" s="121"/>
      <c r="G3011" s="121"/>
      <c r="H3011" s="121"/>
    </row>
    <row r="3012" spans="3:8" x14ac:dyDescent="0.2">
      <c r="C3012" s="121"/>
      <c r="E3012" s="121"/>
      <c r="F3012" s="121"/>
      <c r="G3012" s="121"/>
      <c r="H3012" s="121"/>
    </row>
    <row r="3013" spans="3:8" x14ac:dyDescent="0.2">
      <c r="C3013" s="121"/>
      <c r="E3013" s="121"/>
      <c r="F3013" s="121"/>
      <c r="G3013" s="121"/>
      <c r="H3013" s="121"/>
    </row>
    <row r="3014" spans="3:8" x14ac:dyDescent="0.2">
      <c r="C3014" s="121"/>
      <c r="E3014" s="121"/>
      <c r="F3014" s="121"/>
      <c r="G3014" s="121"/>
      <c r="H3014" s="121"/>
    </row>
    <row r="3015" spans="3:8" x14ac:dyDescent="0.2">
      <c r="C3015" s="121"/>
      <c r="E3015" s="121"/>
      <c r="F3015" s="121"/>
      <c r="G3015" s="121"/>
      <c r="H3015" s="121"/>
    </row>
    <row r="3018" spans="3:8" x14ac:dyDescent="0.2">
      <c r="C3018" s="123"/>
      <c r="E3018" s="123"/>
      <c r="F3018" s="123"/>
      <c r="G3018" s="123"/>
      <c r="H3018" s="123"/>
    </row>
    <row r="5018" spans="3:8" x14ac:dyDescent="0.2">
      <c r="C5018" s="123"/>
      <c r="G5018" s="123"/>
      <c r="H5018" s="123"/>
    </row>
    <row r="10017" spans="3:8" x14ac:dyDescent="0.2">
      <c r="C10017" s="123"/>
      <c r="E10017" s="123"/>
      <c r="F10017" s="123"/>
      <c r="G10017" s="123"/>
      <c r="H10017" s="123"/>
    </row>
    <row r="10018" spans="3:8" x14ac:dyDescent="0.2">
      <c r="C10018" s="123"/>
      <c r="E10018" s="123"/>
      <c r="F10018" s="123"/>
      <c r="G10018" s="123"/>
      <c r="H10018" s="123"/>
    </row>
  </sheetData>
  <mergeCells count="72">
    <mergeCell ref="AI3:AI4"/>
    <mergeCell ref="X3:X4"/>
    <mergeCell ref="Y3:Y4"/>
    <mergeCell ref="Z3:Z4"/>
    <mergeCell ref="AA3:AA4"/>
    <mergeCell ref="AB3:AB4"/>
    <mergeCell ref="AC3:AC4"/>
    <mergeCell ref="AD3:AD4"/>
    <mergeCell ref="AE3:AE4"/>
    <mergeCell ref="AH3:AH4"/>
    <mergeCell ref="AJ3:AJ4"/>
    <mergeCell ref="AK3:AK4"/>
    <mergeCell ref="AL3:AL4"/>
    <mergeCell ref="AM3:AM4"/>
    <mergeCell ref="AO3:AO4"/>
    <mergeCell ref="AN3:AN4"/>
    <mergeCell ref="AX3:AX4"/>
    <mergeCell ref="AY3:AY4"/>
    <mergeCell ref="BB3:BB4"/>
    <mergeCell ref="BC3:BC4"/>
    <mergeCell ref="AR3:AR4"/>
    <mergeCell ref="AS3:AS4"/>
    <mergeCell ref="AT3:AT4"/>
    <mergeCell ref="AU3:AU4"/>
    <mergeCell ref="AV3:AV4"/>
    <mergeCell ref="AW3:AW4"/>
    <mergeCell ref="AK11:AK13"/>
    <mergeCell ref="X11:X13"/>
    <mergeCell ref="Y11:Y13"/>
    <mergeCell ref="Z11:Z13"/>
    <mergeCell ref="AA11:AA13"/>
    <mergeCell ref="AB11:AB13"/>
    <mergeCell ref="AC11:AC13"/>
    <mergeCell ref="AD11:AD13"/>
    <mergeCell ref="AE11:AE13"/>
    <mergeCell ref="AH11:AH13"/>
    <mergeCell ref="AI11:AI13"/>
    <mergeCell ref="AJ11:AJ13"/>
    <mergeCell ref="C11:C13"/>
    <mergeCell ref="D11:D13"/>
    <mergeCell ref="E11:E13"/>
    <mergeCell ref="F11:F13"/>
    <mergeCell ref="U3:U4"/>
    <mergeCell ref="U11:U13"/>
    <mergeCell ref="G11:G13"/>
    <mergeCell ref="H11:H13"/>
    <mergeCell ref="T3:T4"/>
    <mergeCell ref="R11:R13"/>
    <mergeCell ref="S11:S13"/>
    <mergeCell ref="T11:T13"/>
    <mergeCell ref="R3:R4"/>
    <mergeCell ref="S3:S4"/>
    <mergeCell ref="AL11:AL13"/>
    <mergeCell ref="AM11:AM13"/>
    <mergeCell ref="AN11:AN13"/>
    <mergeCell ref="AO11:AO13"/>
    <mergeCell ref="AR11:AR13"/>
    <mergeCell ref="AS11:AS13"/>
    <mergeCell ref="BI11:BI13"/>
    <mergeCell ref="BJ11:BJ13"/>
    <mergeCell ref="BF11:BF13"/>
    <mergeCell ref="BE11:BE13"/>
    <mergeCell ref="BH11:BH13"/>
    <mergeCell ref="BG11:BG13"/>
    <mergeCell ref="BB11:BB13"/>
    <mergeCell ref="BC11:BC13"/>
    <mergeCell ref="AT11:AT13"/>
    <mergeCell ref="AU11:AU13"/>
    <mergeCell ref="AV11:AV13"/>
    <mergeCell ref="AW11:AW13"/>
    <mergeCell ref="AX11:AX13"/>
    <mergeCell ref="AY11:AY13"/>
  </mergeCells>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3.Probabilistic">
                <anchor moveWithCells="1" sizeWithCells="1">
                  <from>
                    <xdr:col>1</xdr:col>
                    <xdr:colOff>28575</xdr:colOff>
                    <xdr:row>2</xdr:row>
                    <xdr:rowOff>9525</xdr:rowOff>
                  </from>
                  <to>
                    <xdr:col>1</xdr:col>
                    <xdr:colOff>657225</xdr:colOff>
                    <xdr:row>4</xdr:row>
                    <xdr:rowOff>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63ADCCB5-1262-4150-AC3B-15ADE0FB2396}">
          <x14:colorSeries theme="9"/>
          <x14:colorNegative rgb="FFD00000"/>
          <x14:colorAxis rgb="FF000000"/>
          <x14:colorMarkers rgb="FFD00000"/>
          <x14:colorFirst rgb="FFD00000"/>
          <x14:colorLast rgb="FFD00000"/>
          <x14:colorHigh rgb="FFD00000"/>
          <x14:colorLow rgb="FFD00000"/>
          <x14:sparklines>
            <x14:sparkline>
              <xm:f>PSA!$R$1120:$R$1219</xm:f>
              <xm:sqref>R11</xm:sqref>
            </x14:sparkline>
            <x14:sparkline>
              <xm:f>PSA!$S$1120:$S$1219</xm:f>
              <xm:sqref>S11</xm:sqref>
            </x14:sparkline>
            <x14:sparkline>
              <xm:f>PSA!$T$1120:$T$1219</xm:f>
              <xm:sqref>T11</xm:sqref>
            </x14:sparkline>
            <x14:sparkline>
              <xm:f>PSA!$U$1120:$U$1219</xm:f>
              <xm:sqref>U11</xm:sqref>
            </x14:sparkline>
            <x14:sparkline>
              <xm:f>PSA!$V$1120:$V$1219</xm:f>
              <xm:sqref>V11</xm:sqref>
            </x14:sparkline>
            <x14:sparkline>
              <xm:f>PSA!$W$1120:$W$1219</xm:f>
              <xm:sqref>W11</xm:sqref>
            </x14:sparkline>
            <x14:sparkline>
              <xm:f>PSA!$X$1120:$X$1219</xm:f>
              <xm:sqref>X11</xm:sqref>
            </x14:sparkline>
            <x14:sparkline>
              <xm:f>PSA!$Y$1120:$Y$1219</xm:f>
              <xm:sqref>Y11</xm:sqref>
            </x14:sparkline>
            <x14:sparkline>
              <xm:f>PSA!$Z$1120:$Z$1219</xm:f>
              <xm:sqref>Z11</xm:sqref>
            </x14:sparkline>
            <x14:sparkline>
              <xm:f>PSA!$AA$1120:$AA$1219</xm:f>
              <xm:sqref>AA11</xm:sqref>
            </x14:sparkline>
            <x14:sparkline>
              <xm:f>PSA!$AB$1120:$AB$1219</xm:f>
              <xm:sqref>AB11</xm:sqref>
            </x14:sparkline>
            <x14:sparkline>
              <xm:f>PSA!$AC$1120:$AC$1219</xm:f>
              <xm:sqref>AC11</xm:sqref>
            </x14:sparkline>
            <x14:sparkline>
              <xm:f>PSA!$AD$1120:$AD$1219</xm:f>
              <xm:sqref>AD11</xm:sqref>
            </x14:sparkline>
            <x14:sparkline>
              <xm:f>PSA!$AE$1120:$AE$1219</xm:f>
              <xm:sqref>AE11</xm:sqref>
            </x14:sparkline>
            <x14:sparkline>
              <xm:f>PSA!$AF$1120:$AF$1219</xm:f>
              <xm:sqref>AF11</xm:sqref>
            </x14:sparkline>
            <x14:sparkline>
              <xm:f>PSA!$AG$1120:$AG$1219</xm:f>
              <xm:sqref>AG11</xm:sqref>
            </x14:sparkline>
            <x14:sparkline>
              <xm:f>PSA!$AH$1120:$AH$1219</xm:f>
              <xm:sqref>AH11</xm:sqref>
            </x14:sparkline>
            <x14:sparkline>
              <xm:f>PSA!$AI$1120:$AI$1219</xm:f>
              <xm:sqref>AI11</xm:sqref>
            </x14:sparkline>
            <x14:sparkline>
              <xm:f>PSA!$AJ$1120:$AJ$1219</xm:f>
              <xm:sqref>AJ11</xm:sqref>
            </x14:sparkline>
            <x14:sparkline>
              <xm:f>PSA!$AK$1120:$AK$1219</xm:f>
              <xm:sqref>AK11</xm:sqref>
            </x14:sparkline>
            <x14:sparkline>
              <xm:f>PSA!$AL$1120:$AL$1219</xm:f>
              <xm:sqref>AL11</xm:sqref>
            </x14:sparkline>
            <x14:sparkline>
              <xm:f>PSA!$AM$1120:$AM$1219</xm:f>
              <xm:sqref>AM11</xm:sqref>
            </x14:sparkline>
            <x14:sparkline>
              <xm:f>PSA!$AN$1120:$AN$1219</xm:f>
              <xm:sqref>AN11</xm:sqref>
            </x14:sparkline>
            <x14:sparkline>
              <xm:f>PSA!$AO$1120:$AO$1219</xm:f>
              <xm:sqref>AO11</xm:sqref>
            </x14:sparkline>
            <x14:sparkline>
              <xm:f>PSA!$AP$1120:$AP$1219</xm:f>
              <xm:sqref>AP11</xm:sqref>
            </x14:sparkline>
            <x14:sparkline>
              <xm:f>PSA!$AQ$1120:$AQ$1219</xm:f>
              <xm:sqref>AQ11</xm:sqref>
            </x14:sparkline>
            <x14:sparkline>
              <xm:f>PSA!$AR$1120:$AR$1219</xm:f>
              <xm:sqref>AR11</xm:sqref>
            </x14:sparkline>
            <x14:sparkline>
              <xm:f>PSA!$AS$1120:$AS$1219</xm:f>
              <xm:sqref>AS11</xm:sqref>
            </x14:sparkline>
            <x14:sparkline>
              <xm:f>PSA!$AT$1120:$AT$1219</xm:f>
              <xm:sqref>AT11</xm:sqref>
            </x14:sparkline>
            <x14:sparkline>
              <xm:f>PSA!$AU$1120:$AU$1219</xm:f>
              <xm:sqref>AU11</xm:sqref>
            </x14:sparkline>
            <x14:sparkline>
              <xm:f>PSA!$AV$1120:$AV$1219</xm:f>
              <xm:sqref>AV11</xm:sqref>
            </x14:sparkline>
            <x14:sparkline>
              <xm:f>PSA!$AW$1120:$AW$1219</xm:f>
              <xm:sqref>AW11</xm:sqref>
            </x14:sparkline>
            <x14:sparkline>
              <xm:f>PSA!$AX$1120:$AX$1219</xm:f>
              <xm:sqref>AX11</xm:sqref>
            </x14:sparkline>
            <x14:sparkline>
              <xm:f>PSA!$AY$1120:$AY$1219</xm:f>
              <xm:sqref>AY11</xm:sqref>
            </x14:sparkline>
            <x14:sparkline>
              <xm:f>PSA!$AZ$1120:$AZ$1219</xm:f>
              <xm:sqref>AZ11</xm:sqref>
            </x14:sparkline>
            <x14:sparkline>
              <xm:f>PSA!$BA$1120:$BA$1219</xm:f>
              <xm:sqref>BA11</xm:sqref>
            </x14:sparkline>
            <x14:sparkline>
              <xm:f>PSA!$BB$1120:$BB$1219</xm:f>
              <xm:sqref>BB11</xm:sqref>
            </x14:sparkline>
            <x14:sparkline>
              <xm:f>PSA!$BC$1120:$BC$1219</xm:f>
              <xm:sqref>BC11</xm:sqref>
            </x14:sparkline>
            <x14:sparkline>
              <xm:f>PSA!$BD$1120:$BD$1219</xm:f>
              <xm:sqref>BD11</xm:sqref>
            </x14:sparkline>
            <x14:sparkline>
              <xm:f>PSA!$BE$1120:$BE$1219</xm:f>
              <xm:sqref>BE11</xm:sqref>
            </x14:sparkline>
            <x14:sparkline>
              <xm:f>PSA!$BF$1120:$BF$1219</xm:f>
              <xm:sqref>BF11</xm:sqref>
            </x14:sparkline>
            <x14:sparkline>
              <xm:f>PSA!$BG$1120:$BG$1219</xm:f>
              <xm:sqref>BG11</xm:sqref>
            </x14:sparkline>
            <x14:sparkline>
              <xm:f>PSA!$BH$1120:$BH$1219</xm:f>
              <xm:sqref>BH11</xm:sqref>
            </x14:sparkline>
            <x14:sparkline>
              <xm:f>PSA!$BI$1120:$BI$1219</xm:f>
              <xm:sqref>BI11</xm:sqref>
            </x14:sparkline>
            <x14:sparkline>
              <xm:f>PSA!$BJ$1120:$BJ$1219</xm:f>
              <xm:sqref>BJ11</xm:sqref>
            </x14:sparkline>
          </x14:sparklines>
        </x14:sparklineGroup>
        <x14:sparklineGroup type="column" displayEmptyCellsAs="gap" xr2:uid="{5233BABC-5D39-411B-9C20-33A059E8C05E}">
          <x14:colorSeries theme="9"/>
          <x14:colorNegative rgb="FFD00000"/>
          <x14:colorAxis rgb="FF000000"/>
          <x14:colorMarkers rgb="FFD00000"/>
          <x14:colorFirst rgb="FFD00000"/>
          <x14:colorLast rgb="FFD00000"/>
          <x14:colorHigh rgb="FFD00000"/>
          <x14:colorLow rgb="FFD00000"/>
          <x14:sparklines>
            <x14:sparkline>
              <xm:f>PSA!$C$1120:$C$1219</xm:f>
              <xm:sqref>C11</xm:sqref>
            </x14:sparkline>
            <x14:sparkline>
              <xm:f>PSA!$D$1120:$D$1219</xm:f>
              <xm:sqref>D11</xm:sqref>
            </x14:sparkline>
            <x14:sparkline>
              <xm:f>PSA!$E$1120:$E$1219</xm:f>
              <xm:sqref>E11</xm:sqref>
            </x14:sparkline>
            <x14:sparkline>
              <xm:f>PSA!$F$1120:$F$1219</xm:f>
              <xm:sqref>F11</xm:sqref>
            </x14:sparkline>
            <x14:sparkline>
              <xm:f>PSA!$G$1120:$G$1219</xm:f>
              <xm:sqref>G11</xm:sqref>
            </x14:sparkline>
            <x14:sparkline>
              <xm:f>PSA!$H$1120:$H$1219</xm:f>
              <xm:sqref>H11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ED3A4-F10A-4DC1-BC6B-8A7406BB1279}">
  <sheetPr codeName="Sheet1"/>
  <dimension ref="A1:I20"/>
  <sheetViews>
    <sheetView workbookViewId="0">
      <selection activeCell="X6" sqref="Q6:X6"/>
    </sheetView>
  </sheetViews>
  <sheetFormatPr defaultColWidth="8.875" defaultRowHeight="14.25" x14ac:dyDescent="0.2"/>
  <sheetData>
    <row r="1" spans="1:6" x14ac:dyDescent="0.2">
      <c r="A1" t="s">
        <v>189</v>
      </c>
    </row>
    <row r="3" spans="1:6" x14ac:dyDescent="0.2">
      <c r="A3" t="s">
        <v>164</v>
      </c>
    </row>
    <row r="4" spans="1:6" ht="15" thickBot="1" x14ac:dyDescent="0.25"/>
    <row r="5" spans="1:6" x14ac:dyDescent="0.2">
      <c r="A5" s="294" t="s">
        <v>165</v>
      </c>
      <c r="B5" s="294"/>
    </row>
    <row r="6" spans="1:6" x14ac:dyDescent="0.2">
      <c r="A6" s="291" t="s">
        <v>166</v>
      </c>
      <c r="B6" s="291">
        <v>1.4590973007836563E-2</v>
      </c>
    </row>
    <row r="7" spans="1:6" x14ac:dyDescent="0.2">
      <c r="A7" s="291" t="s">
        <v>167</v>
      </c>
      <c r="B7" s="291">
        <v>2.1289649331541515E-4</v>
      </c>
    </row>
    <row r="8" spans="1:6" x14ac:dyDescent="0.2">
      <c r="A8" s="291" t="s">
        <v>168</v>
      </c>
      <c r="B8" s="291">
        <v>-7.8889419156102231E-4</v>
      </c>
    </row>
    <row r="9" spans="1:6" x14ac:dyDescent="0.2">
      <c r="A9" s="291" t="s">
        <v>169</v>
      </c>
      <c r="B9" s="291">
        <v>3451.1704540761598</v>
      </c>
    </row>
    <row r="10" spans="1:6" ht="15" thickBot="1" x14ac:dyDescent="0.25">
      <c r="A10" s="292" t="s">
        <v>170</v>
      </c>
      <c r="B10" s="292">
        <v>1000</v>
      </c>
    </row>
    <row r="12" spans="1:6" ht="15" thickBot="1" x14ac:dyDescent="0.25">
      <c r="A12" t="s">
        <v>171</v>
      </c>
    </row>
    <row r="13" spans="1:6" x14ac:dyDescent="0.2">
      <c r="A13" s="293"/>
      <c r="B13" s="293" t="s">
        <v>176</v>
      </c>
      <c r="C13" s="293" t="s">
        <v>177</v>
      </c>
      <c r="D13" s="293" t="s">
        <v>178</v>
      </c>
      <c r="E13" s="293" t="s">
        <v>179</v>
      </c>
      <c r="F13" s="293" t="s">
        <v>180</v>
      </c>
    </row>
    <row r="14" spans="1:6" x14ac:dyDescent="0.2">
      <c r="A14" s="291" t="s">
        <v>172</v>
      </c>
      <c r="B14" s="291">
        <v>1</v>
      </c>
      <c r="C14" s="291">
        <v>2531187.624370575</v>
      </c>
      <c r="D14" s="291">
        <v>2531187.624370575</v>
      </c>
      <c r="E14" s="291">
        <v>0.21251594422808409</v>
      </c>
      <c r="F14" s="291">
        <v>0.64490298242089961</v>
      </c>
    </row>
    <row r="15" spans="1:6" x14ac:dyDescent="0.2">
      <c r="A15" s="291" t="s">
        <v>173</v>
      </c>
      <c r="B15" s="291">
        <v>998</v>
      </c>
      <c r="C15" s="291">
        <v>11886756348.082071</v>
      </c>
      <c r="D15" s="291">
        <v>11910577.503088247</v>
      </c>
      <c r="E15" s="291"/>
      <c r="F15" s="291"/>
    </row>
    <row r="16" spans="1:6" ht="15" thickBot="1" x14ac:dyDescent="0.25">
      <c r="A16" s="292" t="s">
        <v>174</v>
      </c>
      <c r="B16" s="292">
        <v>999</v>
      </c>
      <c r="C16" s="292">
        <v>11889287535.706442</v>
      </c>
      <c r="D16" s="292"/>
      <c r="E16" s="292"/>
      <c r="F16" s="292"/>
    </row>
    <row r="17" spans="1:9" ht="15" thickBot="1" x14ac:dyDescent="0.25"/>
    <row r="18" spans="1:9" x14ac:dyDescent="0.2">
      <c r="A18" s="293"/>
      <c r="B18" s="293" t="s">
        <v>181</v>
      </c>
      <c r="C18" s="293" t="s">
        <v>169</v>
      </c>
      <c r="D18" s="293" t="s">
        <v>182</v>
      </c>
      <c r="E18" s="293" t="s">
        <v>183</v>
      </c>
      <c r="F18" s="293" t="s">
        <v>184</v>
      </c>
      <c r="G18" s="293" t="s">
        <v>185</v>
      </c>
      <c r="H18" s="293" t="s">
        <v>186</v>
      </c>
      <c r="I18" s="293" t="s">
        <v>187</v>
      </c>
    </row>
    <row r="19" spans="1:9" x14ac:dyDescent="0.2">
      <c r="A19" s="291" t="s">
        <v>175</v>
      </c>
      <c r="B19" s="291">
        <v>26141.861389640468</v>
      </c>
      <c r="C19" s="291">
        <v>11599.001993879723</v>
      </c>
      <c r="D19" s="291">
        <v>2.2538026464203011</v>
      </c>
      <c r="E19" s="291">
        <v>2.4424889461326985E-2</v>
      </c>
      <c r="F19" s="291">
        <v>3380.6312046995663</v>
      </c>
      <c r="G19" s="291">
        <v>48903.091574581369</v>
      </c>
      <c r="H19" s="291">
        <v>3380.6312046995663</v>
      </c>
      <c r="I19" s="291">
        <v>48903.091574581369</v>
      </c>
    </row>
    <row r="20" spans="1:9" ht="15" thickBot="1" x14ac:dyDescent="0.25">
      <c r="A20" s="292" t="s">
        <v>188</v>
      </c>
      <c r="B20" s="292">
        <v>53463.37376643451</v>
      </c>
      <c r="C20" s="292">
        <v>115973.9906973358</v>
      </c>
      <c r="D20" s="292">
        <v>0.46099451648569245</v>
      </c>
      <c r="E20" s="292">
        <v>0.64490298241950472</v>
      </c>
      <c r="F20" s="292">
        <v>-174117.47319963318</v>
      </c>
      <c r="G20" s="292">
        <v>281044.22073250217</v>
      </c>
      <c r="H20" s="292">
        <v>-174117.47319963318</v>
      </c>
      <c r="I20" s="292">
        <v>281044.22073250217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1A851-92C0-4631-B822-FD1A6AC6304E}">
  <sheetPr codeName="Sheet04"/>
  <dimension ref="A1:AW94"/>
  <sheetViews>
    <sheetView showGridLines="0" zoomScale="80" zoomScaleNormal="80" workbookViewId="0">
      <selection activeCell="X6" sqref="Q6:X6"/>
    </sheetView>
  </sheetViews>
  <sheetFormatPr defaultColWidth="9" defaultRowHeight="14.25" x14ac:dyDescent="0.2"/>
  <cols>
    <col min="1" max="1" width="2.625" customWidth="1"/>
    <col min="2" max="2" width="58.5" customWidth="1"/>
    <col min="3" max="3" width="51.125" bestFit="1" customWidth="1"/>
    <col min="4" max="5" width="10.375" customWidth="1"/>
    <col min="6" max="7" width="13.125" customWidth="1"/>
    <col min="8" max="8" width="10.375" customWidth="1"/>
    <col min="9" max="9" width="2.625" customWidth="1"/>
    <col min="10" max="16" width="9" customWidth="1"/>
  </cols>
  <sheetData>
    <row r="1" spans="1:49" ht="30" customHeight="1" thickBot="1" x14ac:dyDescent="0.25">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row>
    <row r="2" spans="1:49" ht="15" customHeight="1" x14ac:dyDescent="0.2">
      <c r="B2" s="94"/>
      <c r="C2" s="94"/>
      <c r="D2" s="94"/>
      <c r="E2" s="94"/>
      <c r="F2" s="94"/>
      <c r="G2" s="94"/>
      <c r="H2" s="94"/>
    </row>
    <row r="3" spans="1:49" ht="15" customHeight="1" x14ac:dyDescent="0.2">
      <c r="B3" s="175" t="s">
        <v>190</v>
      </c>
      <c r="C3" s="2"/>
      <c r="D3" s="2"/>
      <c r="E3" s="2"/>
      <c r="F3" s="176"/>
      <c r="G3" s="2"/>
      <c r="H3" s="2"/>
      <c r="K3">
        <v>4</v>
      </c>
      <c r="L3" s="95">
        <v>4</v>
      </c>
      <c r="M3" s="95">
        <v>1</v>
      </c>
      <c r="N3" s="96">
        <f ca="1">CHOOSE(L3,PSA!C15,PSA!D15,PSA!E15,PSA!F15,PSA!G15,PSA!H15)</f>
        <v>16.073533878628474</v>
      </c>
      <c r="O3" s="94"/>
      <c r="P3" s="97"/>
    </row>
    <row r="4" spans="1:49" ht="15" customHeight="1" x14ac:dyDescent="0.2">
      <c r="B4" s="94"/>
      <c r="C4" s="95"/>
      <c r="D4" s="95"/>
      <c r="E4" s="95"/>
      <c r="F4" s="95"/>
      <c r="G4" s="95"/>
      <c r="H4" s="95"/>
      <c r="K4" s="94">
        <v>1</v>
      </c>
      <c r="L4" s="98" t="s">
        <v>69</v>
      </c>
      <c r="M4" s="95"/>
      <c r="N4" s="99">
        <f>FLOOR(MIN(F6:G93),IF(L3=2,0.01,100))</f>
        <v>-300</v>
      </c>
      <c r="O4" s="94"/>
    </row>
    <row r="5" spans="1:49" ht="15" customHeight="1" x14ac:dyDescent="0.2">
      <c r="B5" s="94"/>
      <c r="C5" s="2" t="s">
        <v>11</v>
      </c>
      <c r="D5" s="174" t="s">
        <v>12</v>
      </c>
      <c r="E5" s="174" t="s">
        <v>70</v>
      </c>
      <c r="F5" s="174" t="s">
        <v>13</v>
      </c>
      <c r="G5" s="174" t="s">
        <v>14</v>
      </c>
      <c r="H5" s="174" t="s">
        <v>15</v>
      </c>
      <c r="K5" s="94">
        <v>2</v>
      </c>
      <c r="L5" s="98" t="s">
        <v>71</v>
      </c>
      <c r="M5" s="95"/>
      <c r="N5" s="99">
        <f>CEILING(MAX(F6:G93),IF(L3=2,0.01,100))</f>
        <v>200</v>
      </c>
      <c r="O5" s="94"/>
    </row>
    <row r="6" spans="1:49" ht="15" customHeight="1" x14ac:dyDescent="0.2">
      <c r="A6" s="21">
        <v>89</v>
      </c>
      <c r="C6">
        <v>0</v>
      </c>
      <c r="D6" s="100">
        <v>0</v>
      </c>
      <c r="E6" s="100">
        <v>0</v>
      </c>
      <c r="F6" s="101">
        <v>168.58304998149021</v>
      </c>
      <c r="G6" s="101">
        <v>-281.41695001851019</v>
      </c>
      <c r="H6" s="102">
        <f t="shared" ref="H6:H69" si="0">ABS(F6-G6)</f>
        <v>450.0000000000004</v>
      </c>
      <c r="K6" s="94">
        <v>3</v>
      </c>
      <c r="L6" s="98" t="s">
        <v>72</v>
      </c>
      <c r="M6" s="95"/>
      <c r="N6" s="99">
        <f>(N5-N4)/5</f>
        <v>100</v>
      </c>
      <c r="O6" s="94"/>
    </row>
    <row r="7" spans="1:49" ht="15" customHeight="1" x14ac:dyDescent="0.2">
      <c r="A7" s="21">
        <v>51</v>
      </c>
      <c r="B7" s="94"/>
      <c r="C7" s="103">
        <v>0</v>
      </c>
      <c r="D7" s="104">
        <v>0</v>
      </c>
      <c r="E7" s="104">
        <v>0</v>
      </c>
      <c r="F7" s="105">
        <v>34.965857882461762</v>
      </c>
      <c r="G7" s="105">
        <v>-198.78752296965871</v>
      </c>
      <c r="H7" s="105">
        <f t="shared" si="0"/>
        <v>233.75338085212047</v>
      </c>
      <c r="K7" s="94">
        <v>4</v>
      </c>
      <c r="L7" s="98" t="s">
        <v>73</v>
      </c>
      <c r="M7" s="95"/>
      <c r="N7" s="95"/>
      <c r="O7" s="94"/>
      <c r="P7" s="94"/>
    </row>
    <row r="8" spans="1:49" ht="15" customHeight="1" x14ac:dyDescent="0.2">
      <c r="A8" s="21">
        <v>79</v>
      </c>
      <c r="B8" s="94"/>
      <c r="C8" s="103">
        <v>0</v>
      </c>
      <c r="D8" s="104">
        <v>0</v>
      </c>
      <c r="E8" s="104">
        <v>0</v>
      </c>
      <c r="F8" s="105">
        <v>55.942935501271222</v>
      </c>
      <c r="G8" s="105">
        <v>-118.77683553829098</v>
      </c>
      <c r="H8" s="105">
        <f t="shared" si="0"/>
        <v>174.7197710395622</v>
      </c>
      <c r="K8" s="94">
        <v>5</v>
      </c>
      <c r="L8" s="98" t="s">
        <v>74</v>
      </c>
      <c r="M8" s="95"/>
      <c r="N8" s="95"/>
      <c r="O8" s="94"/>
      <c r="P8" s="94"/>
    </row>
    <row r="9" spans="1:49" ht="15" customHeight="1" x14ac:dyDescent="0.2">
      <c r="A9" s="21">
        <v>34</v>
      </c>
      <c r="B9" s="94"/>
      <c r="C9" s="103">
        <v>0</v>
      </c>
      <c r="D9" s="104">
        <v>0</v>
      </c>
      <c r="E9" s="104">
        <v>0</v>
      </c>
      <c r="F9" s="105">
        <v>63.626191039672676</v>
      </c>
      <c r="G9" s="105">
        <v>-104.09699906300096</v>
      </c>
      <c r="H9" s="105">
        <f t="shared" si="0"/>
        <v>167.72319010267364</v>
      </c>
      <c r="K9" s="94">
        <v>6</v>
      </c>
      <c r="L9" s="98" t="s">
        <v>75</v>
      </c>
      <c r="M9" s="95"/>
      <c r="N9" s="95" t="str">
        <f ca="1">"MEAN: "&amp;TEXT(N3,IF(L3=2,"#,##0.00","$#,###"))</f>
        <v>MEAN: $16</v>
      </c>
      <c r="O9" s="94"/>
      <c r="P9" s="94"/>
    </row>
    <row r="10" spans="1:49" ht="15" customHeight="1" x14ac:dyDescent="0.2">
      <c r="A10" s="21">
        <v>36</v>
      </c>
      <c r="B10" s="94"/>
      <c r="C10" s="103">
        <v>0</v>
      </c>
      <c r="D10" s="104">
        <v>0</v>
      </c>
      <c r="E10" s="104">
        <v>0</v>
      </c>
      <c r="F10" s="105">
        <v>-127.71616325756867</v>
      </c>
      <c r="G10" s="105">
        <v>34.500911791572946</v>
      </c>
      <c r="H10" s="105">
        <f t="shared" si="0"/>
        <v>162.21707504914161</v>
      </c>
      <c r="K10" s="94"/>
      <c r="L10" s="95"/>
      <c r="M10" s="95"/>
      <c r="O10" s="94"/>
      <c r="P10" s="94"/>
    </row>
    <row r="11" spans="1:49" ht="15" customHeight="1" x14ac:dyDescent="0.2">
      <c r="A11" s="21">
        <v>69</v>
      </c>
      <c r="B11" s="94"/>
      <c r="C11" s="103">
        <v>0</v>
      </c>
      <c r="D11" s="104">
        <v>0</v>
      </c>
      <c r="E11" s="104">
        <v>0</v>
      </c>
      <c r="F11" s="105">
        <v>41.029702605090563</v>
      </c>
      <c r="G11" s="105">
        <v>-115.52657046549984</v>
      </c>
      <c r="H11" s="105">
        <f t="shared" si="0"/>
        <v>156.55627307059041</v>
      </c>
      <c r="K11" s="94"/>
      <c r="L11" s="95"/>
      <c r="M11" s="95"/>
      <c r="N11" s="95"/>
      <c r="O11" s="94"/>
      <c r="P11" s="94"/>
    </row>
    <row r="12" spans="1:49" ht="15" customHeight="1" x14ac:dyDescent="0.2">
      <c r="A12" s="21">
        <v>18</v>
      </c>
      <c r="B12" s="94"/>
      <c r="C12" s="103" t="s">
        <v>203</v>
      </c>
      <c r="D12" s="106">
        <v>0</v>
      </c>
      <c r="E12" s="106">
        <v>0</v>
      </c>
      <c r="F12" s="105">
        <v>-99.679908823404617</v>
      </c>
      <c r="G12" s="105">
        <v>36.846008786384743</v>
      </c>
      <c r="H12" s="105">
        <f t="shared" si="0"/>
        <v>136.52591760978936</v>
      </c>
      <c r="K12" s="94"/>
      <c r="L12" s="94"/>
      <c r="M12" s="94"/>
      <c r="N12" s="94"/>
      <c r="O12" s="94"/>
      <c r="P12" s="94"/>
    </row>
    <row r="13" spans="1:49" ht="15" customHeight="1" x14ac:dyDescent="0.2">
      <c r="A13" s="21">
        <v>10</v>
      </c>
      <c r="B13" s="94"/>
      <c r="C13" s="103" t="s">
        <v>204</v>
      </c>
      <c r="D13" s="104">
        <v>0</v>
      </c>
      <c r="E13" s="104">
        <v>0</v>
      </c>
      <c r="F13" s="101">
        <v>-99.670231268507848</v>
      </c>
      <c r="G13" s="101">
        <v>36.836331231490703</v>
      </c>
      <c r="H13" s="29">
        <f t="shared" si="0"/>
        <v>136.50656249999855</v>
      </c>
      <c r="K13" s="94"/>
      <c r="L13" s="94"/>
      <c r="M13" s="94"/>
      <c r="N13" s="94"/>
      <c r="O13" s="94"/>
      <c r="P13" s="94"/>
    </row>
    <row r="14" spans="1:49" ht="15" customHeight="1" x14ac:dyDescent="0.2">
      <c r="A14" s="21">
        <v>88</v>
      </c>
      <c r="C14">
        <v>0</v>
      </c>
      <c r="D14" s="107">
        <v>0</v>
      </c>
      <c r="E14" s="107">
        <v>0</v>
      </c>
      <c r="F14" s="101">
        <v>18.583049981490092</v>
      </c>
      <c r="G14" s="101">
        <v>-81.416950018509965</v>
      </c>
      <c r="H14" s="108">
        <f t="shared" si="0"/>
        <v>100.00000000000006</v>
      </c>
      <c r="K14" s="94"/>
      <c r="L14" s="94"/>
      <c r="M14" s="94"/>
      <c r="N14" s="94"/>
      <c r="O14" s="94"/>
      <c r="P14" s="94"/>
    </row>
    <row r="15" spans="1:49" ht="15" customHeight="1" x14ac:dyDescent="0.2">
      <c r="A15" s="21">
        <v>16</v>
      </c>
      <c r="B15" s="95"/>
      <c r="C15" s="103" t="s">
        <v>203</v>
      </c>
      <c r="D15" s="106">
        <v>0</v>
      </c>
      <c r="E15" s="106">
        <v>0</v>
      </c>
      <c r="F15" s="105">
        <v>-75.321054891009624</v>
      </c>
      <c r="G15" s="105">
        <v>12.487154854000892</v>
      </c>
      <c r="H15" s="105">
        <f t="shared" si="0"/>
        <v>87.808209745010515</v>
      </c>
      <c r="K15" s="94"/>
      <c r="L15" s="94"/>
      <c r="M15" s="94"/>
      <c r="N15" s="94"/>
      <c r="O15" s="94"/>
      <c r="P15" s="109"/>
    </row>
    <row r="16" spans="1:49" ht="15" customHeight="1" x14ac:dyDescent="0.2">
      <c r="A16" s="21">
        <v>61</v>
      </c>
      <c r="B16" s="94"/>
      <c r="C16" s="103">
        <v>0</v>
      </c>
      <c r="D16" s="104">
        <v>0</v>
      </c>
      <c r="E16" s="104">
        <v>0</v>
      </c>
      <c r="F16" s="105">
        <v>-83.453742503004264</v>
      </c>
      <c r="G16" s="105">
        <v>-9.7085386077210956</v>
      </c>
      <c r="H16" s="105">
        <f t="shared" si="0"/>
        <v>73.745203895283169</v>
      </c>
      <c r="K16" s="94"/>
      <c r="L16" s="94"/>
      <c r="M16" s="94"/>
      <c r="N16" s="94"/>
      <c r="O16" s="94"/>
      <c r="P16" s="94"/>
    </row>
    <row r="17" spans="1:16" ht="15" customHeight="1" x14ac:dyDescent="0.2">
      <c r="A17" s="21">
        <v>8</v>
      </c>
      <c r="B17" s="94"/>
      <c r="C17" s="103" t="s">
        <v>204</v>
      </c>
      <c r="D17" s="104">
        <v>0</v>
      </c>
      <c r="E17" s="104">
        <v>0</v>
      </c>
      <c r="F17" s="105">
        <v>-65.04428465715398</v>
      </c>
      <c r="G17" s="105">
        <v>2.2103846201396209</v>
      </c>
      <c r="H17" s="105">
        <f t="shared" si="0"/>
        <v>67.254669277293601</v>
      </c>
      <c r="K17" s="94"/>
      <c r="L17" s="94"/>
      <c r="M17" s="94"/>
      <c r="N17" s="94"/>
      <c r="O17" s="94"/>
      <c r="P17" s="94"/>
    </row>
    <row r="18" spans="1:16" ht="15" customHeight="1" x14ac:dyDescent="0.2">
      <c r="A18" s="21">
        <v>24</v>
      </c>
      <c r="B18" s="94"/>
      <c r="C18" s="103" t="s">
        <v>205</v>
      </c>
      <c r="D18" s="104">
        <v>0</v>
      </c>
      <c r="E18" s="104">
        <v>0</v>
      </c>
      <c r="F18" s="105">
        <v>-61.228731069796481</v>
      </c>
      <c r="G18" s="105">
        <v>1.032040065387605</v>
      </c>
      <c r="H18" s="105">
        <f t="shared" si="0"/>
        <v>62.260771135184086</v>
      </c>
      <c r="K18" s="94"/>
      <c r="M18" s="94"/>
      <c r="N18" s="94"/>
      <c r="O18" s="94"/>
      <c r="P18" s="94"/>
    </row>
    <row r="19" spans="1:16" ht="15" customHeight="1" x14ac:dyDescent="0.2">
      <c r="A19" s="21">
        <v>38</v>
      </c>
      <c r="B19" s="94"/>
      <c r="C19" s="103">
        <v>0</v>
      </c>
      <c r="D19" s="104">
        <v>0</v>
      </c>
      <c r="E19" s="104">
        <v>0</v>
      </c>
      <c r="F19" s="105">
        <v>-82.710526481574107</v>
      </c>
      <c r="G19" s="105">
        <v>-23.165160617902188</v>
      </c>
      <c r="H19" s="105">
        <f t="shared" si="0"/>
        <v>59.545365863671918</v>
      </c>
      <c r="K19" s="110"/>
      <c r="L19" s="111"/>
      <c r="M19" s="94"/>
      <c r="N19" s="94"/>
      <c r="O19" s="94"/>
    </row>
    <row r="20" spans="1:16" ht="15" customHeight="1" x14ac:dyDescent="0.2">
      <c r="A20" s="21">
        <v>26</v>
      </c>
      <c r="B20" s="94"/>
      <c r="C20" s="103" t="s">
        <v>205</v>
      </c>
      <c r="D20" s="104">
        <v>0</v>
      </c>
      <c r="E20" s="104">
        <v>0</v>
      </c>
      <c r="F20" s="105">
        <v>-60.521300018509805</v>
      </c>
      <c r="G20" s="105">
        <v>-2.3126000185101248</v>
      </c>
      <c r="H20" s="105">
        <f t="shared" si="0"/>
        <v>58.208699999999681</v>
      </c>
      <c r="K20" s="94"/>
      <c r="L20" s="111"/>
      <c r="M20" s="94"/>
      <c r="N20" s="94"/>
      <c r="O20" s="94"/>
      <c r="P20" s="94"/>
    </row>
    <row r="21" spans="1:16" ht="15" customHeight="1" x14ac:dyDescent="0.2">
      <c r="A21" s="21">
        <v>45</v>
      </c>
      <c r="B21" s="94"/>
      <c r="C21" s="103">
        <v>0</v>
      </c>
      <c r="D21" s="104">
        <v>0</v>
      </c>
      <c r="E21" s="104">
        <v>0</v>
      </c>
      <c r="F21" s="105">
        <v>-54.513973674972533</v>
      </c>
      <c r="G21" s="105">
        <v>3.2285854661936924</v>
      </c>
      <c r="H21" s="105">
        <f t="shared" si="0"/>
        <v>57.742559141166225</v>
      </c>
      <c r="K21" s="94"/>
      <c r="M21" s="94"/>
      <c r="N21" s="94"/>
      <c r="O21" s="94"/>
      <c r="P21" s="94"/>
    </row>
    <row r="22" spans="1:16" ht="15" customHeight="1" x14ac:dyDescent="0.2">
      <c r="A22" s="21">
        <v>17</v>
      </c>
      <c r="B22" s="94"/>
      <c r="C22" s="103" t="s">
        <v>203</v>
      </c>
      <c r="D22" s="106">
        <v>0</v>
      </c>
      <c r="E22" s="106">
        <v>0</v>
      </c>
      <c r="F22" s="105">
        <v>-8.1362485665971462</v>
      </c>
      <c r="G22" s="105">
        <v>-54.697651470420055</v>
      </c>
      <c r="H22" s="105">
        <f t="shared" si="0"/>
        <v>46.561402903822909</v>
      </c>
      <c r="K22" s="110"/>
      <c r="M22" s="94"/>
      <c r="N22" s="94"/>
      <c r="O22" s="94"/>
      <c r="P22" s="94"/>
    </row>
    <row r="23" spans="1:16" ht="15" customHeight="1" x14ac:dyDescent="0.2">
      <c r="A23" s="21">
        <v>67</v>
      </c>
      <c r="B23" s="94"/>
      <c r="C23" s="103">
        <v>0</v>
      </c>
      <c r="D23" s="104">
        <v>0</v>
      </c>
      <c r="E23" s="104">
        <v>0</v>
      </c>
      <c r="F23" s="105">
        <v>-14.218805055012069</v>
      </c>
      <c r="G23" s="105">
        <v>-50.379363458822127</v>
      </c>
      <c r="H23" s="105">
        <f t="shared" si="0"/>
        <v>36.160558403810057</v>
      </c>
      <c r="K23" s="94"/>
      <c r="M23" s="94"/>
      <c r="N23" s="94"/>
      <c r="O23" s="94"/>
      <c r="P23" s="94"/>
    </row>
    <row r="24" spans="1:16" ht="15" customHeight="1" x14ac:dyDescent="0.2">
      <c r="A24" s="21">
        <v>9</v>
      </c>
      <c r="B24" s="94"/>
      <c r="C24" s="103" t="s">
        <v>204</v>
      </c>
      <c r="D24" s="104">
        <v>0</v>
      </c>
      <c r="E24" s="104">
        <v>0</v>
      </c>
      <c r="F24" s="105">
        <v>-13.893600019525763</v>
      </c>
      <c r="G24" s="105">
        <v>-48.940300017494167</v>
      </c>
      <c r="H24" s="105">
        <f t="shared" si="0"/>
        <v>35.046699997968403</v>
      </c>
      <c r="K24" s="94"/>
      <c r="M24" s="94"/>
      <c r="N24" s="94"/>
      <c r="O24" s="94"/>
      <c r="P24" s="94"/>
    </row>
    <row r="25" spans="1:16" ht="15" customHeight="1" x14ac:dyDescent="0.2">
      <c r="A25" s="21">
        <v>47</v>
      </c>
      <c r="B25" s="94"/>
      <c r="C25" s="103">
        <v>0</v>
      </c>
      <c r="D25" s="104">
        <v>0</v>
      </c>
      <c r="E25" s="104">
        <v>0</v>
      </c>
      <c r="F25" s="105">
        <v>-48.500747432389574</v>
      </c>
      <c r="G25" s="105">
        <v>-14.809039163726368</v>
      </c>
      <c r="H25" s="105">
        <f t="shared" si="0"/>
        <v>33.691708268663206</v>
      </c>
    </row>
    <row r="26" spans="1:16" ht="15" customHeight="1" x14ac:dyDescent="0.2">
      <c r="A26" s="21">
        <v>63</v>
      </c>
      <c r="B26" s="94"/>
      <c r="C26" s="103">
        <v>0</v>
      </c>
      <c r="D26" s="104">
        <v>0</v>
      </c>
      <c r="E26" s="104">
        <v>0</v>
      </c>
      <c r="F26" s="105">
        <v>-48.554672505659028</v>
      </c>
      <c r="G26" s="105">
        <v>-15.226042330962741</v>
      </c>
      <c r="H26" s="105">
        <f t="shared" si="0"/>
        <v>33.328630174696286</v>
      </c>
    </row>
    <row r="27" spans="1:16" ht="15" customHeight="1" x14ac:dyDescent="0.2">
      <c r="A27" s="21">
        <v>32</v>
      </c>
      <c r="B27" s="94"/>
      <c r="C27" s="103">
        <v>0</v>
      </c>
      <c r="D27" s="104">
        <v>0</v>
      </c>
      <c r="E27" s="104">
        <v>0</v>
      </c>
      <c r="F27" s="105">
        <v>-52.500636324554705</v>
      </c>
      <c r="G27" s="105">
        <v>-21.460098148201041</v>
      </c>
      <c r="H27" s="105">
        <f t="shared" si="0"/>
        <v>31.040538176353664</v>
      </c>
    </row>
    <row r="28" spans="1:16" ht="15" customHeight="1" x14ac:dyDescent="0.2">
      <c r="A28" s="21">
        <v>6</v>
      </c>
      <c r="B28" s="94"/>
      <c r="C28" s="103" t="s">
        <v>204</v>
      </c>
      <c r="D28" s="104">
        <v>0</v>
      </c>
      <c r="E28" s="104">
        <v>0</v>
      </c>
      <c r="F28" s="105">
        <v>-46.71856313984631</v>
      </c>
      <c r="G28" s="105">
        <v>-16.115336897167992</v>
      </c>
      <c r="H28" s="105">
        <f t="shared" si="0"/>
        <v>30.603226242678318</v>
      </c>
    </row>
    <row r="29" spans="1:16" ht="15" customHeight="1" x14ac:dyDescent="0.2">
      <c r="A29" s="21">
        <v>35</v>
      </c>
      <c r="B29" s="94"/>
      <c r="C29" s="103">
        <v>0</v>
      </c>
      <c r="D29" s="104">
        <v>0</v>
      </c>
      <c r="E29" s="104">
        <v>0</v>
      </c>
      <c r="F29" s="105">
        <v>-38.159095939261135</v>
      </c>
      <c r="G29" s="105">
        <v>-7.6205580663145156</v>
      </c>
      <c r="H29" s="105">
        <f t="shared" si="0"/>
        <v>30.53853787294662</v>
      </c>
    </row>
    <row r="30" spans="1:16" ht="15" customHeight="1" x14ac:dyDescent="0.2">
      <c r="A30" s="21">
        <v>20</v>
      </c>
      <c r="B30" s="94"/>
      <c r="C30" s="103" t="s">
        <v>203</v>
      </c>
      <c r="D30" s="106">
        <v>0</v>
      </c>
      <c r="E30" s="106">
        <v>0</v>
      </c>
      <c r="F30" s="105">
        <v>-16.552709159707206</v>
      </c>
      <c r="G30" s="105">
        <v>-46.281190877312781</v>
      </c>
      <c r="H30" s="105">
        <f t="shared" si="0"/>
        <v>29.728481717605575</v>
      </c>
    </row>
    <row r="31" spans="1:16" ht="15" customHeight="1" x14ac:dyDescent="0.2">
      <c r="A31" s="21">
        <v>13</v>
      </c>
      <c r="B31" s="94"/>
      <c r="C31" s="103" t="s">
        <v>203</v>
      </c>
      <c r="D31" s="106">
        <v>0</v>
      </c>
      <c r="E31" s="106">
        <v>0</v>
      </c>
      <c r="F31" s="105">
        <v>-45.085943050544131</v>
      </c>
      <c r="G31" s="105">
        <v>-17.747956986475685</v>
      </c>
      <c r="H31" s="105">
        <f t="shared" si="0"/>
        <v>27.337986064068446</v>
      </c>
    </row>
    <row r="32" spans="1:16" ht="15" customHeight="1" x14ac:dyDescent="0.2">
      <c r="A32" s="21">
        <v>50</v>
      </c>
      <c r="B32" s="94"/>
      <c r="C32" s="103">
        <v>0</v>
      </c>
      <c r="D32" s="104">
        <v>0</v>
      </c>
      <c r="E32" s="104">
        <v>0</v>
      </c>
      <c r="F32" s="105">
        <v>12.810028068723739</v>
      </c>
      <c r="G32" s="105">
        <v>-13.526931895746998</v>
      </c>
      <c r="H32" s="105">
        <f t="shared" si="0"/>
        <v>26.336959964470736</v>
      </c>
    </row>
    <row r="33" spans="1:8" ht="15" customHeight="1" x14ac:dyDescent="0.2">
      <c r="A33" s="21">
        <v>14</v>
      </c>
      <c r="B33" s="94"/>
      <c r="C33" s="103" t="s">
        <v>203</v>
      </c>
      <c r="D33" s="106">
        <v>0</v>
      </c>
      <c r="E33" s="106">
        <v>0</v>
      </c>
      <c r="F33" s="105">
        <v>-44.402941000301382</v>
      </c>
      <c r="G33" s="105">
        <v>-18.43095903670735</v>
      </c>
      <c r="H33" s="105">
        <f t="shared" si="0"/>
        <v>25.971981963594033</v>
      </c>
    </row>
    <row r="34" spans="1:8" ht="15" customHeight="1" x14ac:dyDescent="0.2">
      <c r="A34" s="21">
        <v>52</v>
      </c>
      <c r="B34" s="94"/>
      <c r="C34" s="103">
        <v>0</v>
      </c>
      <c r="D34" s="104">
        <v>0</v>
      </c>
      <c r="E34" s="104">
        <v>0</v>
      </c>
      <c r="F34" s="105">
        <v>-45.200295624587568</v>
      </c>
      <c r="G34" s="105">
        <v>-19.255174483729661</v>
      </c>
      <c r="H34" s="105">
        <f t="shared" si="0"/>
        <v>25.945121140857907</v>
      </c>
    </row>
    <row r="35" spans="1:8" ht="15" customHeight="1" x14ac:dyDescent="0.2">
      <c r="A35" s="21">
        <v>29</v>
      </c>
      <c r="B35" s="94"/>
      <c r="C35" s="103">
        <v>0</v>
      </c>
      <c r="D35" s="104">
        <v>0</v>
      </c>
      <c r="E35" s="104">
        <v>0</v>
      </c>
      <c r="F35" s="105">
        <v>-44.986346930188859</v>
      </c>
      <c r="G35" s="105">
        <v>-19.601601376077213</v>
      </c>
      <c r="H35" s="105">
        <f t="shared" si="0"/>
        <v>25.384745554111646</v>
      </c>
    </row>
    <row r="36" spans="1:8" ht="15" customHeight="1" x14ac:dyDescent="0.2">
      <c r="A36" s="21">
        <v>2</v>
      </c>
      <c r="B36" s="94"/>
      <c r="C36" s="95">
        <v>0</v>
      </c>
      <c r="D36" s="112">
        <v>0</v>
      </c>
      <c r="E36" s="112">
        <v>0</v>
      </c>
      <c r="F36" s="112">
        <v>-18.916950018509965</v>
      </c>
      <c r="G36" s="112">
        <v>-43.916950018510022</v>
      </c>
      <c r="H36" s="105">
        <f t="shared" si="0"/>
        <v>25.000000000000057</v>
      </c>
    </row>
    <row r="37" spans="1:8" ht="15" customHeight="1" x14ac:dyDescent="0.2">
      <c r="A37" s="21">
        <v>84</v>
      </c>
      <c r="B37" s="94"/>
      <c r="C37" s="103">
        <v>0</v>
      </c>
      <c r="D37" s="104">
        <v>0</v>
      </c>
      <c r="E37" s="104">
        <v>0</v>
      </c>
      <c r="F37" s="105">
        <v>-19.084126521549365</v>
      </c>
      <c r="G37" s="105">
        <v>-43.749773515470565</v>
      </c>
      <c r="H37" s="105">
        <f t="shared" si="0"/>
        <v>24.6656469939212</v>
      </c>
    </row>
    <row r="38" spans="1:8" ht="15" customHeight="1" x14ac:dyDescent="0.2">
      <c r="A38" s="21">
        <v>70</v>
      </c>
      <c r="B38" s="94"/>
      <c r="C38" s="103">
        <v>0</v>
      </c>
      <c r="D38" s="104">
        <v>0</v>
      </c>
      <c r="E38" s="104">
        <v>0</v>
      </c>
      <c r="F38" s="105">
        <v>-42.616100618362623</v>
      </c>
      <c r="G38" s="105">
        <v>-20.217799418643438</v>
      </c>
      <c r="H38" s="105">
        <f t="shared" si="0"/>
        <v>22.398301199719185</v>
      </c>
    </row>
    <row r="39" spans="1:8" ht="15" customHeight="1" x14ac:dyDescent="0.2">
      <c r="A39" s="21">
        <v>71</v>
      </c>
      <c r="B39" s="94"/>
      <c r="C39" s="103">
        <v>0</v>
      </c>
      <c r="D39" s="104">
        <v>0</v>
      </c>
      <c r="E39" s="104">
        <v>0</v>
      </c>
      <c r="F39" s="105">
        <v>-20.5857337223012</v>
      </c>
      <c r="G39" s="105">
        <v>-42.248166314710375</v>
      </c>
      <c r="H39" s="105">
        <f t="shared" si="0"/>
        <v>21.662432592409175</v>
      </c>
    </row>
    <row r="40" spans="1:8" ht="15" customHeight="1" x14ac:dyDescent="0.2">
      <c r="A40" s="21">
        <v>31</v>
      </c>
      <c r="B40" s="94"/>
      <c r="C40" s="103">
        <v>0</v>
      </c>
      <c r="D40" s="104">
        <v>0</v>
      </c>
      <c r="E40" s="104">
        <v>0</v>
      </c>
      <c r="F40" s="105">
        <v>-20.564186730185781</v>
      </c>
      <c r="G40" s="105">
        <v>-42.060805461831535</v>
      </c>
      <c r="H40" s="105">
        <f t="shared" si="0"/>
        <v>21.496618731645754</v>
      </c>
    </row>
    <row r="41" spans="1:8" ht="15" customHeight="1" x14ac:dyDescent="0.2">
      <c r="A41" s="21">
        <v>7</v>
      </c>
      <c r="B41" s="94"/>
      <c r="C41" s="95" t="s">
        <v>204</v>
      </c>
      <c r="D41" s="104">
        <v>0</v>
      </c>
      <c r="E41" s="104">
        <v>0</v>
      </c>
      <c r="F41" s="112">
        <v>-41.612069302993746</v>
      </c>
      <c r="G41" s="112">
        <v>-21.221830734026128</v>
      </c>
      <c r="H41" s="112">
        <f t="shared" si="0"/>
        <v>20.390238568967618</v>
      </c>
    </row>
    <row r="42" spans="1:8" ht="15" customHeight="1" x14ac:dyDescent="0.2">
      <c r="A42" s="21">
        <v>1</v>
      </c>
      <c r="B42" s="94"/>
      <c r="C42" s="95">
        <v>0</v>
      </c>
      <c r="D42" s="112">
        <v>0</v>
      </c>
      <c r="E42" s="112">
        <v>0</v>
      </c>
      <c r="F42" s="112">
        <v>-21.416950018509965</v>
      </c>
      <c r="G42" s="112">
        <v>-41.416950018510022</v>
      </c>
      <c r="H42" s="105">
        <f t="shared" si="0"/>
        <v>20.000000000000057</v>
      </c>
    </row>
    <row r="43" spans="1:8" ht="15" customHeight="1" x14ac:dyDescent="0.2">
      <c r="A43" s="21">
        <v>73</v>
      </c>
      <c r="B43" s="94"/>
      <c r="C43" s="103">
        <v>0</v>
      </c>
      <c r="D43" s="104">
        <v>0</v>
      </c>
      <c r="E43" s="104">
        <v>0</v>
      </c>
      <c r="F43" s="105">
        <v>-21.534577767230076</v>
      </c>
      <c r="G43" s="105">
        <v>-41.299322269789855</v>
      </c>
      <c r="H43" s="105">
        <f t="shared" si="0"/>
        <v>19.764744502559779</v>
      </c>
    </row>
    <row r="44" spans="1:8" ht="15" customHeight="1" x14ac:dyDescent="0.2">
      <c r="A44" s="21">
        <v>68</v>
      </c>
      <c r="B44" s="94"/>
      <c r="C44" s="103">
        <v>0</v>
      </c>
      <c r="D44" s="104">
        <v>0</v>
      </c>
      <c r="E44" s="104">
        <v>0</v>
      </c>
      <c r="F44" s="105">
        <v>-22.595134867078343</v>
      </c>
      <c r="G44" s="105">
        <v>-41.732175706468013</v>
      </c>
      <c r="H44" s="105">
        <f t="shared" si="0"/>
        <v>19.13704083938967</v>
      </c>
    </row>
    <row r="45" spans="1:8" ht="15" customHeight="1" x14ac:dyDescent="0.2">
      <c r="A45" s="21">
        <v>25</v>
      </c>
      <c r="B45" s="94"/>
      <c r="C45" s="103" t="s">
        <v>205</v>
      </c>
      <c r="D45" s="104">
        <v>0</v>
      </c>
      <c r="E45" s="104">
        <v>0</v>
      </c>
      <c r="F45" s="105">
        <v>-38.131047742382009</v>
      </c>
      <c r="G45" s="105">
        <v>-20.148904055207765</v>
      </c>
      <c r="H45" s="105">
        <f t="shared" si="0"/>
        <v>17.982143687174243</v>
      </c>
    </row>
    <row r="46" spans="1:8" ht="15" customHeight="1" x14ac:dyDescent="0.2">
      <c r="A46" s="21">
        <v>74</v>
      </c>
      <c r="B46" s="94"/>
      <c r="C46" s="103">
        <v>0</v>
      </c>
      <c r="D46" s="104">
        <v>0</v>
      </c>
      <c r="E46" s="104">
        <v>0</v>
      </c>
      <c r="F46" s="105">
        <v>-23.409136020802237</v>
      </c>
      <c r="G46" s="105">
        <v>-40.976389445617599</v>
      </c>
      <c r="H46" s="105">
        <f t="shared" si="0"/>
        <v>17.567253424815362</v>
      </c>
    </row>
    <row r="47" spans="1:8" ht="15" customHeight="1" x14ac:dyDescent="0.2">
      <c r="A47" s="21">
        <v>49</v>
      </c>
      <c r="B47" s="94"/>
      <c r="C47" s="103">
        <v>0</v>
      </c>
      <c r="D47" s="104">
        <v>0</v>
      </c>
      <c r="E47" s="104">
        <v>0</v>
      </c>
      <c r="F47" s="105">
        <v>-40.147615749623071</v>
      </c>
      <c r="G47" s="105">
        <v>-57.450859766833617</v>
      </c>
      <c r="H47" s="105">
        <f t="shared" si="0"/>
        <v>17.303244017210545</v>
      </c>
    </row>
    <row r="48" spans="1:8" ht="15" customHeight="1" x14ac:dyDescent="0.2">
      <c r="A48" s="21">
        <v>15</v>
      </c>
      <c r="B48" s="94"/>
      <c r="C48" s="95" t="s">
        <v>203</v>
      </c>
      <c r="D48" s="106">
        <v>0</v>
      </c>
      <c r="E48" s="106">
        <v>0</v>
      </c>
      <c r="F48" s="105">
        <v>-39.500976686194633</v>
      </c>
      <c r="G48" s="105">
        <v>-23.332923350822512</v>
      </c>
      <c r="H48" s="105">
        <f t="shared" si="0"/>
        <v>16.168053335372122</v>
      </c>
    </row>
    <row r="49" spans="1:8" ht="15" customHeight="1" x14ac:dyDescent="0.2">
      <c r="A49" s="21">
        <v>5</v>
      </c>
      <c r="B49" s="94"/>
      <c r="C49" s="103" t="s">
        <v>204</v>
      </c>
      <c r="D49" s="104">
        <v>0</v>
      </c>
      <c r="E49" s="104">
        <v>0</v>
      </c>
      <c r="F49" s="105">
        <v>-38.444845453858193</v>
      </c>
      <c r="G49" s="105">
        <v>-24.389054583161737</v>
      </c>
      <c r="H49" s="105">
        <f t="shared" si="0"/>
        <v>14.055790870696455</v>
      </c>
    </row>
    <row r="50" spans="1:8" ht="15" customHeight="1" x14ac:dyDescent="0.2">
      <c r="A50" s="21">
        <v>62</v>
      </c>
      <c r="B50" s="94"/>
      <c r="C50" s="103">
        <v>0</v>
      </c>
      <c r="D50" s="104">
        <v>0</v>
      </c>
      <c r="E50" s="104">
        <v>0</v>
      </c>
      <c r="F50" s="105">
        <v>-31.931234959444907</v>
      </c>
      <c r="G50" s="105">
        <v>-17.875819935718312</v>
      </c>
      <c r="H50" s="105">
        <f t="shared" si="0"/>
        <v>14.055415023726596</v>
      </c>
    </row>
    <row r="51" spans="1:8" ht="15" customHeight="1" x14ac:dyDescent="0.2">
      <c r="A51" s="21">
        <v>65</v>
      </c>
      <c r="B51" s="94"/>
      <c r="C51" s="103">
        <v>0</v>
      </c>
      <c r="D51" s="104">
        <v>0</v>
      </c>
      <c r="E51" s="104">
        <v>0</v>
      </c>
      <c r="F51" s="105">
        <v>-38.457438882932991</v>
      </c>
      <c r="G51" s="105">
        <v>-25.495159011445708</v>
      </c>
      <c r="H51" s="105">
        <f t="shared" si="0"/>
        <v>12.962279871487283</v>
      </c>
    </row>
    <row r="52" spans="1:8" ht="15" customHeight="1" x14ac:dyDescent="0.2">
      <c r="A52" s="21">
        <v>22</v>
      </c>
      <c r="B52" s="94"/>
      <c r="C52" s="103" t="s">
        <v>205</v>
      </c>
      <c r="D52" s="104">
        <v>0</v>
      </c>
      <c r="E52" s="104">
        <v>0</v>
      </c>
      <c r="F52" s="105">
        <v>-37.780721713366404</v>
      </c>
      <c r="G52" s="105">
        <v>-25.053178323647955</v>
      </c>
      <c r="H52" s="105">
        <f t="shared" si="0"/>
        <v>12.727543389718448</v>
      </c>
    </row>
    <row r="53" spans="1:8" ht="15" customHeight="1" x14ac:dyDescent="0.2">
      <c r="A53" s="21">
        <v>21</v>
      </c>
      <c r="B53" s="94"/>
      <c r="C53" s="103" t="s">
        <v>205</v>
      </c>
      <c r="D53" s="104">
        <v>0</v>
      </c>
      <c r="E53" s="104">
        <v>0</v>
      </c>
      <c r="F53" s="105">
        <v>-36.749850332282904</v>
      </c>
      <c r="G53" s="105">
        <v>-25.389542578349278</v>
      </c>
      <c r="H53" s="105">
        <f t="shared" si="0"/>
        <v>11.360307753933625</v>
      </c>
    </row>
    <row r="54" spans="1:8" ht="15" customHeight="1" x14ac:dyDescent="0.2">
      <c r="A54" s="21">
        <v>82</v>
      </c>
      <c r="B54" s="94"/>
      <c r="C54" s="103">
        <v>0</v>
      </c>
      <c r="D54" s="104">
        <v>0</v>
      </c>
      <c r="E54" s="104">
        <v>0</v>
      </c>
      <c r="F54" s="105">
        <v>-25.85408600684849</v>
      </c>
      <c r="G54" s="105">
        <v>-36.979814030171383</v>
      </c>
      <c r="H54" s="105">
        <f t="shared" si="0"/>
        <v>11.125728023322893</v>
      </c>
    </row>
    <row r="55" spans="1:8" ht="15" customHeight="1" x14ac:dyDescent="0.2">
      <c r="A55" s="21">
        <v>12</v>
      </c>
      <c r="B55" s="94"/>
      <c r="C55" s="103" t="s">
        <v>204</v>
      </c>
      <c r="D55" s="104">
        <v>0</v>
      </c>
      <c r="E55" s="104">
        <v>0</v>
      </c>
      <c r="F55" s="105">
        <v>-26.09837189350992</v>
      </c>
      <c r="G55" s="105">
        <v>-36.735528143509953</v>
      </c>
      <c r="H55" s="105">
        <f t="shared" si="0"/>
        <v>10.637156250000032</v>
      </c>
    </row>
    <row r="56" spans="1:8" ht="15" customHeight="1" x14ac:dyDescent="0.2">
      <c r="A56" s="21">
        <v>40</v>
      </c>
      <c r="B56" s="94"/>
      <c r="C56" s="103">
        <v>0</v>
      </c>
      <c r="D56" s="104">
        <v>0</v>
      </c>
      <c r="E56" s="104">
        <v>0</v>
      </c>
      <c r="F56" s="105">
        <v>-27.477399402241076</v>
      </c>
      <c r="G56" s="105">
        <v>-35.95643748800569</v>
      </c>
      <c r="H56" s="105">
        <f t="shared" si="0"/>
        <v>8.4790380857646142</v>
      </c>
    </row>
    <row r="57" spans="1:8" ht="15" customHeight="1" x14ac:dyDescent="0.2">
      <c r="A57" s="21">
        <v>23</v>
      </c>
      <c r="B57" s="94"/>
      <c r="C57" s="103" t="s">
        <v>205</v>
      </c>
      <c r="D57" s="104">
        <v>0</v>
      </c>
      <c r="E57" s="104">
        <v>0</v>
      </c>
      <c r="F57" s="105">
        <v>-35.572818104714941</v>
      </c>
      <c r="G57" s="105">
        <v>-27.261081932302204</v>
      </c>
      <c r="H57" s="105">
        <f t="shared" si="0"/>
        <v>8.3117361724127363</v>
      </c>
    </row>
    <row r="58" spans="1:8" ht="15" customHeight="1" x14ac:dyDescent="0.2">
      <c r="A58" s="21">
        <v>33</v>
      </c>
      <c r="B58" s="94"/>
      <c r="C58" s="103">
        <v>0</v>
      </c>
      <c r="D58" s="104">
        <v>0</v>
      </c>
      <c r="E58" s="104">
        <v>0</v>
      </c>
      <c r="F58" s="105">
        <v>-32.869995249802116</v>
      </c>
      <c r="G58" s="105">
        <v>-25.604769093338405</v>
      </c>
      <c r="H58" s="105">
        <f t="shared" si="0"/>
        <v>7.2652261564637115</v>
      </c>
    </row>
    <row r="59" spans="1:8" ht="15" customHeight="1" x14ac:dyDescent="0.2">
      <c r="A59" s="21">
        <v>44</v>
      </c>
      <c r="B59" s="94"/>
      <c r="C59" s="103">
        <v>0</v>
      </c>
      <c r="D59" s="104">
        <v>0</v>
      </c>
      <c r="E59" s="104">
        <v>0</v>
      </c>
      <c r="F59" s="105">
        <v>-29.008011383312521</v>
      </c>
      <c r="G59" s="105">
        <v>-34.293392785678748</v>
      </c>
      <c r="H59" s="105">
        <f t="shared" si="0"/>
        <v>5.2853814023662267</v>
      </c>
    </row>
    <row r="60" spans="1:8" ht="15" customHeight="1" x14ac:dyDescent="0.2">
      <c r="A60" s="21">
        <v>72</v>
      </c>
      <c r="B60" s="94"/>
      <c r="C60" s="103">
        <v>0</v>
      </c>
      <c r="D60" s="104">
        <v>0</v>
      </c>
      <c r="E60" s="104">
        <v>0</v>
      </c>
      <c r="F60" s="105">
        <v>-28.920911272626597</v>
      </c>
      <c r="G60" s="105">
        <v>-33.912988764390491</v>
      </c>
      <c r="H60" s="105">
        <f t="shared" si="0"/>
        <v>4.9920774917638937</v>
      </c>
    </row>
    <row r="61" spans="1:8" ht="15" customHeight="1" x14ac:dyDescent="0.2">
      <c r="A61" s="21">
        <v>41</v>
      </c>
      <c r="B61" s="94"/>
      <c r="C61" s="103">
        <v>0</v>
      </c>
      <c r="D61" s="104">
        <v>0</v>
      </c>
      <c r="E61" s="104">
        <v>0</v>
      </c>
      <c r="F61" s="105">
        <v>-29.208054386064191</v>
      </c>
      <c r="G61" s="105">
        <v>-34.11523706424714</v>
      </c>
      <c r="H61" s="105">
        <f t="shared" si="0"/>
        <v>4.9071826781829486</v>
      </c>
    </row>
    <row r="62" spans="1:8" ht="15" customHeight="1" x14ac:dyDescent="0.2">
      <c r="A62" s="21">
        <v>28</v>
      </c>
      <c r="B62" s="94"/>
      <c r="C62" s="103" t="s">
        <v>205</v>
      </c>
      <c r="D62" s="104">
        <v>0</v>
      </c>
      <c r="E62" s="104">
        <v>0</v>
      </c>
      <c r="F62" s="105">
        <v>-29.118153143509971</v>
      </c>
      <c r="G62" s="105">
        <v>-33.715746893509959</v>
      </c>
      <c r="H62" s="105">
        <f t="shared" si="0"/>
        <v>4.5975937499999873</v>
      </c>
    </row>
    <row r="63" spans="1:8" ht="15" customHeight="1" x14ac:dyDescent="0.2">
      <c r="A63" s="21">
        <v>19</v>
      </c>
      <c r="B63" s="94"/>
      <c r="C63" s="103" t="s">
        <v>203</v>
      </c>
      <c r="D63" s="106">
        <v>0</v>
      </c>
      <c r="E63" s="106">
        <v>0</v>
      </c>
      <c r="F63" s="105">
        <v>-33.266029707609789</v>
      </c>
      <c r="G63" s="105">
        <v>-29.567870329410084</v>
      </c>
      <c r="H63" s="105">
        <f t="shared" si="0"/>
        <v>3.6981593781997049</v>
      </c>
    </row>
    <row r="64" spans="1:8" ht="15" customHeight="1" x14ac:dyDescent="0.2">
      <c r="A64" s="21">
        <v>86</v>
      </c>
      <c r="B64" s="94"/>
      <c r="C64" s="103">
        <v>0</v>
      </c>
      <c r="D64" s="104">
        <v>0</v>
      </c>
      <c r="E64" s="104">
        <v>0</v>
      </c>
      <c r="F64" s="105">
        <v>-33.177561901086108</v>
      </c>
      <c r="G64" s="105">
        <v>-29.656338135933765</v>
      </c>
      <c r="H64" s="105">
        <f t="shared" si="0"/>
        <v>3.5212237651523424</v>
      </c>
    </row>
    <row r="65" spans="1:8" ht="15" customHeight="1" x14ac:dyDescent="0.2">
      <c r="A65" s="21">
        <v>43</v>
      </c>
      <c r="B65" s="94"/>
      <c r="C65" s="103">
        <v>0</v>
      </c>
      <c r="D65" s="104">
        <v>0</v>
      </c>
      <c r="E65" s="104">
        <v>0</v>
      </c>
      <c r="F65" s="105">
        <v>-29.930249054037745</v>
      </c>
      <c r="G65" s="105">
        <v>-33.365235604398379</v>
      </c>
      <c r="H65" s="105">
        <f t="shared" si="0"/>
        <v>3.4349865503606338</v>
      </c>
    </row>
    <row r="66" spans="1:8" ht="15" customHeight="1" x14ac:dyDescent="0.2">
      <c r="A66" s="21">
        <v>58</v>
      </c>
      <c r="B66" s="94"/>
      <c r="C66" s="103">
        <v>0</v>
      </c>
      <c r="D66" s="104">
        <v>0</v>
      </c>
      <c r="E66" s="104">
        <v>0</v>
      </c>
      <c r="F66" s="105">
        <v>-33.088287857672015</v>
      </c>
      <c r="G66" s="105">
        <v>-29.753864286805936</v>
      </c>
      <c r="H66" s="105">
        <f t="shared" si="0"/>
        <v>3.334423570866079</v>
      </c>
    </row>
    <row r="67" spans="1:8" ht="15" customHeight="1" x14ac:dyDescent="0.2">
      <c r="A67" s="21">
        <v>66</v>
      </c>
      <c r="B67" s="94"/>
      <c r="C67" s="103">
        <v>0</v>
      </c>
      <c r="D67" s="104">
        <v>0</v>
      </c>
      <c r="E67" s="104">
        <v>0</v>
      </c>
      <c r="F67" s="105">
        <v>-32.697982210304076</v>
      </c>
      <c r="G67" s="105">
        <v>-30.349839946443524</v>
      </c>
      <c r="H67" s="105">
        <f t="shared" si="0"/>
        <v>2.3481422638605522</v>
      </c>
    </row>
    <row r="68" spans="1:8" ht="15" customHeight="1" x14ac:dyDescent="0.2">
      <c r="A68" s="21">
        <v>30</v>
      </c>
      <c r="B68" s="94"/>
      <c r="C68" s="103">
        <v>0</v>
      </c>
      <c r="D68" s="104">
        <v>0</v>
      </c>
      <c r="E68" s="104">
        <v>0</v>
      </c>
      <c r="F68" s="105">
        <v>-32.573161121809676</v>
      </c>
      <c r="G68" s="105">
        <v>-30.258316203752997</v>
      </c>
      <c r="H68" s="105">
        <f t="shared" si="0"/>
        <v>2.3148449180566786</v>
      </c>
    </row>
    <row r="69" spans="1:8" ht="15" customHeight="1" x14ac:dyDescent="0.2">
      <c r="A69" s="21">
        <v>37</v>
      </c>
      <c r="B69" s="94"/>
      <c r="C69" s="103">
        <v>0</v>
      </c>
      <c r="D69" s="104">
        <v>0</v>
      </c>
      <c r="E69" s="104">
        <v>0</v>
      </c>
      <c r="F69" s="105">
        <v>-32.588668704464339</v>
      </c>
      <c r="G69" s="105">
        <v>-30.549584919840754</v>
      </c>
      <c r="H69" s="105">
        <f t="shared" si="0"/>
        <v>2.0390837846235854</v>
      </c>
    </row>
    <row r="70" spans="1:8" ht="15" customHeight="1" x14ac:dyDescent="0.2">
      <c r="A70" s="21">
        <v>3</v>
      </c>
      <c r="B70" s="94"/>
      <c r="C70" s="95">
        <v>0</v>
      </c>
      <c r="D70" s="112">
        <v>0</v>
      </c>
      <c r="E70" s="112">
        <v>0</v>
      </c>
      <c r="F70" s="112">
        <v>-30.603200018509995</v>
      </c>
      <c r="G70" s="112">
        <v>-32.230700018509992</v>
      </c>
      <c r="H70" s="105">
        <f t="shared" ref="H70:H93" si="1">ABS(F70-G70)</f>
        <v>1.6274999999999977</v>
      </c>
    </row>
    <row r="71" spans="1:8" ht="15" customHeight="1" x14ac:dyDescent="0.2">
      <c r="A71" s="21">
        <v>64</v>
      </c>
      <c r="B71" s="94"/>
      <c r="C71" s="103">
        <v>0</v>
      </c>
      <c r="D71" s="104">
        <v>0</v>
      </c>
      <c r="E71" s="104">
        <v>0</v>
      </c>
      <c r="F71" s="105">
        <v>-30.623994425763158</v>
      </c>
      <c r="G71" s="105">
        <v>-32.223411759877479</v>
      </c>
      <c r="H71" s="105">
        <f t="shared" si="1"/>
        <v>1.599417334114321</v>
      </c>
    </row>
    <row r="72" spans="1:8" ht="15" customHeight="1" x14ac:dyDescent="0.2">
      <c r="A72" s="21">
        <v>11</v>
      </c>
      <c r="B72" s="94"/>
      <c r="C72" s="103" t="s">
        <v>204</v>
      </c>
      <c r="D72" s="104">
        <v>0</v>
      </c>
      <c r="E72" s="104">
        <v>0</v>
      </c>
      <c r="F72" s="105">
        <v>-32.086276073174076</v>
      </c>
      <c r="G72" s="105">
        <v>-30.747623963843068</v>
      </c>
      <c r="H72" s="105">
        <f t="shared" si="1"/>
        <v>1.338652109331008</v>
      </c>
    </row>
    <row r="73" spans="1:8" ht="15" customHeight="1" x14ac:dyDescent="0.2">
      <c r="A73" s="21">
        <v>27</v>
      </c>
      <c r="B73" s="94"/>
      <c r="C73" s="103" t="s">
        <v>205</v>
      </c>
      <c r="D73" s="104">
        <v>0</v>
      </c>
      <c r="E73" s="104">
        <v>0</v>
      </c>
      <c r="F73" s="105">
        <v>-31.93978740157371</v>
      </c>
      <c r="G73" s="105">
        <v>-30.809978924291613</v>
      </c>
      <c r="H73" s="105">
        <f t="shared" si="1"/>
        <v>1.1298084772820971</v>
      </c>
    </row>
    <row r="74" spans="1:8" ht="15" customHeight="1" x14ac:dyDescent="0.2">
      <c r="A74" s="21">
        <v>54</v>
      </c>
      <c r="B74" s="94"/>
      <c r="C74" s="103">
        <v>0</v>
      </c>
      <c r="D74" s="104">
        <v>0</v>
      </c>
      <c r="E74" s="104">
        <v>0</v>
      </c>
      <c r="F74" s="105">
        <v>-31.908931798212336</v>
      </c>
      <c r="G74" s="105">
        <v>-30.931620481168693</v>
      </c>
      <c r="H74" s="105">
        <f t="shared" si="1"/>
        <v>0.97731131704364316</v>
      </c>
    </row>
    <row r="75" spans="1:8" ht="15" customHeight="1" x14ac:dyDescent="0.2">
      <c r="A75" s="21">
        <v>39</v>
      </c>
      <c r="B75" s="94"/>
      <c r="C75" s="103">
        <v>0</v>
      </c>
      <c r="D75" s="104">
        <v>0</v>
      </c>
      <c r="E75" s="104">
        <v>0</v>
      </c>
      <c r="F75" s="105">
        <v>-31.028608761401188</v>
      </c>
      <c r="G75" s="105">
        <v>-31.999461904164718</v>
      </c>
      <c r="H75" s="105">
        <f t="shared" si="1"/>
        <v>0.97085314276353074</v>
      </c>
    </row>
    <row r="76" spans="1:8" ht="15" customHeight="1" x14ac:dyDescent="0.2">
      <c r="A76" s="21">
        <v>87</v>
      </c>
      <c r="B76" s="94"/>
      <c r="C76" s="103">
        <v>0</v>
      </c>
      <c r="D76" s="104">
        <v>0</v>
      </c>
      <c r="E76" s="104">
        <v>0</v>
      </c>
      <c r="F76" s="105">
        <v>-31.855401941954312</v>
      </c>
      <c r="G76" s="105">
        <v>-30.978498095065618</v>
      </c>
      <c r="H76" s="105">
        <f t="shared" si="1"/>
        <v>0.87690384688869472</v>
      </c>
    </row>
    <row r="77" spans="1:8" ht="15" customHeight="1" x14ac:dyDescent="0.2">
      <c r="A77" s="21">
        <v>80</v>
      </c>
      <c r="B77" s="94"/>
      <c r="C77" s="103">
        <v>0</v>
      </c>
      <c r="D77" s="104">
        <v>0</v>
      </c>
      <c r="E77" s="104">
        <v>0</v>
      </c>
      <c r="F77" s="105">
        <v>-30.992116980376409</v>
      </c>
      <c r="G77" s="105">
        <v>-31.83655847606201</v>
      </c>
      <c r="H77" s="105">
        <f t="shared" si="1"/>
        <v>0.84444149568560078</v>
      </c>
    </row>
    <row r="78" spans="1:8" ht="15" customHeight="1" x14ac:dyDescent="0.2">
      <c r="A78" s="21">
        <v>53</v>
      </c>
      <c r="B78" s="94"/>
      <c r="C78" s="103">
        <v>0</v>
      </c>
      <c r="D78" s="104">
        <v>0</v>
      </c>
      <c r="E78" s="104">
        <v>0</v>
      </c>
      <c r="F78" s="105">
        <v>-31.576576904745195</v>
      </c>
      <c r="G78" s="105">
        <v>-30.884860397725845</v>
      </c>
      <c r="H78" s="105">
        <f t="shared" si="1"/>
        <v>0.6917165070193505</v>
      </c>
    </row>
    <row r="79" spans="1:8" ht="15" customHeight="1" x14ac:dyDescent="0.2">
      <c r="A79" s="21">
        <v>4</v>
      </c>
      <c r="B79" s="94"/>
      <c r="C79" s="95">
        <v>0</v>
      </c>
      <c r="D79" s="112">
        <v>0</v>
      </c>
      <c r="E79" s="112">
        <v>0</v>
      </c>
      <c r="F79" s="112">
        <v>-31.107725018509996</v>
      </c>
      <c r="G79" s="112">
        <v>-31.726175018509991</v>
      </c>
      <c r="H79" s="105">
        <f t="shared" si="1"/>
        <v>0.61844999999999573</v>
      </c>
    </row>
    <row r="80" spans="1:8" ht="15" customHeight="1" x14ac:dyDescent="0.2">
      <c r="A80" s="21">
        <v>85</v>
      </c>
      <c r="B80" s="94"/>
      <c r="C80" s="103">
        <v>0</v>
      </c>
      <c r="D80" s="104">
        <v>0</v>
      </c>
      <c r="E80" s="104">
        <v>0</v>
      </c>
      <c r="F80" s="105">
        <v>-31.585647123859189</v>
      </c>
      <c r="G80" s="105">
        <v>-31.248252913160627</v>
      </c>
      <c r="H80" s="105">
        <f t="shared" si="1"/>
        <v>0.33739421069856235</v>
      </c>
    </row>
    <row r="81" spans="1:8" ht="15" customHeight="1" x14ac:dyDescent="0.2">
      <c r="A81" s="21">
        <v>59</v>
      </c>
      <c r="B81" s="94"/>
      <c r="C81" s="103">
        <v>0</v>
      </c>
      <c r="D81" s="104">
        <v>0</v>
      </c>
      <c r="E81" s="104">
        <v>0</v>
      </c>
      <c r="F81" s="105">
        <v>-31.468834212662102</v>
      </c>
      <c r="G81" s="105">
        <v>-31.347771092971925</v>
      </c>
      <c r="H81" s="105">
        <f t="shared" si="1"/>
        <v>0.12106311969017725</v>
      </c>
    </row>
    <row r="82" spans="1:8" ht="15" customHeight="1" x14ac:dyDescent="0.2">
      <c r="A82" s="21">
        <v>56</v>
      </c>
      <c r="B82" s="94"/>
      <c r="C82" s="103">
        <v>0</v>
      </c>
      <c r="D82" s="104">
        <v>0</v>
      </c>
      <c r="E82" s="104">
        <v>0</v>
      </c>
      <c r="F82" s="105">
        <v>-31.466217575989958</v>
      </c>
      <c r="G82" s="105">
        <v>-31.366924498607204</v>
      </c>
      <c r="H82" s="105">
        <f t="shared" si="1"/>
        <v>9.9293077382753836E-2</v>
      </c>
    </row>
    <row r="83" spans="1:8" ht="15" customHeight="1" x14ac:dyDescent="0.2">
      <c r="A83" s="21">
        <v>57</v>
      </c>
      <c r="B83" s="94"/>
      <c r="C83" s="103">
        <v>0</v>
      </c>
      <c r="D83" s="104">
        <v>0</v>
      </c>
      <c r="E83" s="104">
        <v>0</v>
      </c>
      <c r="F83" s="105">
        <v>-31.384782106486455</v>
      </c>
      <c r="G83" s="105">
        <v>-31.449117930533475</v>
      </c>
      <c r="H83" s="105">
        <f t="shared" si="1"/>
        <v>6.4335824047020651E-2</v>
      </c>
    </row>
    <row r="84" spans="1:8" ht="15" customHeight="1" x14ac:dyDescent="0.2">
      <c r="A84" s="21">
        <v>81</v>
      </c>
      <c r="B84" s="94"/>
      <c r="C84" s="103">
        <v>0</v>
      </c>
      <c r="D84" s="104">
        <v>0</v>
      </c>
      <c r="E84" s="104">
        <v>0</v>
      </c>
      <c r="F84" s="105">
        <v>-31.3884482913179</v>
      </c>
      <c r="G84" s="105">
        <v>-31.444989805228943</v>
      </c>
      <c r="H84" s="105">
        <f t="shared" si="1"/>
        <v>5.6541513911042784E-2</v>
      </c>
    </row>
    <row r="85" spans="1:8" ht="15" customHeight="1" x14ac:dyDescent="0.2">
      <c r="A85" s="21">
        <v>60</v>
      </c>
      <c r="B85" s="94"/>
      <c r="C85" s="103">
        <v>0</v>
      </c>
      <c r="D85" s="104">
        <v>0</v>
      </c>
      <c r="E85" s="104">
        <v>0</v>
      </c>
      <c r="F85" s="105">
        <v>-31.379026913112341</v>
      </c>
      <c r="G85" s="105">
        <v>-31.356905101626921</v>
      </c>
      <c r="H85" s="105">
        <f t="shared" si="1"/>
        <v>2.2121811485419585E-2</v>
      </c>
    </row>
    <row r="86" spans="1:8" ht="15" customHeight="1" x14ac:dyDescent="0.2">
      <c r="A86" s="21">
        <v>46</v>
      </c>
      <c r="B86" s="94"/>
      <c r="C86" s="103">
        <v>0</v>
      </c>
      <c r="D86" s="104">
        <v>0</v>
      </c>
      <c r="E86" s="104">
        <v>0</v>
      </c>
      <c r="F86" s="105">
        <v>-31.416950018509965</v>
      </c>
      <c r="G86" s="105">
        <v>-31.41695001850718</v>
      </c>
      <c r="H86" s="105">
        <f t="shared" si="1"/>
        <v>2.7853275241795927E-12</v>
      </c>
    </row>
    <row r="87" spans="1:8" ht="15" customHeight="1" x14ac:dyDescent="0.2">
      <c r="A87" s="21">
        <v>42</v>
      </c>
      <c r="B87" s="94"/>
      <c r="C87" s="103">
        <v>0</v>
      </c>
      <c r="D87" s="104">
        <v>0</v>
      </c>
      <c r="E87" s="104">
        <v>0</v>
      </c>
      <c r="F87" s="105">
        <v>-31.416950018509965</v>
      </c>
      <c r="G87" s="105">
        <v>-31.416950018509965</v>
      </c>
      <c r="H87" s="105">
        <f t="shared" si="1"/>
        <v>0</v>
      </c>
    </row>
    <row r="88" spans="1:8" ht="15" customHeight="1" x14ac:dyDescent="0.2">
      <c r="A88" s="21">
        <v>48</v>
      </c>
      <c r="B88" s="94"/>
      <c r="C88" s="103">
        <v>0</v>
      </c>
      <c r="D88" s="104">
        <v>0</v>
      </c>
      <c r="E88" s="104">
        <v>0</v>
      </c>
      <c r="F88" s="105">
        <v>-31.416950018509965</v>
      </c>
      <c r="G88" s="105">
        <v>-31.416950018509965</v>
      </c>
      <c r="H88" s="105">
        <f t="shared" si="1"/>
        <v>0</v>
      </c>
    </row>
    <row r="89" spans="1:8" ht="15" customHeight="1" x14ac:dyDescent="0.2">
      <c r="A89" s="21">
        <v>75</v>
      </c>
      <c r="B89" s="94"/>
      <c r="C89" s="103">
        <v>0</v>
      </c>
      <c r="D89" s="104">
        <v>0</v>
      </c>
      <c r="E89" s="104">
        <v>0</v>
      </c>
      <c r="F89" s="105">
        <v>-31.416950018509965</v>
      </c>
      <c r="G89" s="105">
        <v>-31.416950018509965</v>
      </c>
      <c r="H89" s="105">
        <f t="shared" si="1"/>
        <v>0</v>
      </c>
    </row>
    <row r="90" spans="1:8" ht="15" customHeight="1" x14ac:dyDescent="0.2">
      <c r="A90" s="21">
        <v>76</v>
      </c>
      <c r="B90" s="94"/>
      <c r="C90" s="103">
        <v>0</v>
      </c>
      <c r="D90" s="104">
        <v>0</v>
      </c>
      <c r="E90" s="104">
        <v>0</v>
      </c>
      <c r="F90" s="105">
        <v>-31.416950018509965</v>
      </c>
      <c r="G90" s="105">
        <v>-31.416950018509965</v>
      </c>
      <c r="H90" s="105">
        <f t="shared" si="1"/>
        <v>0</v>
      </c>
    </row>
    <row r="91" spans="1:8" ht="15" customHeight="1" x14ac:dyDescent="0.2">
      <c r="A91" s="21">
        <v>77</v>
      </c>
      <c r="B91" s="94"/>
      <c r="C91" s="103">
        <v>0</v>
      </c>
      <c r="D91" s="104">
        <v>0</v>
      </c>
      <c r="E91" s="104">
        <v>0</v>
      </c>
      <c r="F91" s="105">
        <v>-31.416950018509965</v>
      </c>
      <c r="G91" s="105">
        <v>-31.416950018509965</v>
      </c>
      <c r="H91" s="105">
        <f t="shared" si="1"/>
        <v>0</v>
      </c>
    </row>
    <row r="92" spans="1:8" x14ac:dyDescent="0.2">
      <c r="A92" s="21">
        <v>78</v>
      </c>
      <c r="B92" s="94"/>
      <c r="C92" s="103">
        <v>0</v>
      </c>
      <c r="D92" s="104">
        <v>0</v>
      </c>
      <c r="E92" s="104">
        <v>0</v>
      </c>
      <c r="F92" s="105">
        <v>-31.416950018509965</v>
      </c>
      <c r="G92" s="105">
        <v>-31.416950018509965</v>
      </c>
      <c r="H92" s="105">
        <f t="shared" si="1"/>
        <v>0</v>
      </c>
    </row>
    <row r="93" spans="1:8" x14ac:dyDescent="0.2">
      <c r="A93" s="21">
        <v>83</v>
      </c>
      <c r="B93" s="94"/>
      <c r="C93" s="103">
        <v>0</v>
      </c>
      <c r="D93" s="104">
        <v>0</v>
      </c>
      <c r="E93" s="104">
        <v>0</v>
      </c>
      <c r="F93" s="105">
        <v>-31.416950018509965</v>
      </c>
      <c r="G93" s="105">
        <v>-31.416950018509965</v>
      </c>
      <c r="H93" s="105">
        <f t="shared" si="1"/>
        <v>0</v>
      </c>
    </row>
    <row r="94" spans="1:8" x14ac:dyDescent="0.2">
      <c r="F94">
        <v>-31.416950018509965</v>
      </c>
      <c r="G94">
        <v>-31.416950018509965</v>
      </c>
    </row>
  </sheetData>
  <conditionalFormatting sqref="B6:H93">
    <cfRule type="expression" dxfId="0" priority="1">
      <formula>MOD(ROW(),2)=0</formula>
    </cfRule>
  </conditionalFormatting>
  <pageMargins left="0.7" right="0.7" top="0.75" bottom="0.75" header="0.3" footer="0.3"/>
  <pageSetup orientation="portrait" horizontalDpi="4294967292" verticalDpi="4294967292"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23D3-139E-4030-9BC1-1DC16B465B8C}">
  <sheetPr codeName="Sheet05"/>
  <dimension ref="A1:FP609"/>
  <sheetViews>
    <sheetView showGridLines="0" tabSelected="1" zoomScale="80" zoomScaleNormal="80" workbookViewId="0">
      <pane xSplit="4" ySplit="8" topLeftCell="E49" activePane="bottomRight" state="frozen"/>
      <selection pane="topRight" activeCell="E1" sqref="E1"/>
      <selection pane="bottomLeft" activeCell="A9" sqref="A9"/>
      <selection pane="bottomRight" activeCell="R59" sqref="R59"/>
    </sheetView>
  </sheetViews>
  <sheetFormatPr defaultColWidth="8.875" defaultRowHeight="14.25" x14ac:dyDescent="0.2"/>
  <cols>
    <col min="1" max="1" width="2.625" customWidth="1"/>
    <col min="2" max="2" width="41.625" customWidth="1"/>
    <col min="3" max="12" width="12.625" customWidth="1"/>
    <col min="13" max="13" width="15.625" customWidth="1"/>
    <col min="14" max="14" width="14.625" bestFit="1" customWidth="1"/>
    <col min="15" max="15" width="12.625" customWidth="1"/>
    <col min="16" max="16" width="2.625" customWidth="1"/>
    <col min="17" max="46" width="12.625" customWidth="1"/>
    <col min="47" max="47" width="2.625" customWidth="1"/>
    <col min="48" max="78" width="12.625" customWidth="1"/>
    <col min="79" max="79" width="2.625" customWidth="1"/>
    <col min="80" max="80" width="40.625" customWidth="1"/>
    <col min="81" max="81" width="22.125" bestFit="1" customWidth="1"/>
    <col min="82" max="86" width="12.625" customWidth="1"/>
    <col min="88" max="99" width="13.625" customWidth="1"/>
    <col min="101" max="101" width="2.625" customWidth="1"/>
    <col min="102" max="102" width="6.625" customWidth="1"/>
    <col min="103" max="103" width="10.625" customWidth="1"/>
    <col min="104" max="104" width="9" customWidth="1"/>
    <col min="105" max="105" width="9.625" customWidth="1"/>
    <col min="107" max="143" width="9.625" customWidth="1"/>
    <col min="145" max="162" width="10.625" customWidth="1"/>
  </cols>
  <sheetData>
    <row r="1" spans="1:172" s="4" customFormat="1" ht="30" customHeight="1" thickBot="1" x14ac:dyDescent="0.25">
      <c r="A1" s="3" t="s">
        <v>0</v>
      </c>
      <c r="CX1" s="400">
        <v>1</v>
      </c>
      <c r="CY1" s="400">
        <v>2</v>
      </c>
      <c r="CZ1" s="400">
        <v>3</v>
      </c>
      <c r="DA1" s="400">
        <v>4</v>
      </c>
      <c r="DB1" s="400">
        <v>5</v>
      </c>
      <c r="DC1" s="400">
        <v>6</v>
      </c>
      <c r="DD1" s="400">
        <v>7</v>
      </c>
      <c r="DE1" s="400">
        <v>8</v>
      </c>
      <c r="DF1" s="400">
        <v>9</v>
      </c>
      <c r="DG1" s="400">
        <v>10</v>
      </c>
      <c r="DH1" s="400">
        <v>11</v>
      </c>
      <c r="DI1" s="400">
        <v>12</v>
      </c>
      <c r="DJ1" s="400">
        <v>13</v>
      </c>
      <c r="DK1" s="400">
        <v>14</v>
      </c>
      <c r="DL1" s="400">
        <v>15</v>
      </c>
      <c r="DM1" s="400">
        <v>16</v>
      </c>
      <c r="DN1" s="400">
        <v>17</v>
      </c>
      <c r="DO1" s="400">
        <v>18</v>
      </c>
      <c r="DP1" s="400">
        <v>19</v>
      </c>
      <c r="DQ1" s="400">
        <v>20</v>
      </c>
      <c r="DR1" s="400">
        <v>21</v>
      </c>
      <c r="DS1" s="400">
        <v>22</v>
      </c>
      <c r="DT1" s="400">
        <v>23</v>
      </c>
      <c r="DU1" s="400">
        <v>24</v>
      </c>
      <c r="DV1" s="400">
        <v>25</v>
      </c>
      <c r="DW1" s="400">
        <v>26</v>
      </c>
      <c r="DX1" s="400">
        <v>27</v>
      </c>
      <c r="DY1" s="400">
        <v>28</v>
      </c>
      <c r="DZ1" s="400">
        <v>29</v>
      </c>
      <c r="EA1" s="400">
        <v>30</v>
      </c>
      <c r="EB1" s="400">
        <v>31</v>
      </c>
      <c r="EC1" s="400">
        <v>32</v>
      </c>
      <c r="ED1" s="400">
        <v>33</v>
      </c>
      <c r="EE1" s="400">
        <v>34</v>
      </c>
      <c r="EF1" s="400">
        <v>35</v>
      </c>
      <c r="EG1" s="400">
        <v>36</v>
      </c>
      <c r="EH1" s="400">
        <v>37</v>
      </c>
      <c r="EI1" s="400">
        <v>38</v>
      </c>
      <c r="EJ1" s="400">
        <v>39</v>
      </c>
      <c r="EK1" s="400">
        <v>40</v>
      </c>
      <c r="EL1" s="400">
        <v>41</v>
      </c>
      <c r="EM1" s="394"/>
    </row>
    <row r="2" spans="1:172" ht="15" customHeight="1" thickBot="1" x14ac:dyDescent="0.25">
      <c r="Y2" s="254" t="s">
        <v>302</v>
      </c>
      <c r="Z2" s="443">
        <f ca="1">$BE$3</f>
        <v>0.35380896063649064</v>
      </c>
      <c r="AA2" s="441">
        <f ca="1">(Z2-Z3)/Z2</f>
        <v>6.5506024844404889E-2</v>
      </c>
      <c r="AB2" s="443">
        <f ca="1">$BG$3</f>
        <v>0.13420923626319078</v>
      </c>
      <c r="AC2" s="441">
        <f ca="1">(AB2-AB3)/AB2</f>
        <v>6.7948139061428742E-2</v>
      </c>
      <c r="BG2" s="311"/>
      <c r="BK2" s="311"/>
    </row>
    <row r="3" spans="1:172" ht="15" customHeight="1" thickTop="1" thickBot="1" x14ac:dyDescent="0.25">
      <c r="B3" s="16" t="s">
        <v>131</v>
      </c>
      <c r="C3" s="295"/>
      <c r="E3" s="296" t="s">
        <v>192</v>
      </c>
      <c r="F3" s="297"/>
      <c r="G3" s="297"/>
      <c r="H3" s="297"/>
      <c r="I3" s="298"/>
      <c r="K3" s="2" t="s">
        <v>30</v>
      </c>
      <c r="L3" s="2"/>
      <c r="M3" s="2"/>
      <c r="N3" s="2"/>
      <c r="Q3" s="12" t="s">
        <v>3</v>
      </c>
      <c r="R3" s="12"/>
      <c r="S3" s="257">
        <f ca="1">SUMIF(S6:OFFSET(S6,horizon,0),"&lt;&gt;#N/A")</f>
        <v>12.92821380174983</v>
      </c>
      <c r="T3" s="257">
        <f ca="1">SUMIF(T6:OFFSET(T6,horizon,0),"&lt;&gt;#N/A")</f>
        <v>2.3612704456119089E-2</v>
      </c>
      <c r="U3" s="257">
        <f ca="1">SUMIF(U6:OFFSET(U6,horizon,0),"&lt;&gt;#N/A")</f>
        <v>8.7411523790203963E-2</v>
      </c>
      <c r="V3" s="257">
        <f ca="1">SUMIF(V6:OFFSET(V6,horizon,0),"&lt;&gt;#N/A")</f>
        <v>0.69975862726559768</v>
      </c>
      <c r="W3" s="257">
        <f ca="1">SUMIF(W6:OFFSET(W6,horizon,0),"&lt;&gt;#N/A")</f>
        <v>2.2134771572135743</v>
      </c>
      <c r="X3" s="257">
        <f ca="1">SUMIF(X6:OFFSET(X6,horizon,0),"&lt;&gt;#N/A")</f>
        <v>3.4620095735965113E-3</v>
      </c>
      <c r="Y3" s="257">
        <f ca="1">SUMIF(Y6:OFFSET(Y6,horizon,0),"&lt;&gt;#N/A")</f>
        <v>0.25346724601465198</v>
      </c>
      <c r="Z3" s="442">
        <f ca="1">SUMIF(Z6:OFFSET(Z6,horizon,0),"&lt;&gt;#N/A")</f>
        <v>0.33063234207086362</v>
      </c>
      <c r="AA3" s="440">
        <f ca="1">SUMIF(AA6:OFFSET(AA6,horizon,0),"&lt;&gt;#N/A")</f>
        <v>11.051307811177697</v>
      </c>
      <c r="AB3" s="442">
        <f ca="1">SUMIF(AB6:OFFSET(AB6,horizon,0),"&lt;&gt;#N/A")</f>
        <v>0.12508996841425135</v>
      </c>
      <c r="AC3" s="440">
        <f ca="1">SUMIF(AC6:OFFSET(AC6,horizon,0),"&lt;&gt;#N/A")</f>
        <v>0.49247344003545257</v>
      </c>
      <c r="AD3" s="257"/>
      <c r="AE3" s="257"/>
      <c r="AF3" s="258">
        <f ca="1">SUMIF(AF6:OFFSET(AF6,horizon,0),"&lt;&gt;#N/A")</f>
        <v>160.26704954116056</v>
      </c>
      <c r="AG3" s="258">
        <f ca="1">SUMIF(AG6:OFFSET(AG6,horizon,0),"&lt;&gt;#N/A")</f>
        <v>430.08855583589497</v>
      </c>
      <c r="AH3" s="258">
        <f ca="1">SUMIF(AH6:OFFSET(AH6,horizon,0),"&lt;&gt;#N/A")</f>
        <v>7026.8149173998972</v>
      </c>
      <c r="AI3" s="258">
        <f ca="1">SUMIF(AI6:OFFSET(AI6,horizon,0),"&lt;&gt;#N/A")</f>
        <v>7131.9279078184709</v>
      </c>
      <c r="AJ3" s="258">
        <f ca="1">SUMIF(AJ6:OFFSET(AJ6,horizon,0),"&lt;&gt;#N/A")</f>
        <v>19817.956591914128</v>
      </c>
      <c r="AK3" s="258">
        <f ca="1">SUMIF(AK6:OFFSET(AK6,horizon,0),"&lt;&gt;#N/A")</f>
        <v>35118.941623434344</v>
      </c>
      <c r="AL3" s="257">
        <f ca="1">SUMIF(AL6:OFFSET(AL6,horizon,0),"&lt;&gt;#N/A")</f>
        <v>8.5286230843124997</v>
      </c>
      <c r="AM3" s="257">
        <f ca="1">SUMIF(AM6:OFFSET(AM6,horizon,0),"&lt;&gt;#N/A")</f>
        <v>8.9358962226292638E-2</v>
      </c>
      <c r="AN3" s="257">
        <f ca="1">SUMIF(AN6:OFFSET(AN6,horizon,0),"&lt;&gt;#N/A")</f>
        <v>1.7013585702720293</v>
      </c>
      <c r="AO3" s="257">
        <f ca="1">SUMIF(AO6:OFFSET(AO6,horizon,0),"&lt;&gt;#N/A")</f>
        <v>0.15064832008994472</v>
      </c>
      <c r="AP3" s="257">
        <f ca="1">SUMIF(AP6:OFFSET(AP6,horizon,0),"&lt;&gt;#N/A")</f>
        <v>4.2795084130035813E-2</v>
      </c>
      <c r="AQ3" s="257">
        <f ca="1">SUMIF(AQ6:OFFSET(AQ6,horizon,0),"&lt;&gt;#N/A")</f>
        <v>5.6913828272984963</v>
      </c>
      <c r="AR3" s="258">
        <f ca="1">SUMIF(AR6:OFFSET(AR6,horizon,0),"&lt;&gt;#N/A")+$L$4</f>
        <v>70343.496645943873</v>
      </c>
      <c r="AS3" s="257">
        <f ca="1">SUMIF(AS6:OFFSET(AS6,horizon,0),"&lt;&gt;#N/A")</f>
        <v>16.204166848329301</v>
      </c>
      <c r="AT3" s="257">
        <f ca="1">SUMIF(AT6:OFFSET(AT6,horizon,0),"&lt;&gt;#N/A")</f>
        <v>18.254409215064431</v>
      </c>
      <c r="AV3" s="13" t="s">
        <v>9</v>
      </c>
      <c r="AW3" s="13"/>
      <c r="AX3" s="261">
        <f ca="1">SUMIF(AX6:OFFSET(AX6,horizon,0),"&lt;&gt;#N/A")</f>
        <v>14.960371919147367</v>
      </c>
      <c r="AY3" s="261">
        <f ca="1">SUMIF(AY6:OFFSET(AY6,horizon,0),"&lt;&gt;#N/A")</f>
        <v>1.4960372725520699E-3</v>
      </c>
      <c r="AZ3" s="261">
        <f ca="1">SUMIF(AZ6:OFFSET(AZ6,horizon,0),"&lt;&gt;#N/A")</f>
        <v>1.4960372725520699E-3</v>
      </c>
      <c r="BA3" s="261">
        <f ca="1">SUMIF(BA6:OFFSET(BA6,horizon,0),"&lt;&gt;#N/A")</f>
        <v>0.11439382772174927</v>
      </c>
      <c r="BB3" s="261">
        <f ca="1">SUMIF(BB6:OFFSET(BB6,horizon,0),"&lt;&gt;#N/A")</f>
        <v>0.18687937937251578</v>
      </c>
      <c r="BC3" s="261">
        <f ca="1">SUMIF(BC6:OFFSET(BC6,horizon,0),"&lt;&gt;#N/A")</f>
        <v>7.2871702942733398E-4</v>
      </c>
      <c r="BD3" s="261">
        <f ca="1">SUMIF(BD6:OFFSET(BD6,horizon,0),"&lt;&gt;#N/A")</f>
        <v>0.18135868038688485</v>
      </c>
      <c r="BE3" s="261">
        <f ca="1">SUMIF(BE6:OFFSET(BE6,horizon,0),"&lt;&gt;#N/A")</f>
        <v>0.35380896063649064</v>
      </c>
      <c r="BF3" s="261">
        <f ca="1">SUMIF(BF6:OFFSET(BF6,horizon,0),"&lt;&gt;#N/A")</f>
        <v>11.389520014518851</v>
      </c>
      <c r="BG3" s="261">
        <f ca="1">SUMIF(BG6:OFFSET(BG6,horizon,0),"&lt;&gt;#N/A")</f>
        <v>0.13420923626319078</v>
      </c>
      <c r="BH3" s="261">
        <f ca="1">SUMIF(BH6:OFFSET(BH6,horizon,0),"&lt;&gt;#N/A")</f>
        <v>0.52594144915508878</v>
      </c>
      <c r="BI3" s="261"/>
      <c r="BJ3" s="261"/>
      <c r="BK3" s="262">
        <f ca="1">SUMIF(BK6:OFFSET(BK6,horizon,0),"&lt;&gt;#N/A")</f>
        <v>7.4218650441040301</v>
      </c>
      <c r="BL3" s="262">
        <f ca="1">SUMIF(BL6:OFFSET(BL6,horizon,0),"&lt;&gt;#N/A")</f>
        <v>5.8850224996567828</v>
      </c>
      <c r="BM3" s="262">
        <f ca="1">SUMIF(BM6:OFFSET(BM6,horizon,0),"&lt;&gt;#N/A")</f>
        <v>7504.049901216722</v>
      </c>
      <c r="BN3" s="262">
        <f ca="1">SUMIF(BN6:OFFSET(BN6,horizon,0),"&lt;&gt;#N/A")</f>
        <v>7646.421537432655</v>
      </c>
      <c r="BO3" s="262">
        <f ca="1">SUMIF(BO6:OFFSET(BO6,horizon,0),"&lt;&gt;#N/A")</f>
        <v>20422.658024365712</v>
      </c>
      <c r="BP3" s="262">
        <f ca="1">SUMIF(BP6:OFFSET(BP6,horizon,0),"&lt;&gt;#N/A")</f>
        <v>36511.95934622387</v>
      </c>
      <c r="BQ3" s="261">
        <f ca="1">SUMIF(BQ6:OFFSET(BQ6,horizon,0),"&lt;&gt;#N/A")</f>
        <v>9.7443011853962496</v>
      </c>
      <c r="BR3" s="261">
        <f ca="1">SUMIF(BR6:OFFSET(BR6,horizon,0),"&lt;&gt;#N/A")</f>
        <v>1.8370361458428031E-3</v>
      </c>
      <c r="BS3" s="261">
        <f ca="1">SUMIF(BS6:OFFSET(BS6,horizon,0),"&lt;&gt;#N/A")</f>
        <v>0.27675377766782772</v>
      </c>
      <c r="BT3" s="261">
        <f ca="1">SUMIF(BT6:OFFSET(BT6,horizon,0),"&lt;&gt;#N/A")</f>
        <v>0.16089303194877536</v>
      </c>
      <c r="BU3" s="261">
        <f ca="1">SUMIF(BU6:OFFSET(BU6,horizon,0),"&lt;&gt;#N/A")</f>
        <v>4.5885611499547424E-2</v>
      </c>
      <c r="BV3" s="261">
        <f ca="1">SUMIF(BV6:OFFSET(BV6,horizon,0),"&lt;&gt;#N/A")</f>
        <v>5.8438632359702254</v>
      </c>
      <c r="BW3" s="262">
        <f ca="1">SUMIF(BW6:OFFSET(BW6,horizon,0),"&lt;&gt;#N/A")</f>
        <v>72098.395696782725</v>
      </c>
      <c r="BX3" s="261">
        <f ca="1">SUMIF(BX6:OFFSET(BX6,horizon,0),"&lt;&gt;#N/A")</f>
        <v>16.073533878628474</v>
      </c>
      <c r="BY3" s="261">
        <f ca="1">SUMIF(BY6:OFFSET(BY6,horizon,0),"&lt;&gt;#N/A")</f>
        <v>18.113430127922811</v>
      </c>
      <c r="CA3" s="23"/>
      <c r="CB3" s="241" t="s">
        <v>136</v>
      </c>
      <c r="CC3" s="236"/>
      <c r="CD3" s="236"/>
      <c r="CE3" s="236"/>
      <c r="CF3" s="236"/>
      <c r="CG3" s="236"/>
      <c r="CH3" s="236"/>
      <c r="CX3" s="2" t="s">
        <v>195</v>
      </c>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row>
    <row r="4" spans="1:172" ht="15" customHeight="1" thickTop="1" x14ac:dyDescent="0.25">
      <c r="B4" s="17" t="s">
        <v>3</v>
      </c>
      <c r="C4" s="17"/>
      <c r="E4" s="306"/>
      <c r="F4" s="305" t="s">
        <v>6</v>
      </c>
      <c r="G4" s="305" t="s">
        <v>7</v>
      </c>
      <c r="H4" s="305" t="s">
        <v>8</v>
      </c>
      <c r="I4" s="307" t="s">
        <v>130</v>
      </c>
      <c r="K4" s="230" t="s">
        <v>124</v>
      </c>
      <c r="L4" s="231">
        <f>SUM(VOI_Parameters!C20:C23)</f>
        <v>657.5</v>
      </c>
      <c r="M4" s="11" t="s">
        <v>10</v>
      </c>
      <c r="N4" s="226">
        <v>0.2</v>
      </c>
      <c r="Q4" s="319" t="s">
        <v>96</v>
      </c>
      <c r="R4" s="319" t="s">
        <v>139</v>
      </c>
      <c r="S4" s="319" t="s">
        <v>210</v>
      </c>
      <c r="T4" s="319" t="s">
        <v>211</v>
      </c>
      <c r="U4" s="319" t="s">
        <v>212</v>
      </c>
      <c r="V4" s="319" t="s">
        <v>232</v>
      </c>
      <c r="W4" s="319" t="s">
        <v>233</v>
      </c>
      <c r="X4" s="319" t="s">
        <v>235</v>
      </c>
      <c r="Y4" s="319" t="s">
        <v>234</v>
      </c>
      <c r="Z4" s="319" t="s">
        <v>213</v>
      </c>
      <c r="AA4" s="319" t="s">
        <v>216</v>
      </c>
      <c r="AB4" s="319" t="s">
        <v>214</v>
      </c>
      <c r="AC4" s="319" t="s">
        <v>215</v>
      </c>
      <c r="AD4" s="319" t="s">
        <v>4</v>
      </c>
      <c r="AE4" s="319" t="s">
        <v>5</v>
      </c>
      <c r="AF4" s="319" t="s">
        <v>223</v>
      </c>
      <c r="AG4" s="319" t="s">
        <v>224</v>
      </c>
      <c r="AH4" s="319" t="s">
        <v>226</v>
      </c>
      <c r="AI4" s="319" t="s">
        <v>227</v>
      </c>
      <c r="AJ4" s="319" t="s">
        <v>225</v>
      </c>
      <c r="AK4" s="329" t="s">
        <v>352</v>
      </c>
      <c r="AL4" s="329" t="s">
        <v>282</v>
      </c>
      <c r="AM4" s="319" t="s">
        <v>220</v>
      </c>
      <c r="AN4" s="329" t="s">
        <v>283</v>
      </c>
      <c r="AO4" s="319" t="s">
        <v>218</v>
      </c>
      <c r="AP4" s="319" t="s">
        <v>219</v>
      </c>
      <c r="AQ4" s="319" t="s">
        <v>222</v>
      </c>
      <c r="AR4" s="333" t="s">
        <v>217</v>
      </c>
      <c r="AS4" s="333" t="s">
        <v>221</v>
      </c>
      <c r="AT4" s="333" t="s">
        <v>228</v>
      </c>
      <c r="AV4" s="319" t="s">
        <v>96</v>
      </c>
      <c r="AW4" s="319" t="s">
        <v>139</v>
      </c>
      <c r="AX4" s="319" t="s">
        <v>210</v>
      </c>
      <c r="AY4" s="319" t="s">
        <v>211</v>
      </c>
      <c r="AZ4" s="319" t="s">
        <v>212</v>
      </c>
      <c r="BA4" s="319" t="s">
        <v>232</v>
      </c>
      <c r="BB4" s="319" t="s">
        <v>233</v>
      </c>
      <c r="BC4" s="319" t="s">
        <v>235</v>
      </c>
      <c r="BD4" s="319" t="s">
        <v>234</v>
      </c>
      <c r="BE4" s="319" t="s">
        <v>213</v>
      </c>
      <c r="BF4" s="319" t="s">
        <v>216</v>
      </c>
      <c r="BG4" s="319" t="s">
        <v>214</v>
      </c>
      <c r="BH4" s="319" t="s">
        <v>215</v>
      </c>
      <c r="BI4" s="319" t="s">
        <v>4</v>
      </c>
      <c r="BJ4" s="319" t="s">
        <v>5</v>
      </c>
      <c r="BK4" s="319" t="s">
        <v>223</v>
      </c>
      <c r="BL4" s="319" t="s">
        <v>224</v>
      </c>
      <c r="BM4" s="319" t="s">
        <v>226</v>
      </c>
      <c r="BN4" s="319" t="s">
        <v>227</v>
      </c>
      <c r="BO4" s="319" t="s">
        <v>225</v>
      </c>
      <c r="BP4" s="329" t="s">
        <v>352</v>
      </c>
      <c r="BQ4" s="329" t="s">
        <v>282</v>
      </c>
      <c r="BR4" s="319" t="s">
        <v>220</v>
      </c>
      <c r="BS4" s="329" t="s">
        <v>283</v>
      </c>
      <c r="BT4" s="319" t="s">
        <v>218</v>
      </c>
      <c r="BU4" s="319" t="s">
        <v>219</v>
      </c>
      <c r="BV4" s="319" t="s">
        <v>222</v>
      </c>
      <c r="BW4" s="333" t="s">
        <v>217</v>
      </c>
      <c r="BX4" s="333" t="s">
        <v>221</v>
      </c>
      <c r="BY4" s="333" t="s">
        <v>228</v>
      </c>
      <c r="CA4" s="23"/>
      <c r="CB4" s="501" t="s">
        <v>137</v>
      </c>
      <c r="CC4" s="501"/>
      <c r="CD4" s="501" t="s">
        <v>138</v>
      </c>
      <c r="CE4" s="501"/>
      <c r="CF4" s="501"/>
      <c r="CG4" s="501"/>
      <c r="CH4" s="501"/>
      <c r="DK4" t="b">
        <v>1</v>
      </c>
      <c r="DN4" t="b">
        <v>1</v>
      </c>
      <c r="DW4" t="b">
        <v>1</v>
      </c>
      <c r="DZ4" t="b">
        <v>1</v>
      </c>
      <c r="FG4" s="234"/>
    </row>
    <row r="5" spans="1:172" ht="15" customHeight="1" x14ac:dyDescent="0.2">
      <c r="B5" s="18" t="s">
        <v>9</v>
      </c>
      <c r="C5" s="18"/>
      <c r="E5" s="299" t="s">
        <v>26</v>
      </c>
      <c r="F5" s="147">
        <f ca="1">AR3</f>
        <v>70343.496645943873</v>
      </c>
      <c r="G5" s="312">
        <f t="shared" ref="G5:H5" ca="1" si="0">AS3</f>
        <v>16.204166848329301</v>
      </c>
      <c r="H5" s="312">
        <f t="shared" ca="1" si="0"/>
        <v>18.254409215064431</v>
      </c>
      <c r="I5" s="300"/>
      <c r="K5" s="22" t="s">
        <v>360</v>
      </c>
      <c r="L5" s="449">
        <f>age</f>
        <v>45</v>
      </c>
      <c r="M5" s="256"/>
      <c r="N5" s="22"/>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BA5" s="10"/>
      <c r="BB5" s="10"/>
      <c r="BC5" s="10"/>
      <c r="BD5" s="10"/>
      <c r="CA5" s="23"/>
      <c r="CB5" s="237"/>
      <c r="CC5" s="237"/>
      <c r="CD5" s="238"/>
      <c r="CE5" s="239"/>
      <c r="CF5" s="239"/>
      <c r="CG5" s="239"/>
      <c r="CH5" s="239"/>
      <c r="CX5" s="369"/>
      <c r="CY5" s="502" t="s">
        <v>145</v>
      </c>
      <c r="CZ5" s="503"/>
      <c r="DA5" s="372" t="s">
        <v>275</v>
      </c>
      <c r="DB5" s="371"/>
      <c r="DC5" s="370" t="s">
        <v>206</v>
      </c>
      <c r="DD5" s="371"/>
      <c r="DE5" s="371"/>
      <c r="DF5" s="371"/>
      <c r="DG5" s="371"/>
      <c r="DH5" s="371"/>
      <c r="DI5" s="506" t="s">
        <v>245</v>
      </c>
      <c r="DJ5" s="506"/>
      <c r="DK5" s="506"/>
      <c r="DL5" s="506"/>
      <c r="DM5" s="506"/>
      <c r="DN5" s="506"/>
      <c r="DO5" s="370" t="s">
        <v>286</v>
      </c>
      <c r="DP5" s="371"/>
      <c r="DQ5" s="371"/>
      <c r="DR5" s="371"/>
      <c r="DS5" s="371"/>
      <c r="DT5" s="371"/>
      <c r="DU5" s="506" t="s">
        <v>245</v>
      </c>
      <c r="DV5" s="506"/>
      <c r="DW5" s="506"/>
      <c r="DX5" s="506"/>
      <c r="DY5" s="506"/>
      <c r="DZ5" s="506"/>
      <c r="EA5" s="370" t="s">
        <v>288</v>
      </c>
      <c r="EB5" s="371"/>
      <c r="EC5" s="371"/>
      <c r="ED5" s="371"/>
      <c r="EE5" s="371"/>
      <c r="EF5" s="371"/>
      <c r="EG5" s="371"/>
      <c r="EH5" s="371"/>
      <c r="EI5" s="371"/>
      <c r="EJ5" s="371"/>
      <c r="EK5" s="371"/>
      <c r="EL5" s="373"/>
      <c r="EO5" s="180" t="s">
        <v>206</v>
      </c>
      <c r="EP5" s="181"/>
      <c r="EQ5" s="181"/>
      <c r="ER5" s="181"/>
      <c r="ES5" s="181"/>
      <c r="ET5" s="181"/>
      <c r="EU5" s="181"/>
      <c r="EV5" s="181"/>
      <c r="EW5" s="182"/>
      <c r="EY5" s="180" t="s">
        <v>246</v>
      </c>
      <c r="EZ5" s="181"/>
      <c r="FA5" s="181"/>
      <c r="FB5" s="181"/>
      <c r="FC5" s="181"/>
      <c r="FD5" s="181"/>
      <c r="FE5" s="181"/>
      <c r="FF5" s="182"/>
      <c r="FH5" s="180" t="s">
        <v>236</v>
      </c>
      <c r="FI5" s="357"/>
      <c r="FJ5" s="357"/>
      <c r="FK5" s="357"/>
      <c r="FL5" s="357"/>
      <c r="FM5" s="357"/>
      <c r="FN5" s="357"/>
      <c r="FO5" s="357"/>
      <c r="FP5" s="358" t="s">
        <v>161</v>
      </c>
    </row>
    <row r="6" spans="1:172" ht="15" customHeight="1" x14ac:dyDescent="0.2">
      <c r="B6" s="240" t="s">
        <v>135</v>
      </c>
      <c r="C6" s="240"/>
      <c r="E6" s="299" t="s">
        <v>27</v>
      </c>
      <c r="F6" s="147">
        <f ca="1">BW3</f>
        <v>72098.395696782725</v>
      </c>
      <c r="G6" s="312">
        <f t="shared" ref="G6:H6" ca="1" si="1">BX3</f>
        <v>16.073533878628474</v>
      </c>
      <c r="H6" s="312">
        <f t="shared" ca="1" si="1"/>
        <v>18.113430127922811</v>
      </c>
      <c r="I6" s="301">
        <f ca="1">F7/G7</f>
        <v>-13433.814257288128</v>
      </c>
      <c r="K6" s="22" t="s">
        <v>307</v>
      </c>
      <c r="L6" s="449">
        <f>horizon</f>
        <v>55</v>
      </c>
      <c r="M6" s="256"/>
      <c r="N6" s="22"/>
      <c r="Q6" s="10">
        <v>0</v>
      </c>
      <c r="R6" s="10">
        <f t="shared" ref="R6:R37" si="2">age+Q6</f>
        <v>45</v>
      </c>
      <c r="S6" s="235">
        <f>boc_unaff*(1-boc_known)+boc_unaff*boc_known*(1-SUM(VLOOKUP(R6,boc_uptake,$DW$1,FALSE),VLOOKUP(R6,boc_uptake,$DZ$1,FALSE),AVERAGE(VLOOKUP(R6,boc_uptake,$DW$1,FALSE),VLOOKUP(R6,boc_uptake,$DZ$1,FALSE))))</f>
        <v>0.7078074189725384</v>
      </c>
      <c r="T6" s="235">
        <v>0</v>
      </c>
      <c r="U6" s="235">
        <v>0</v>
      </c>
      <c r="V6" s="395">
        <f>boc_unaff*boc_known*VLOOKUP(R6,boc_uptake,$DW$1,FALSE)</f>
        <v>3.0783329664332629E-3</v>
      </c>
      <c r="W6" s="395">
        <f>boc_unaff*boc_known*VLOOKUP(R6,boc_uptake,$DZ$1,FALSE)</f>
        <v>5.8838930650123127E-3</v>
      </c>
      <c r="X6" s="235">
        <v>0</v>
      </c>
      <c r="Y6" s="395">
        <f>boc_unaff*boc_known*AVERAGE(VLOOKUP(R6,boc_uptake,$DW$1,FALSE),VLOOKUP(R6,boc_uptake,$DZ$1,FALSE))</f>
        <v>4.4811130157227878E-3</v>
      </c>
      <c r="Z6" s="235">
        <v>0</v>
      </c>
      <c r="AA6" s="235">
        <f>VLOOKUP(R6,boc_inc,$DK$1,FALSE)*boc_aff_bc</f>
        <v>0.275151558292062</v>
      </c>
      <c r="AB6" s="235">
        <v>0</v>
      </c>
      <c r="AC6" s="235">
        <f>VLOOKUP(R6,boc_inc,$DN$1,FALSE)*(1-boc_aff_bc)</f>
        <v>3.5976836882311474E-3</v>
      </c>
      <c r="AD6" s="235">
        <v>0</v>
      </c>
      <c r="AE6" s="235">
        <f>SUM(S6:AD6)</f>
        <v>0.99999999999999989</v>
      </c>
      <c r="AF6" s="101">
        <f t="shared" ref="AF6:AF37" si="3">(T6*boc_cost_mast)/((1+discount)^Q6)</f>
        <v>0</v>
      </c>
      <c r="AG6" s="101">
        <f t="shared" ref="AG6:AG37" si="4">(U6*boc_cost_ooph)/((1+discount)^Q6)</f>
        <v>0</v>
      </c>
      <c r="AH6" s="101">
        <f t="shared" ref="AH6:AH37" si="5">(Z6*IF(R6&lt;65,boc_cost_bc_initial_64,boc_cost_bc_initial_65))/((1+discount)^Q6)</f>
        <v>0</v>
      </c>
      <c r="AI6" s="101">
        <f t="shared" ref="AI6:AI37" si="6">(AB6*IF(R6&lt;65,boc_cost_oc_initial_64,boc_cost_oc_initial_65))/((1+discount)^Q6)</f>
        <v>0</v>
      </c>
      <c r="AJ6" s="101">
        <f t="shared" ref="AJ6:AJ37" si="7">(AA6*IF(R6&lt;65,boc_cost_bc_cont_64,boc_cost_bc_cont_65)+AC6*IF(R6&lt;65,boc_cost_oc_cont_64,boc_cost_oc_cont_65))/((1+discount)^Q6)</f>
        <v>733.23204423338018</v>
      </c>
      <c r="AK6" s="101">
        <v>0</v>
      </c>
      <c r="AL6" s="235">
        <f>(S6*(util_well-boc_disutil_know))/((1+discount)^Q6)</f>
        <v>0.63702667707528449</v>
      </c>
      <c r="AM6" s="235">
        <f t="shared" ref="AM6:AM37" si="8">(T6*(util_well-boc_disutil_mast)+U6*(util_well-boc_disutil_ooph+W6*(util_well-VLOOKUP(R6,boc_uptake,$DQ$1,FALSE)*boc_disutil_mast-VLOOKUP(R6,boc_uptake,$DT$1,FALSE)*boc_disutil_ooph)))/((1+discount)^Q6)</f>
        <v>0</v>
      </c>
      <c r="AN6" s="235">
        <f t="shared" ref="AN6:AN37" si="9">(SUM(V6,W6,Y6)*util_well)/((1+discount)^Q6)</f>
        <v>1.2771172094809945E-2</v>
      </c>
      <c r="AO6" s="235">
        <f t="shared" ref="AO6:AO37" si="10">(Z6*boc_util_bc)/((1+discount)^Q6)</f>
        <v>0</v>
      </c>
      <c r="AP6" s="235">
        <f t="shared" ref="AP6:AP37" si="11">(AB6*boc_util_oc)/((1+discount)^Q6)</f>
        <v>0</v>
      </c>
      <c r="AQ6" s="235">
        <f t="shared" ref="AQ6:AQ37" si="12">(AA6*boc_util_pc_bc+AC6*boc_util_pc_oc)/((1+discount)^Q6)</f>
        <v>0.22546309447209667</v>
      </c>
      <c r="AR6" s="101">
        <f>SUM(AF6:AK6)</f>
        <v>733.23204423338018</v>
      </c>
      <c r="AS6" s="235">
        <f>SUM(AL6:AQ6)</f>
        <v>0.87526094364219109</v>
      </c>
      <c r="AT6" s="235">
        <f t="shared" ref="AT6:AT37" si="13">SUM(S6:AC6)/((1+discount)^Q6)</f>
        <v>0.99999999999999989</v>
      </c>
      <c r="AV6" s="10">
        <v>0</v>
      </c>
      <c r="AW6" s="10">
        <f>age</f>
        <v>45</v>
      </c>
      <c r="AX6" s="235">
        <f>boc_unaff*(1-boc_known)+boc_unaff*boc_known*(1-SUM(VLOOKUP(AW6,boc_uptake,$DW$1,FALSE),VLOOKUP(AW6,boc_uptake,$DZ$1,FALSE),AVERAGE(VLOOKUP(AW6,boc_uptake,$DW$1,FALSE),VLOOKUP(AW6,boc_uptake,$DZ$1,FALSE))))</f>
        <v>0.7078074189725384</v>
      </c>
      <c r="AY6" s="235">
        <v>0</v>
      </c>
      <c r="AZ6" s="235">
        <v>0</v>
      </c>
      <c r="BA6" s="235">
        <f>boc_unaff*boc_known*VLOOKUP(AW6,boc_uptake,$DW$1,FALSE)</f>
        <v>3.0783329664332629E-3</v>
      </c>
      <c r="BB6" s="235">
        <f>boc_unaff*boc_known*VLOOKUP(AW6,boc_uptake,$DZ$1,FALSE)</f>
        <v>5.8838930650123127E-3</v>
      </c>
      <c r="BC6" s="235">
        <v>0</v>
      </c>
      <c r="BD6" s="235">
        <f>boc_unaff*boc_known*AVERAGE(VLOOKUP(AW6,boc_uptake,$DW$1,FALSE),VLOOKUP(AW6,boc_uptake,$DZ$1,FALSE))</f>
        <v>4.4811130157227878E-3</v>
      </c>
      <c r="BE6" s="235">
        <v>0</v>
      </c>
      <c r="BF6" s="235">
        <f>VLOOKUP(AW6,boc_inc,$DK$1,FALSE)*boc_aff_bc</f>
        <v>0.275151558292062</v>
      </c>
      <c r="BG6" s="235">
        <v>0</v>
      </c>
      <c r="BH6" s="235">
        <f>VLOOKUP(AW6,boc_inc,$DN$1,FALSE)*(1-boc_aff_bc)</f>
        <v>3.5976836882311474E-3</v>
      </c>
      <c r="BI6" s="235">
        <v>0</v>
      </c>
      <c r="BJ6" s="235">
        <f>SUM(AX6:BI6)</f>
        <v>0.99999999999999989</v>
      </c>
      <c r="BK6" s="101">
        <f t="shared" ref="BK6:BK37" si="14">(AY6*boc_cost_mast)/((1+discount)^AV6)</f>
        <v>0</v>
      </c>
      <c r="BL6" s="101">
        <f t="shared" ref="BL6:BL37" si="15">(AZ6*boc_cost_ooph)/((1+discount)^AV6)</f>
        <v>0</v>
      </c>
      <c r="BM6" s="101">
        <f t="shared" ref="BM6:BM37" si="16">(BE6*IF(AW6&lt;65,boc_cost_bc_initial_64,boc_cost_bc_initial_65))/((1+discount)^AV6)</f>
        <v>0</v>
      </c>
      <c r="BN6" s="101">
        <f t="shared" ref="BN6:BN37" si="17">(BG6*IF(AW6&lt;65,boc_cost_oc_initial_64,boc_cost_oc_initial_65))/((1+discount)^AV6)</f>
        <v>0</v>
      </c>
      <c r="BO6" s="101">
        <f t="shared" ref="BO6:BO37" si="18">(BF6*IF(AW6&lt;65,boc_cost_bc_cont_64,boc_cost_bc_cont_65)+BH6*IF(AW6&lt;65,boc_cost_oc_cont_64,boc_cost_oc_cont_65))/((1+discount)^AV6)</f>
        <v>733.23204423338018</v>
      </c>
      <c r="BP6" s="101">
        <v>0</v>
      </c>
      <c r="BQ6" s="235">
        <f t="shared" ref="BQ6:BQ37" si="19">(AX6*util_well)/((1+discount)^AV6)</f>
        <v>0.67241704802391145</v>
      </c>
      <c r="BR6" s="235">
        <f t="shared" ref="BR6:BR37" si="20">(AY6*(util_well-boc_disutil_mast)+AZ6*(util_well-boc_disutil_ooph+BB6*(util_well-VLOOKUP(AW6,boc_uptake,$DQ$1,FALSE)*boc_disutil_mast-VLOOKUP(AW6,boc_uptake,$DT$1,FALSE)*boc_disutil_ooph)))/((1+discount)^AV6)</f>
        <v>0</v>
      </c>
      <c r="BS6" s="235">
        <f t="shared" ref="BS6:BS37" si="21">(SUM(BA6,BB6,BD6)*util_well)/((1+discount)^AV6)</f>
        <v>1.2771172094809945E-2</v>
      </c>
      <c r="BT6" s="235">
        <f t="shared" ref="BT6:BT37" si="22">(BE6*boc_util_bc)/((1+discount)^AV6)</f>
        <v>0</v>
      </c>
      <c r="BU6" s="235">
        <f t="shared" ref="BU6:BU37" si="23">(BG6*boc_util_oc)/((1+discount)^AV6)</f>
        <v>0</v>
      </c>
      <c r="BV6" s="235">
        <f t="shared" ref="BV6:BV37" si="24">(BF6*boc_util_pc_bc+BH6*boc_util_pc_oc)/((1+discount)^AV6)</f>
        <v>0.22546309447209667</v>
      </c>
      <c r="BW6" s="101">
        <f>SUM(BK6:BP6)</f>
        <v>733.23204423338018</v>
      </c>
      <c r="BX6" s="235">
        <f>SUM(BQ6:BV6)</f>
        <v>0.91065131459081805</v>
      </c>
      <c r="BY6" s="235">
        <f t="shared" ref="BY6:BY37" si="25">SUM(AX6:BH6)/((1+discount)^AV6)</f>
        <v>0.99999999999999989</v>
      </c>
      <c r="CA6" s="23"/>
      <c r="CB6" s="237"/>
      <c r="CC6" s="237"/>
      <c r="CD6" s="238"/>
      <c r="CE6" s="239"/>
      <c r="CF6" s="239"/>
      <c r="CG6" s="239"/>
      <c r="CH6" s="239"/>
      <c r="CK6" s="311">
        <f>AA6</f>
        <v>0.275151558292062</v>
      </c>
      <c r="CL6" s="311">
        <f>AC6</f>
        <v>3.5976836882311474E-3</v>
      </c>
      <c r="CM6" s="311">
        <f>BF6</f>
        <v>0.275151558292062</v>
      </c>
      <c r="CN6" s="311">
        <f>BH6</f>
        <v>3.5976836882311474E-3</v>
      </c>
      <c r="CO6" s="311">
        <f ca="1">Z3</f>
        <v>0.33063234207086362</v>
      </c>
      <c r="CP6" s="311">
        <f ca="1">BE3</f>
        <v>0.35380896063649064</v>
      </c>
      <c r="CQ6" s="311">
        <f ca="1">AB3</f>
        <v>0.12508996841425135</v>
      </c>
      <c r="CR6" s="311">
        <f ca="1">BG3</f>
        <v>0.13420923626319078</v>
      </c>
      <c r="CS6" s="311">
        <f ca="1">AS3</f>
        <v>16.204166848329301</v>
      </c>
      <c r="CT6" s="311">
        <f ca="1">BX3</f>
        <v>16.073533878628474</v>
      </c>
      <c r="CU6" s="311">
        <f ca="1">G7</f>
        <v>0.13063296970082661</v>
      </c>
      <c r="CX6" s="374"/>
      <c r="CY6" s="504"/>
      <c r="CZ6" s="505"/>
      <c r="DA6" s="343" t="s">
        <v>274</v>
      </c>
      <c r="DB6" s="343"/>
      <c r="DC6" s="342" t="s">
        <v>193</v>
      </c>
      <c r="DD6" s="341" t="s">
        <v>193</v>
      </c>
      <c r="DE6" s="343" t="b">
        <v>1</v>
      </c>
      <c r="DF6" s="341" t="s">
        <v>194</v>
      </c>
      <c r="DG6" s="341" t="s">
        <v>194</v>
      </c>
      <c r="DH6" s="343" t="b">
        <v>1</v>
      </c>
      <c r="DI6" s="344" t="s">
        <v>193</v>
      </c>
      <c r="DJ6" s="344" t="s">
        <v>193</v>
      </c>
      <c r="DK6" s="344" t="s">
        <v>193</v>
      </c>
      <c r="DL6" s="344" t="s">
        <v>194</v>
      </c>
      <c r="DM6" s="344" t="s">
        <v>194</v>
      </c>
      <c r="DN6" s="344" t="s">
        <v>194</v>
      </c>
      <c r="DO6" s="342" t="s">
        <v>133</v>
      </c>
      <c r="DP6" s="344" t="s">
        <v>133</v>
      </c>
      <c r="DQ6" s="344" t="b">
        <v>1</v>
      </c>
      <c r="DR6" s="341" t="s">
        <v>134</v>
      </c>
      <c r="DS6" s="344" t="s">
        <v>134</v>
      </c>
      <c r="DT6" s="344" t="b">
        <v>1</v>
      </c>
      <c r="DU6" s="344" t="s">
        <v>133</v>
      </c>
      <c r="DV6" s="344" t="s">
        <v>133</v>
      </c>
      <c r="DW6" s="344" t="s">
        <v>133</v>
      </c>
      <c r="DX6" s="344" t="s">
        <v>134</v>
      </c>
      <c r="DY6" s="344" t="s">
        <v>134</v>
      </c>
      <c r="DZ6" s="344" t="s">
        <v>134</v>
      </c>
      <c r="EA6" s="342" t="s">
        <v>268</v>
      </c>
      <c r="EB6" s="341" t="s">
        <v>268</v>
      </c>
      <c r="EC6" s="343"/>
      <c r="ED6" s="341" t="s">
        <v>269</v>
      </c>
      <c r="EE6" s="341" t="s">
        <v>269</v>
      </c>
      <c r="EF6" s="343"/>
      <c r="EG6" s="341" t="s">
        <v>270</v>
      </c>
      <c r="EH6" s="341" t="s">
        <v>270</v>
      </c>
      <c r="EI6" s="343"/>
      <c r="EJ6" s="341" t="s">
        <v>271</v>
      </c>
      <c r="EK6" s="341" t="s">
        <v>271</v>
      </c>
      <c r="EL6" s="398"/>
      <c r="EO6" s="351" t="s">
        <v>376</v>
      </c>
      <c r="EP6" s="20"/>
      <c r="EQ6" s="19"/>
      <c r="ER6" s="19"/>
      <c r="ES6" s="19"/>
      <c r="ET6" s="19"/>
      <c r="EU6" s="19"/>
      <c r="EV6" s="19"/>
      <c r="EW6" s="334"/>
      <c r="EY6" s="359" t="s">
        <v>239</v>
      </c>
      <c r="EZ6" s="20"/>
      <c r="FA6" s="20"/>
      <c r="FB6" s="20"/>
      <c r="FC6" s="20"/>
      <c r="FD6" s="20"/>
      <c r="FE6" s="20"/>
      <c r="FF6" s="360"/>
      <c r="FG6" s="234"/>
      <c r="FH6" s="383" t="s">
        <v>308</v>
      </c>
      <c r="FI6" s="20"/>
      <c r="FJ6" s="20"/>
      <c r="FK6" s="20"/>
      <c r="FL6" s="19"/>
      <c r="FM6" s="19"/>
      <c r="FN6" s="19"/>
      <c r="FO6" s="19"/>
      <c r="FP6" s="334" t="b">
        <v>1</v>
      </c>
    </row>
    <row r="7" spans="1:172" ht="15" customHeight="1" thickBot="1" x14ac:dyDescent="0.25">
      <c r="B7" s="227" t="s">
        <v>195</v>
      </c>
      <c r="C7" s="2"/>
      <c r="E7" s="302" t="s">
        <v>28</v>
      </c>
      <c r="F7" s="303">
        <f ca="1">F5-F6</f>
        <v>-1754.8990508388524</v>
      </c>
      <c r="G7" s="310">
        <f ca="1">G5-G6</f>
        <v>0.13063296970082661</v>
      </c>
      <c r="H7" s="310">
        <f ca="1">H5-H6</f>
        <v>0.14097908714161989</v>
      </c>
      <c r="I7" s="304"/>
      <c r="K7" s="22"/>
      <c r="L7" s="232"/>
      <c r="M7" s="7"/>
      <c r="N7" s="22"/>
      <c r="Q7" s="10">
        <v>1</v>
      </c>
      <c r="R7" s="10">
        <f t="shared" si="2"/>
        <v>46</v>
      </c>
      <c r="S7" s="309">
        <f t="shared" ref="S7:S38" si="26">S6*(1-VLOOKUP(R7,boc_inc,$DE$1,FALSE)-VLOOKUP(R7,boc_inc,$DH$1,FALSE)-VLOOKUP(R7,boc_uptake,$DQ$1,FALSE)-VLOOKUP(R7,boc_uptake,$DT$1,FALSE)-VLOOKUP(R7,boc_mort,$CY$1,FALSE))</f>
        <v>0.67290915955539543</v>
      </c>
      <c r="T7" s="309">
        <f t="shared" ref="T7:T38" si="27">S6*VLOOKUP(R7,boc_uptake,$DQ$1,FALSE)</f>
        <v>4.8847232872308377E-3</v>
      </c>
      <c r="U7" s="309">
        <f t="shared" ref="U7:U38" si="28">S6*VLOOKUP(R7,boc_uptake,$DT$1,FALSE)</f>
        <v>1.1457959224151782E-2</v>
      </c>
      <c r="V7" s="235">
        <f t="shared" ref="V7:V38" si="29">V6*(1-VLOOKUP(R7,boc_uptake,$DT$1,FALSE)-VLOOKUP(R7,boc_inc_upt,$EC$1,FALSE)-VLOOKUP(R7,boc_inc_upt,$EI$1,FALSE)-VLOOKUP(R7,boc_mort,$CY$1,FALSE))+T6</f>
        <v>3.0179114671850991E-3</v>
      </c>
      <c r="W7" s="235">
        <f t="shared" ref="W7:W38" si="30">W6*(1-VLOOKUP(R7,boc_uptake,$DQ$1,FALSE)-VLOOKUP(R7,boc_inc_upt,$EF$1,FALSE)-VLOOKUP(R7,boc_inc_upt,$EL$1,FALSE)-VLOOKUP(R7,boc_mort,$CY$1,FALSE))+U6</f>
        <v>5.7484352183637113E-3</v>
      </c>
      <c r="X7" s="309">
        <f t="shared" ref="X7:X38" si="31">V6*VLOOKUP(R7,boc_uptake,$DT$1,FALSE)+W6*VLOOKUP(R7,boc_uptake,$DQ$1,FALSE)</f>
        <v>9.0437880935067964E-5</v>
      </c>
      <c r="Y7" s="235">
        <f t="shared" ref="Y7:Y38" si="32">Y6*(1-VLOOKUP(R7,boc_inc_upt,$EL$1,FALSE)-VLOOKUP(R7,boc_mort,$CY$1,FALSE))+X6</f>
        <v>4.4695958266181149E-3</v>
      </c>
      <c r="Z7" s="235">
        <f t="shared" ref="Z7:Z38" si="33">S6*VLOOKUP(R7,boc_inc,$DE$1,FALSE)+V6*VLOOKUP(R7,boc_inc_upt,$EC$1,FALSE)+W6*VLOOKUP(R7,boc_inc_upt,$EF$1,FALSE)</f>
        <v>1.6200426098077297E-2</v>
      </c>
      <c r="AA7" s="235">
        <f t="shared" ref="AA7:AA38" si="34">AA6*(1-VLOOKUP(R7,boc_mort_pc,$DA$1,FALSE))+Z6*(1-VLOOKUP(R7,boc_mort_pc,$DA$1,FALSE))</f>
        <v>0.2681124822355766</v>
      </c>
      <c r="AB7" s="235">
        <f t="shared" ref="AB7:AB38" si="35">S6*VLOOKUP(R7,boc_inc,$DH$1,FALSE)+V6*VLOOKUP(R7,boc_inc_upt,$EI$1,FALSE)+W6*VLOOKUP(R7,boc_inc_upt,$EL$1,FALSE)+Y6*VLOOKUP(R7,boc_inc_upt,$EL$1,FALSE)</f>
        <v>9.0050406002448527E-4</v>
      </c>
      <c r="AC7" s="235">
        <f t="shared" ref="AC7:AC38" si="36">AC6*(1-VLOOKUP(R7,boc_mort_pc,$DB$1,FALSE))+AB6*(1-VLOOKUP(R7,boc_mort_pc,$DB$1,FALSE))</f>
        <v>3.2185472594469695E-3</v>
      </c>
      <c r="AD7" s="235">
        <f t="shared" ref="AD7:AD38" si="37">AD6+SUM(S6,V6,W6,Y6)*VLOOKUP(R7,boc_mort,$CY$1,FALSE)+Z6*VLOOKUP(R7,boc_mort_pc,$DA$1,TRUE)+AA6*VLOOKUP(R7,boc_mort_pc,$DA$1,FALSE)+AC6*VLOOKUP(R7,boc_mort_pc,$DB$1,FALSE)+AB6*VLOOKUP(R7,boc_mort_pc,$DB$1,TRUE)</f>
        <v>8.9898178869945271E-3</v>
      </c>
      <c r="AE7" s="235">
        <f t="shared" ref="AE7:AE70" si="38">SUM(S7:AD7)</f>
        <v>0.99999999999999989</v>
      </c>
      <c r="AF7" s="101">
        <f t="shared" si="3"/>
        <v>35.344831791208328</v>
      </c>
      <c r="AG7" s="101">
        <f t="shared" si="4"/>
        <v>65.739788039032405</v>
      </c>
      <c r="AH7" s="101">
        <f t="shared" si="5"/>
        <v>501.23803776070605</v>
      </c>
      <c r="AI7" s="101">
        <f t="shared" si="6"/>
        <v>99.38941995311022</v>
      </c>
      <c r="AJ7" s="101">
        <f t="shared" si="7"/>
        <v>691.00308307214061</v>
      </c>
      <c r="AK7" s="101">
        <f t="shared" ref="AK7:AK38" si="39">((Z6*VLOOKUP(R7,boc_mort_pc,$DA$1,TRUE)+AA6*VLOOKUP(R7,boc_mort_pc,$DA$1,FALSE))*IF(R7&lt;65,boc_cost_bc_last_64,boc_cost_bc_last_65)+(AC6*VLOOKUP(R7,boc_mort_pc,$DB$1,FALSE)+AB6*VLOOKUP(R7,boc_mort_pc,$DB$1,TRUE))*IF(R6&lt;65,boc_cost_oc_last_64,boc_cost_oc_last_65))/((1+discount)^Q7)</f>
        <v>804.84581720452252</v>
      </c>
      <c r="AL7" s="235">
        <f t="shared" ref="AL7:AL38" si="40">(S7*util_well)/((1+discount)^Q7)</f>
        <v>0.62064437046371412</v>
      </c>
      <c r="AM7" s="235">
        <f t="shared" si="8"/>
        <v>1.4658052773515319E-2</v>
      </c>
      <c r="AN7" s="235">
        <f t="shared" si="9"/>
        <v>1.2207908142289879E-2</v>
      </c>
      <c r="AO7" s="235">
        <f t="shared" si="10"/>
        <v>1.0428041265073056E-2</v>
      </c>
      <c r="AP7" s="235">
        <f t="shared" si="11"/>
        <v>5.4904519387900656E-4</v>
      </c>
      <c r="AQ7" s="235">
        <f t="shared" si="12"/>
        <v>0.21309559673555228</v>
      </c>
      <c r="AR7" s="101">
        <f t="shared" ref="AR7:AR70" si="41">SUM(AF7:AK7)</f>
        <v>2197.5609778207199</v>
      </c>
      <c r="AS7" s="235">
        <f t="shared" ref="AS7:AS70" si="42">SUM(AL7:AQ7)</f>
        <v>0.87158301457402354</v>
      </c>
      <c r="AT7" s="235">
        <f t="shared" si="13"/>
        <v>0.96214580787670423</v>
      </c>
      <c r="AV7" s="10">
        <v>1</v>
      </c>
      <c r="AW7" s="10">
        <f t="shared" ref="AW7:AW70" si="43">age+AV7</f>
        <v>46</v>
      </c>
      <c r="AX7" s="309">
        <f t="shared" ref="AX7:AX38" si="44">AX6*(1-VLOOKUP(AW7,boc_inc,$DE$1,FALSE)-VLOOKUP(AW7,boc_inc,$DH$1,FALSE)-boc_unkn_mast-boc_unkn_ooph-VLOOKUP(AW7,boc_mort,$CY$1,FALSE))</f>
        <v>0.68911028058298351</v>
      </c>
      <c r="AY7" s="309">
        <f t="shared" ref="AY7:AY38" si="45">AX6*boc_unkn_mast</f>
        <v>7.0780741897253846E-5</v>
      </c>
      <c r="AZ7" s="309">
        <f t="shared" ref="AZ7:AZ38" si="46">AX6*boc_unkn_ooph</f>
        <v>7.0780741897253846E-5</v>
      </c>
      <c r="BA7" s="235">
        <f t="shared" ref="BA7:BA38" si="47">BA6*(1-VLOOKUP(AW7,boc_uptake,$DT$1,FALSE)-VLOOKUP(AW7,boc_inc_upt,$EC$1,FALSE)-VLOOKUP(AW7,boc_inc_upt,$EI$1,FALSE)-VLOOKUP(AW7,boc_mort,$CY$1,FALSE))+AY6</f>
        <v>3.0179114671850991E-3</v>
      </c>
      <c r="BB7" s="235">
        <f t="shared" ref="BB7:BB38" si="48">BB6*(1-VLOOKUP(AW7,boc_uptake,$DQ$1,FALSE)-VLOOKUP(AW7,boc_inc_upt,$EF$1,FALSE)-VLOOKUP(AW7,boc_inc_upt,$EL$1,FALSE)-VLOOKUP(AW7,boc_mort,$CY$1,FALSE))+AZ6</f>
        <v>5.7484352183637113E-3</v>
      </c>
      <c r="BC7" s="309">
        <f t="shared" ref="BC7:BC38" si="49">BA6*VLOOKUP(AW7,boc_uptake,$DT$1,FALSE)+BB6*VLOOKUP(AW7,boc_uptake,$DQ$1,FALSE)</f>
        <v>9.0437880935067964E-5</v>
      </c>
      <c r="BD7" s="235">
        <f t="shared" ref="BD7:BD38" si="50">BD6*(1-VLOOKUP(AW7,boc_inc_upt,$EL$1,FALSE)-VLOOKUP(AW7,boc_mort,$CY$1,FALSE))+BC6</f>
        <v>4.4695958266181149E-3</v>
      </c>
      <c r="BE7" s="235">
        <f t="shared" ref="BE7:BE38" si="51">AX6*VLOOKUP(AW7,boc_inc,$DE$1,FALSE)+BA6*VLOOKUP(AW7,boc_inc_upt,$EC$1,FALSE)+BB6*VLOOKUP(AW7,boc_inc_upt,$EF$1,FALSE)</f>
        <v>1.6200426098077297E-2</v>
      </c>
      <c r="BF7" s="235">
        <f t="shared" ref="BF7:BF38" si="52">BF6*(1-VLOOKUP(AW7,boc_mort_pc,$DA$1,FALSE))+BE6*(1-VLOOKUP(AW7,boc_mort_pc,$DA$1,FALSE))</f>
        <v>0.2681124822355766</v>
      </c>
      <c r="BG7" s="235">
        <f t="shared" ref="BG7:BG38" si="53">AX6*VLOOKUP(AW7,boc_inc,$DH$1,FALSE)+BA6*VLOOKUP(AW7,boc_inc_upt,$EI$1,FALSE)+BB6*VLOOKUP(AW7,boc_inc_upt,$EL$1,FALSE)+BD6*VLOOKUP(AW7,boc_inc_upt,$EL$1,FALSE)</f>
        <v>9.0050406002448527E-4</v>
      </c>
      <c r="BH7" s="235">
        <f t="shared" ref="BH7:BH38" si="54">BH6*(1-VLOOKUP(AW7,boc_mort_pc,$DB$1,FALSE))+BG6*(1-VLOOKUP(AW7,boc_mort_pc,$DB$1,FALSE))</f>
        <v>3.2185472594469695E-3</v>
      </c>
      <c r="BI7" s="235">
        <f t="shared" ref="BI7:BI38" si="55">BI6+SUM(AX6,BA6,BB6,BD6)*VLOOKUP(AW7,boc_mort,$CY$1,FALSE)+BE6*VLOOKUP(AW7,boc_mort_pc,$DA$1,TRUE)+BF6*VLOOKUP(AW7,boc_mort_pc,$DA$1,FALSE)+BH6*VLOOKUP(AW7,boc_mort_pc,$DB$1,FALSE)+BG6*VLOOKUP(AW7,boc_mort_pc,$DB$1,TRUE)</f>
        <v>8.9898178869945271E-3</v>
      </c>
      <c r="BJ7" s="235">
        <f t="shared" ref="BJ7:BJ70" si="56">SUM(AX7:BI7)</f>
        <v>0.99999999999999978</v>
      </c>
      <c r="BK7" s="101">
        <f t="shared" si="14"/>
        <v>0.51215458262603197</v>
      </c>
      <c r="BL7" s="101">
        <f t="shared" si="15"/>
        <v>0.4061029436867622</v>
      </c>
      <c r="BM7" s="101">
        <f t="shared" si="16"/>
        <v>501.23803776070605</v>
      </c>
      <c r="BN7" s="101">
        <f t="shared" si="17"/>
        <v>99.38941995311022</v>
      </c>
      <c r="BO7" s="101">
        <f t="shared" si="18"/>
        <v>691.00308307214061</v>
      </c>
      <c r="BP7" s="101">
        <f t="shared" ref="BP7:BP38" si="57">((BE6*VLOOKUP(AW7,boc_mort_pc,$DA$1,TRUE)+BF6*VLOOKUP(AW7,boc_mort_pc,$DA$1,FALSE))*IF(AW7&lt;65,boc_cost_bc_last_64,boc_cost_bc_last_65)+(BH6*VLOOKUP(AW7,boc_mort_pc,$DB$1,FALSE)+BG6*VLOOKUP(AW7,boc_mort_pc,$DB$1,TRUE))*IF(AW6&lt;65,boc_cost_oc_last_64,boc_cost_oc_last_65))/((1+discount)^AV7)</f>
        <v>804.84581720452252</v>
      </c>
      <c r="BQ7" s="235">
        <f t="shared" si="19"/>
        <v>0.63558715199401383</v>
      </c>
      <c r="BR7" s="235">
        <f t="shared" si="20"/>
        <v>1.2681826974798136E-4</v>
      </c>
      <c r="BS7" s="235">
        <f t="shared" si="21"/>
        <v>1.2207908142289879E-2</v>
      </c>
      <c r="BT7" s="235">
        <f t="shared" si="22"/>
        <v>1.0428041265073056E-2</v>
      </c>
      <c r="BU7" s="235">
        <f t="shared" si="23"/>
        <v>5.4904519387900656E-4</v>
      </c>
      <c r="BV7" s="235">
        <f t="shared" si="24"/>
        <v>0.21309559673555228</v>
      </c>
      <c r="BW7" s="101">
        <f t="shared" ref="BW7:BW70" si="58">SUM(BK7:BP7)</f>
        <v>2097.3946155167923</v>
      </c>
      <c r="BX7" s="235">
        <f t="shared" ref="BX7:BX70" si="59">SUM(BQ7:BV7)</f>
        <v>0.871994561600556</v>
      </c>
      <c r="BY7" s="235">
        <f t="shared" si="25"/>
        <v>0.96214580787670412</v>
      </c>
      <c r="CA7" s="23"/>
      <c r="CB7" s="237"/>
      <c r="CC7" s="237"/>
      <c r="CD7" s="238"/>
      <c r="CE7" s="239"/>
      <c r="CF7" s="239"/>
      <c r="CG7" s="239"/>
      <c r="CH7" s="239"/>
      <c r="CJ7" s="10" t="s">
        <v>139</v>
      </c>
      <c r="CK7" s="10" t="s">
        <v>365</v>
      </c>
      <c r="CL7" s="10" t="s">
        <v>366</v>
      </c>
      <c r="CM7" s="10" t="s">
        <v>367</v>
      </c>
      <c r="CN7" s="10" t="s">
        <v>368</v>
      </c>
      <c r="CO7" s="10" t="s">
        <v>369</v>
      </c>
      <c r="CP7" s="10" t="s">
        <v>371</v>
      </c>
      <c r="CQ7" s="10" t="s">
        <v>370</v>
      </c>
      <c r="CR7" s="10" t="s">
        <v>372</v>
      </c>
      <c r="CS7" s="10" t="s">
        <v>374</v>
      </c>
      <c r="CT7" s="10" t="s">
        <v>375</v>
      </c>
      <c r="CU7" s="10" t="s">
        <v>373</v>
      </c>
      <c r="CX7" s="322" t="s">
        <v>139</v>
      </c>
      <c r="CY7" s="322" t="s">
        <v>144</v>
      </c>
      <c r="CZ7" s="334" t="b">
        <v>1</v>
      </c>
      <c r="DA7" s="336" t="s">
        <v>193</v>
      </c>
      <c r="DB7" s="376" t="s">
        <v>194</v>
      </c>
      <c r="DC7" s="375" t="s">
        <v>207</v>
      </c>
      <c r="DD7" s="375" t="s">
        <v>208</v>
      </c>
      <c r="DE7" s="375" t="s">
        <v>241</v>
      </c>
      <c r="DF7" s="336" t="s">
        <v>207</v>
      </c>
      <c r="DG7" s="375" t="s">
        <v>208</v>
      </c>
      <c r="DH7" s="375" t="s">
        <v>242</v>
      </c>
      <c r="DI7" s="336" t="s">
        <v>207</v>
      </c>
      <c r="DJ7" s="375" t="s">
        <v>208</v>
      </c>
      <c r="DK7" s="375" t="s">
        <v>285</v>
      </c>
      <c r="DL7" s="336" t="s">
        <v>207</v>
      </c>
      <c r="DM7" s="375" t="s">
        <v>208</v>
      </c>
      <c r="DN7" s="376" t="s">
        <v>285</v>
      </c>
      <c r="DO7" s="336" t="s">
        <v>207</v>
      </c>
      <c r="DP7" s="375" t="s">
        <v>208</v>
      </c>
      <c r="DQ7" s="375" t="s">
        <v>272</v>
      </c>
      <c r="DR7" s="336" t="s">
        <v>207</v>
      </c>
      <c r="DS7" s="375" t="s">
        <v>208</v>
      </c>
      <c r="DT7" s="375" t="s">
        <v>273</v>
      </c>
      <c r="DU7" s="336" t="s">
        <v>207</v>
      </c>
      <c r="DV7" s="375" t="s">
        <v>208</v>
      </c>
      <c r="DW7" s="375" t="s">
        <v>285</v>
      </c>
      <c r="DX7" s="336" t="s">
        <v>207</v>
      </c>
      <c r="DY7" s="375" t="s">
        <v>208</v>
      </c>
      <c r="DZ7" s="376" t="s">
        <v>285</v>
      </c>
      <c r="EA7" s="375" t="s">
        <v>207</v>
      </c>
      <c r="EB7" s="375" t="s">
        <v>208</v>
      </c>
      <c r="EC7" s="375" t="s">
        <v>241</v>
      </c>
      <c r="ED7" s="336" t="s">
        <v>207</v>
      </c>
      <c r="EE7" s="375" t="s">
        <v>208</v>
      </c>
      <c r="EF7" s="376" t="s">
        <v>241</v>
      </c>
      <c r="EG7" s="336" t="s">
        <v>207</v>
      </c>
      <c r="EH7" s="375" t="s">
        <v>208</v>
      </c>
      <c r="EI7" s="376" t="s">
        <v>242</v>
      </c>
      <c r="EJ7" s="336" t="s">
        <v>207</v>
      </c>
      <c r="EK7" s="375" t="s">
        <v>208</v>
      </c>
      <c r="EL7" s="376" t="s">
        <v>242</v>
      </c>
      <c r="EO7" s="318" t="s">
        <v>160</v>
      </c>
      <c r="EP7" s="315" t="s">
        <v>159</v>
      </c>
      <c r="EQ7" s="315" t="s">
        <v>243</v>
      </c>
      <c r="ER7" s="315" t="s">
        <v>79</v>
      </c>
      <c r="ES7" s="315" t="s">
        <v>81</v>
      </c>
      <c r="ET7" s="315" t="s">
        <v>162</v>
      </c>
      <c r="EU7" s="315" t="s">
        <v>21</v>
      </c>
      <c r="EV7" s="315" t="s">
        <v>163</v>
      </c>
      <c r="EW7" s="316" t="s">
        <v>247</v>
      </c>
      <c r="EX7" s="315"/>
      <c r="EY7" s="361"/>
      <c r="EZ7" s="346" t="s">
        <v>244</v>
      </c>
      <c r="FA7" s="315" t="s">
        <v>79</v>
      </c>
      <c r="FB7" s="315" t="s">
        <v>81</v>
      </c>
      <c r="FC7" s="315" t="s">
        <v>162</v>
      </c>
      <c r="FD7" s="315" t="s">
        <v>21</v>
      </c>
      <c r="FE7" s="315" t="s">
        <v>163</v>
      </c>
      <c r="FF7" s="316" t="s">
        <v>247</v>
      </c>
      <c r="FH7" s="405" t="s">
        <v>160</v>
      </c>
      <c r="FI7" s="47"/>
      <c r="FJ7" s="321" t="s">
        <v>109</v>
      </c>
      <c r="FK7" s="321" t="s">
        <v>248</v>
      </c>
      <c r="FL7" s="323" t="s">
        <v>79</v>
      </c>
      <c r="FM7" s="323" t="s">
        <v>81</v>
      </c>
      <c r="FN7" s="323" t="s">
        <v>303</v>
      </c>
      <c r="FO7" s="323" t="s">
        <v>163</v>
      </c>
      <c r="FP7" s="326" t="s">
        <v>16</v>
      </c>
    </row>
    <row r="8" spans="1:172" ht="15" customHeight="1" x14ac:dyDescent="0.2">
      <c r="Q8" s="10">
        <v>2</v>
      </c>
      <c r="R8" s="10">
        <f t="shared" si="2"/>
        <v>47</v>
      </c>
      <c r="S8" s="309">
        <f t="shared" si="26"/>
        <v>0.63958552839131066</v>
      </c>
      <c r="T8" s="309">
        <f t="shared" si="27"/>
        <v>4.6438832848666421E-3</v>
      </c>
      <c r="U8" s="309">
        <f t="shared" si="28"/>
        <v>1.089302754545316E-2</v>
      </c>
      <c r="V8" s="235">
        <f t="shared" si="29"/>
        <v>7.8427443211698186E-3</v>
      </c>
      <c r="W8" s="235">
        <f t="shared" si="30"/>
        <v>1.7072807669736838E-2</v>
      </c>
      <c r="X8" s="309">
        <f t="shared" si="31"/>
        <v>8.8524957820224672E-5</v>
      </c>
      <c r="Y8" s="235">
        <f t="shared" si="32"/>
        <v>4.547576217202893E-3</v>
      </c>
      <c r="Z8" s="235">
        <f t="shared" si="33"/>
        <v>1.5403763852997744E-2</v>
      </c>
      <c r="AA8" s="235">
        <f t="shared" si="34"/>
        <v>0.27703946166293991</v>
      </c>
      <c r="AB8" s="235">
        <f t="shared" si="35"/>
        <v>8.5636255476819216E-4</v>
      </c>
      <c r="AC8" s="235">
        <f t="shared" si="36"/>
        <v>3.6849713550899874E-3</v>
      </c>
      <c r="AD8" s="235">
        <f t="shared" si="37"/>
        <v>1.8341348186643826E-2</v>
      </c>
      <c r="AE8" s="235">
        <f t="shared" si="38"/>
        <v>0.99999999999999989</v>
      </c>
      <c r="AF8" s="101">
        <f t="shared" si="3"/>
        <v>32.623460307360162</v>
      </c>
      <c r="AG8" s="101">
        <f t="shared" si="4"/>
        <v>60.678160201036988</v>
      </c>
      <c r="AH8" s="101">
        <f t="shared" si="5"/>
        <v>462.70821610644936</v>
      </c>
      <c r="AI8" s="101">
        <f t="shared" si="6"/>
        <v>91.764547036627036</v>
      </c>
      <c r="AJ8" s="101">
        <f t="shared" si="7"/>
        <v>696.44703002253891</v>
      </c>
      <c r="AK8" s="101">
        <f t="shared" si="39"/>
        <v>814.28718080402371</v>
      </c>
      <c r="AL8" s="235">
        <f t="shared" si="40"/>
        <v>0.57272716747266017</v>
      </c>
      <c r="AM8" s="235">
        <f t="shared" si="8"/>
        <v>1.3639838797232436E-2</v>
      </c>
      <c r="AN8" s="235">
        <f t="shared" si="9"/>
        <v>2.6383232913285013E-2</v>
      </c>
      <c r="AO8" s="235">
        <f t="shared" si="10"/>
        <v>9.6264449378240229E-3</v>
      </c>
      <c r="AP8" s="235">
        <f t="shared" si="11"/>
        <v>5.0692401205997245E-4</v>
      </c>
      <c r="AQ8" s="235">
        <f t="shared" si="12"/>
        <v>0.21402124924370453</v>
      </c>
      <c r="AR8" s="101">
        <f t="shared" si="41"/>
        <v>2158.5085944780362</v>
      </c>
      <c r="AS8" s="235">
        <f t="shared" si="42"/>
        <v>0.83690485737676612</v>
      </c>
      <c r="AT8" s="235">
        <f t="shared" si="13"/>
        <v>0.92530742936502608</v>
      </c>
      <c r="AV8" s="10">
        <v>2</v>
      </c>
      <c r="AW8" s="10">
        <f t="shared" si="43"/>
        <v>47</v>
      </c>
      <c r="AX8" s="309">
        <f t="shared" si="44"/>
        <v>0.67075750088243502</v>
      </c>
      <c r="AY8" s="309">
        <f t="shared" si="45"/>
        <v>6.8911028058298352E-5</v>
      </c>
      <c r="AZ8" s="309">
        <f t="shared" si="46"/>
        <v>6.8911028058298352E-5</v>
      </c>
      <c r="BA8" s="235">
        <f t="shared" si="47"/>
        <v>3.0288017758362345E-3</v>
      </c>
      <c r="BB8" s="235">
        <f t="shared" si="48"/>
        <v>5.6856291874823111E-3</v>
      </c>
      <c r="BC8" s="309">
        <f t="shared" si="49"/>
        <v>8.8524957820224672E-5</v>
      </c>
      <c r="BD8" s="235">
        <f t="shared" si="50"/>
        <v>4.547576217202893E-3</v>
      </c>
      <c r="BE8" s="235">
        <f t="shared" si="51"/>
        <v>1.5772753146184787E-2</v>
      </c>
      <c r="BF8" s="235">
        <f t="shared" si="52"/>
        <v>0.27703946166293991</v>
      </c>
      <c r="BG8" s="235">
        <f t="shared" si="53"/>
        <v>8.7679268626604024E-4</v>
      </c>
      <c r="BH8" s="235">
        <f t="shared" si="54"/>
        <v>3.6849713550899874E-3</v>
      </c>
      <c r="BI8" s="235">
        <f t="shared" si="55"/>
        <v>1.8380166072625929E-2</v>
      </c>
      <c r="BJ8" s="235">
        <f t="shared" si="56"/>
        <v>0.99999999999999978</v>
      </c>
      <c r="BK8" s="101">
        <f t="shared" si="14"/>
        <v>0.48410264657713881</v>
      </c>
      <c r="BL8" s="101">
        <f t="shared" si="15"/>
        <v>0.38385971050673889</v>
      </c>
      <c r="BM8" s="101">
        <f t="shared" si="16"/>
        <v>473.79215502178977</v>
      </c>
      <c r="BN8" s="101">
        <f t="shared" si="17"/>
        <v>93.953762051179183</v>
      </c>
      <c r="BO8" s="101">
        <f t="shared" si="18"/>
        <v>696.44703002253891</v>
      </c>
      <c r="BP8" s="101">
        <f t="shared" si="57"/>
        <v>814.28718080402371</v>
      </c>
      <c r="BQ8" s="235">
        <f t="shared" si="19"/>
        <v>0.60064061253493573</v>
      </c>
      <c r="BR8" s="235">
        <f t="shared" si="20"/>
        <v>1.1986825587736454E-4</v>
      </c>
      <c r="BS8" s="235">
        <f t="shared" si="21"/>
        <v>1.1875678029498883E-2</v>
      </c>
      <c r="BT8" s="235">
        <f t="shared" si="22"/>
        <v>9.8570415080785311E-3</v>
      </c>
      <c r="BU8" s="235">
        <f t="shared" si="23"/>
        <v>5.1901763311817636E-4</v>
      </c>
      <c r="BV8" s="235">
        <f t="shared" si="24"/>
        <v>0.21402124924370453</v>
      </c>
      <c r="BW8" s="101">
        <f t="shared" si="58"/>
        <v>2079.3480902566153</v>
      </c>
      <c r="BX8" s="235">
        <f t="shared" si="59"/>
        <v>0.8370334672052131</v>
      </c>
      <c r="BY8" s="235">
        <f t="shared" si="25"/>
        <v>0.92527083978449798</v>
      </c>
      <c r="CA8" s="23"/>
      <c r="CB8" s="237"/>
      <c r="CC8" s="237"/>
      <c r="CD8" s="238"/>
      <c r="CE8" s="239"/>
      <c r="CF8" s="239"/>
      <c r="CG8" s="239"/>
      <c r="CH8" s="239"/>
      <c r="CJ8" s="10">
        <v>0</v>
      </c>
      <c r="CK8" s="450">
        <v>0</v>
      </c>
      <c r="CL8" s="450">
        <v>0</v>
      </c>
      <c r="CM8" s="450">
        <v>0</v>
      </c>
      <c r="CN8" s="450">
        <v>0</v>
      </c>
      <c r="CO8" s="451">
        <v>0.36480803857081751</v>
      </c>
      <c r="CP8" s="451">
        <v>0.62088518189721142</v>
      </c>
      <c r="CQ8" s="451">
        <v>0.11589545213311329</v>
      </c>
      <c r="CR8" s="451">
        <v>0.13435569653694324</v>
      </c>
      <c r="CS8" s="451">
        <v>26.729881621339516</v>
      </c>
      <c r="CT8" s="451">
        <v>26.330486210281286</v>
      </c>
      <c r="CU8" s="234">
        <v>0.3993954110582294</v>
      </c>
      <c r="CX8" s="377">
        <v>0</v>
      </c>
      <c r="CY8" s="335">
        <f t="shared" ref="CY8:CY39" si="60">IF($CZ$7,CZ8,0)</f>
        <v>5.313E-3</v>
      </c>
      <c r="CZ8" s="338">
        <v>5.313E-3</v>
      </c>
      <c r="DA8" s="345">
        <f t="shared" ref="DA8:DA39" si="61">VLOOKUP($CX8,$FH$22:$FP$42,6,TRUE)</f>
        <v>2.5021179329242971E-2</v>
      </c>
      <c r="DB8" s="387">
        <f t="shared" ref="DB8:DB39" si="62">VLOOKUP($CX8,$FH$22:$FP$42,9,TRUE)</f>
        <v>5.2165991930157918E-2</v>
      </c>
      <c r="DC8" s="114">
        <f>VLOOKUP($CX8,$EO$64:$EW$74,9,TRUE)</f>
        <v>0</v>
      </c>
      <c r="DD8" s="378">
        <f>VLOOKUP($CX8,$EO$78:$EW$88,9,TRUE)</f>
        <v>0</v>
      </c>
      <c r="DE8" s="378">
        <f t="shared" ref="DE8:DE39" si="63">IF($DE$6,boc_mut_brca1*DC8+boc_mut_brca2*DD8,0)</f>
        <v>0</v>
      </c>
      <c r="DF8" s="340">
        <f>VLOOKUP($CX8,$EO$92:$EW$102,9,TRUE)</f>
        <v>0</v>
      </c>
      <c r="DG8" s="378">
        <f>VLOOKUP($CX8,$EO$106:$EW$116,9,TRUE)</f>
        <v>0</v>
      </c>
      <c r="DH8" s="378">
        <f t="shared" ref="DH8:DH39" si="64">IF($DH$6,boc_mut_brca1*DF8+boc_mut_brca2*DG8,0)</f>
        <v>0</v>
      </c>
      <c r="DI8" s="200">
        <f>VLOOKUP($CX8,$EO$8:$EW$18,9,FALSE)</f>
        <v>0</v>
      </c>
      <c r="DJ8" s="350">
        <f>VLOOKUP($CX8,$EO$22:$EW$32,9,FALSE)</f>
        <v>0</v>
      </c>
      <c r="DK8" s="350">
        <f t="shared" ref="DK8:DK39" si="65">IF($DK$4,boc_mut_brca1*DI8+boc_mut_brca2*DJ8,0)</f>
        <v>0</v>
      </c>
      <c r="DL8" s="335">
        <f>VLOOKUP($CX8,$EO$36:$EW$46,9,FALSE)</f>
        <v>0</v>
      </c>
      <c r="DM8" s="350">
        <f>VLOOKUP($CX8,$EO$50:$EW$60,9,FALSE)</f>
        <v>0</v>
      </c>
      <c r="DN8" s="396">
        <f t="shared" ref="DN8:DN39" si="66">IF($DN$4,boc_mut_brca1*DL8+boc_mut_brca2*DM8,0)</f>
        <v>0</v>
      </c>
      <c r="DO8" s="345">
        <v>0</v>
      </c>
      <c r="DP8" s="349">
        <v>0</v>
      </c>
      <c r="DQ8" s="349">
        <f t="shared" ref="DQ8:DQ39" si="67">boc_mut_brca1*DO8+boc_mut_brca2*DP8</f>
        <v>0</v>
      </c>
      <c r="DR8" s="345">
        <v>0</v>
      </c>
      <c r="DS8" s="349">
        <v>0</v>
      </c>
      <c r="DT8" s="349">
        <f t="shared" ref="DT8:DT39" si="68">boc_mut_brca1*DR8+boc_mut_brca2*DS8</f>
        <v>0</v>
      </c>
      <c r="DU8" s="335">
        <f>VLOOKUP($CX8,$EY$8:$FF$28,8,FALSE)</f>
        <v>0</v>
      </c>
      <c r="DV8" s="350">
        <f>VLOOKUP($CX8,$EY$32:$FF$52,8,FALSE)</f>
        <v>0</v>
      </c>
      <c r="DW8" s="350">
        <f t="shared" ref="DW8:DW39" si="69">IF($DW$4,boc_mut_brca1*DU8+boc_mut_brca2*DV8,0)</f>
        <v>0</v>
      </c>
      <c r="DX8" s="335">
        <f>VLOOKUP($CX8,$EY$56:$FF$76,8,FALSE)</f>
        <v>0</v>
      </c>
      <c r="DY8" s="350">
        <f>VLOOKUP($CX8,$EY$80:$FF$100,8,FALSE)</f>
        <v>0</v>
      </c>
      <c r="DZ8" s="396">
        <f t="shared" ref="DZ8:DZ39" si="70">IF($DZ$4,boc_mut_brca1*DX8+boc_mut_brca2*DY8,0)</f>
        <v>0</v>
      </c>
      <c r="EA8" s="350">
        <f t="shared" ref="EA8:EA39" si="71">1-EXP(-((-LN(1-DC8))*boc_hr_bc_mast_1))</f>
        <v>0</v>
      </c>
      <c r="EB8" s="350">
        <f t="shared" ref="EB8:EB39" si="72">1-EXP(-((-LN(1-DD8))*boc_hr_bc_mast_2))</f>
        <v>0</v>
      </c>
      <c r="EC8" s="349">
        <f t="shared" ref="EC8:EC39" si="73">boc_mut_brca1*EA8+boc_mut_brca2*EB8</f>
        <v>0</v>
      </c>
      <c r="ED8" s="335">
        <f t="shared" ref="ED8:ED39" si="74">1-EXP(-((-LN(1-DC8))*boc_hr_bc_ooph_1))</f>
        <v>0</v>
      </c>
      <c r="EE8" s="350">
        <f t="shared" ref="EE8:EE39" si="75">1-EXP(-((-LN(1-DD8))*boc_hr_bc_ooph_2))</f>
        <v>0</v>
      </c>
      <c r="EF8" s="387">
        <f t="shared" ref="EF8:EF39" si="76">boc_mut_brca1*ED8+boc_mut_brca2*EE8</f>
        <v>0</v>
      </c>
      <c r="EG8" s="335">
        <f t="shared" ref="EG8:EG39" si="77">1-EXP(-((-LN(1-DF8))*boc_hr_oc_mast_1))</f>
        <v>0</v>
      </c>
      <c r="EH8" s="350">
        <f t="shared" ref="EH8:EH39" si="78">1-EXP(-((-LN(1-DG8))*boc_hr_oc_mast_2))</f>
        <v>0</v>
      </c>
      <c r="EI8" s="387">
        <f t="shared" ref="EI8:EI39" si="79">boc_mut_brca1*EG8+boc_mut_brca2*EH8</f>
        <v>0</v>
      </c>
      <c r="EJ8" s="335">
        <f t="shared" ref="EJ8:EJ39" si="80">1-EXP(-((-LN(1-DF8))*boc_hr_oc_ooph_1))</f>
        <v>0</v>
      </c>
      <c r="EK8" s="350">
        <f t="shared" ref="EK8:EK39" si="81">1-EXP(-((-LN(1-DG8))*boc_hr_oc_ooph_2))</f>
        <v>0</v>
      </c>
      <c r="EL8" s="387">
        <f t="shared" ref="EL8:EL39" si="82">boc_mut_brca1*EJ8+boc_mut_brca2*EK8</f>
        <v>0</v>
      </c>
      <c r="EO8" s="318">
        <v>0</v>
      </c>
      <c r="EP8" s="315"/>
      <c r="EQ8" s="320">
        <v>0</v>
      </c>
      <c r="ER8" s="315">
        <v>0</v>
      </c>
      <c r="ES8" s="315">
        <v>0</v>
      </c>
      <c r="ET8" s="320" t="e">
        <f t="shared" ref="ET8" si="83">EQ8^2*(1-EQ8)/((ES8-ER8)/(2*z))^2-EQ8</f>
        <v>#DIV/0!</v>
      </c>
      <c r="EU8" s="320" t="e">
        <f t="shared" ref="EU8" si="84">(EQ8^2*(1-EQ8)/((ES8-ER8)/(2*z))^2-EQ8)*(1-EQ8)/EQ8</f>
        <v>#DIV/0!</v>
      </c>
      <c r="EV8" s="350" t="e">
        <f t="shared" ref="EV8" ca="1" si="85">_xlfn.BETA.INV(RAND(),ET8,EU8)</f>
        <v>#DIV/0!</v>
      </c>
      <c r="EW8" s="362">
        <f>IFERROR(IF(psa,EV8,EQ8),EQ8)</f>
        <v>0</v>
      </c>
      <c r="EX8" s="348"/>
      <c r="EY8" s="363">
        <v>0</v>
      </c>
      <c r="EZ8" s="346">
        <v>0</v>
      </c>
      <c r="FA8" s="347">
        <f t="shared" ref="FA8:FA28" si="86">EZ8*(1-owsa_boc)</f>
        <v>0</v>
      </c>
      <c r="FB8" s="347">
        <f t="shared" ref="FB8:FB28" si="87">EZ8*(1+owsa_boc)</f>
        <v>0</v>
      </c>
      <c r="FC8" s="33" t="e">
        <f t="shared" ref="FC8:FC28" si="88">EZ8^2*(1-EZ8)/((FB8-FA8)/(2*z))^2-EZ8</f>
        <v>#DIV/0!</v>
      </c>
      <c r="FD8" s="33" t="e">
        <f t="shared" ref="FD8:FD28" si="89">(EZ8^2*(1-EZ8)/((FB8-FA8)/(2*z))^2-EZ8)*(1-EZ8)/EZ8</f>
        <v>#DIV/0!</v>
      </c>
      <c r="FE8" s="308">
        <f ca="1">IFERROR(_xlfn.BETA.INV(RAND(),FC8,FD8),0)</f>
        <v>0</v>
      </c>
      <c r="FF8" s="364">
        <v>0</v>
      </c>
      <c r="FG8" s="234"/>
      <c r="FH8" s="324">
        <v>0</v>
      </c>
      <c r="FI8" s="47"/>
      <c r="FJ8" s="323" t="s">
        <v>249</v>
      </c>
      <c r="FK8" s="323">
        <v>0.88099999999999989</v>
      </c>
      <c r="FL8" s="347">
        <f>FK8*(1-owsa_boc)</f>
        <v>0.70479999999999998</v>
      </c>
      <c r="FM8" s="347">
        <f>FK8*(1+owsa_boc)</f>
        <v>1.0571999999999999</v>
      </c>
      <c r="FN8" s="54">
        <f t="shared" ref="FN8" si="90">(LN(FM8)-LN(FL8))/(2*z)</f>
        <v>0.10343687723509755</v>
      </c>
      <c r="FO8" s="347">
        <f ca="1">_xlfn.LOGNORM.INV(RAND(),LN(FK8)-(FN8^2)/2,FN8)</f>
        <v>0.90326333735778896</v>
      </c>
      <c r="FP8" s="362">
        <f>IF($FP$6,IF(psa,FO8,FK8),1)</f>
        <v>0.88099999999999989</v>
      </c>
    </row>
    <row r="9" spans="1:172" ht="15" customHeight="1" x14ac:dyDescent="0.2">
      <c r="Q9" s="10">
        <v>3</v>
      </c>
      <c r="R9" s="10">
        <f t="shared" si="2"/>
        <v>48</v>
      </c>
      <c r="S9" s="309">
        <f t="shared" si="26"/>
        <v>0.6077477678814529</v>
      </c>
      <c r="T9" s="309">
        <f t="shared" si="27"/>
        <v>4.4139101130700187E-3</v>
      </c>
      <c r="U9" s="309">
        <f t="shared" si="28"/>
        <v>1.0353585888239376E-2</v>
      </c>
      <c r="V9" s="235">
        <f t="shared" si="29"/>
        <v>1.2328972811199622E-2</v>
      </c>
      <c r="W9" s="235">
        <f t="shared" si="30"/>
        <v>2.756469583255803E-2</v>
      </c>
      <c r="X9" s="309">
        <f t="shared" si="31"/>
        <v>2.4478096894165304E-4</v>
      </c>
      <c r="Y9" s="235">
        <f t="shared" si="32"/>
        <v>4.6222576135563961E-3</v>
      </c>
      <c r="Z9" s="235">
        <f t="shared" si="33"/>
        <v>1.4798250359424019E-2</v>
      </c>
      <c r="AA9" s="235">
        <f t="shared" si="34"/>
        <v>0.28496178467152289</v>
      </c>
      <c r="AB9" s="235">
        <f t="shared" si="35"/>
        <v>8.2488483315992713E-4</v>
      </c>
      <c r="AC9" s="235">
        <f t="shared" si="36"/>
        <v>4.0627523363495153E-3</v>
      </c>
      <c r="AD9" s="235">
        <f t="shared" si="37"/>
        <v>2.8076356690525505E-2</v>
      </c>
      <c r="AE9" s="235">
        <f t="shared" si="38"/>
        <v>1</v>
      </c>
      <c r="AF9" s="101">
        <f t="shared" si="3"/>
        <v>30.10474742730872</v>
      </c>
      <c r="AG9" s="101">
        <f t="shared" si="4"/>
        <v>55.993468197298306</v>
      </c>
      <c r="AH9" s="101">
        <f t="shared" si="5"/>
        <v>431.57224307089018</v>
      </c>
      <c r="AI9" s="101">
        <f t="shared" si="6"/>
        <v>85.817004250180361</v>
      </c>
      <c r="AJ9" s="101">
        <f t="shared" si="7"/>
        <v>697.87790511335129</v>
      </c>
      <c r="AK9" s="101">
        <f t="shared" si="39"/>
        <v>818.23202404329879</v>
      </c>
      <c r="AL9" s="235">
        <f t="shared" si="40"/>
        <v>0.52836653572885106</v>
      </c>
      <c r="AM9" s="235">
        <f t="shared" si="8"/>
        <v>1.2681138481805078E-2</v>
      </c>
      <c r="AN9" s="235">
        <f t="shared" si="9"/>
        <v>3.8701459691623197E-2</v>
      </c>
      <c r="AO9" s="235">
        <f t="shared" si="10"/>
        <v>8.9786744432032196E-3</v>
      </c>
      <c r="AP9" s="235">
        <f t="shared" si="11"/>
        <v>4.7406870629574836E-4</v>
      </c>
      <c r="AQ9" s="235">
        <f t="shared" si="12"/>
        <v>0.21390908000452558</v>
      </c>
      <c r="AR9" s="101">
        <f t="shared" si="41"/>
        <v>2119.5973921023278</v>
      </c>
      <c r="AS9" s="235">
        <f t="shared" si="42"/>
        <v>0.80311095705630386</v>
      </c>
      <c r="AT9" s="235">
        <f t="shared" si="13"/>
        <v>0.88944781570280085</v>
      </c>
      <c r="AV9" s="10">
        <v>3</v>
      </c>
      <c r="AW9" s="10">
        <f t="shared" si="43"/>
        <v>48</v>
      </c>
      <c r="AX9" s="309">
        <f t="shared" si="44"/>
        <v>0.65272111824523593</v>
      </c>
      <c r="AY9" s="309">
        <f t="shared" si="45"/>
        <v>6.7075750088243502E-5</v>
      </c>
      <c r="AZ9" s="309">
        <f t="shared" si="46"/>
        <v>6.7075750088243502E-5</v>
      </c>
      <c r="BA9" s="235">
        <f t="shared" si="47"/>
        <v>3.0368278504883644E-3</v>
      </c>
      <c r="BB9" s="235">
        <f t="shared" si="48"/>
        <v>5.6209517732492024E-3</v>
      </c>
      <c r="BC9" s="309">
        <f t="shared" si="49"/>
        <v>8.8267812494698149E-5</v>
      </c>
      <c r="BD9" s="235">
        <f t="shared" si="50"/>
        <v>4.6222576135563961E-3</v>
      </c>
      <c r="BE9" s="235">
        <f t="shared" si="51"/>
        <v>1.5353907613729763E-2</v>
      </c>
      <c r="BF9" s="235">
        <f t="shared" si="52"/>
        <v>0.28532133428094114</v>
      </c>
      <c r="BG9" s="235">
        <f t="shared" si="53"/>
        <v>8.5366891307147046E-4</v>
      </c>
      <c r="BH9" s="235">
        <f t="shared" si="54"/>
        <v>4.0810294694831597E-3</v>
      </c>
      <c r="BI9" s="235">
        <f t="shared" si="55"/>
        <v>2.8166484927573385E-2</v>
      </c>
      <c r="BJ9" s="235">
        <f t="shared" si="56"/>
        <v>1</v>
      </c>
      <c r="BK9" s="101">
        <f t="shared" si="14"/>
        <v>0.45748519185393266</v>
      </c>
      <c r="BL9" s="101">
        <f t="shared" si="15"/>
        <v>0.36275392119383526</v>
      </c>
      <c r="BM9" s="101">
        <f t="shared" si="16"/>
        <v>447.77728365304426</v>
      </c>
      <c r="BN9" s="101">
        <f t="shared" si="17"/>
        <v>88.811559864257873</v>
      </c>
      <c r="BO9" s="101">
        <f t="shared" si="18"/>
        <v>698.87334843812425</v>
      </c>
      <c r="BP9" s="101">
        <f t="shared" si="57"/>
        <v>819.50844435658144</v>
      </c>
      <c r="BQ9" s="235">
        <f t="shared" si="19"/>
        <v>0.56746567288350536</v>
      </c>
      <c r="BR9" s="235">
        <f t="shared" si="20"/>
        <v>1.132737610418849E-4</v>
      </c>
      <c r="BS9" s="235">
        <f t="shared" si="21"/>
        <v>1.1545459547928497E-2</v>
      </c>
      <c r="BT9" s="235">
        <f t="shared" si="22"/>
        <v>9.3158133256548373E-3</v>
      </c>
      <c r="BU9" s="235">
        <f t="shared" si="23"/>
        <v>4.9061117498596036E-4</v>
      </c>
      <c r="BV9" s="235">
        <f t="shared" si="24"/>
        <v>0.21418764429321344</v>
      </c>
      <c r="BW9" s="101">
        <f t="shared" si="58"/>
        <v>2055.7908754250557</v>
      </c>
      <c r="BX9" s="235">
        <f t="shared" si="59"/>
        <v>0.80311847498632993</v>
      </c>
      <c r="BY9" s="235">
        <f t="shared" si="25"/>
        <v>0.88936533559839437</v>
      </c>
      <c r="CA9" s="23"/>
      <c r="CB9" s="237"/>
      <c r="CC9" s="237"/>
      <c r="CD9" s="238"/>
      <c r="CE9" s="239"/>
      <c r="CF9" s="239"/>
      <c r="CG9" s="239"/>
      <c r="CH9" s="239"/>
      <c r="CJ9" s="10">
        <v>1</v>
      </c>
      <c r="CK9" s="450">
        <v>0</v>
      </c>
      <c r="CL9" s="450">
        <v>0</v>
      </c>
      <c r="CM9" s="450">
        <v>0</v>
      </c>
      <c r="CN9" s="450">
        <v>0</v>
      </c>
      <c r="CO9" s="451">
        <v>0.36493394078038721</v>
      </c>
      <c r="CP9" s="451">
        <v>0.62119322823262813</v>
      </c>
      <c r="CQ9" s="451">
        <v>0.11593544986331625</v>
      </c>
      <c r="CR9" s="451">
        <v>0.13440393866674227</v>
      </c>
      <c r="CS9" s="451">
        <v>26.615484611800117</v>
      </c>
      <c r="CT9" s="451">
        <v>26.202279103664271</v>
      </c>
      <c r="CU9" s="234">
        <v>0.41320550813584589</v>
      </c>
      <c r="CX9" s="377">
        <v>1</v>
      </c>
      <c r="CY9" s="335">
        <f t="shared" si="60"/>
        <v>3.4499999999999998E-4</v>
      </c>
      <c r="CZ9" s="338">
        <v>3.4499999999999998E-4</v>
      </c>
      <c r="DA9" s="345">
        <f t="shared" si="61"/>
        <v>2.5021179329242971E-2</v>
      </c>
      <c r="DB9" s="387">
        <f t="shared" si="62"/>
        <v>5.2165991930157918E-2</v>
      </c>
      <c r="DC9" s="114">
        <f t="shared" ref="DC9:DC72" si="91">VLOOKUP($CX9,$EO$64:$EW$74,9,TRUE)</f>
        <v>0</v>
      </c>
      <c r="DD9" s="378">
        <f t="shared" ref="DD9:DD72" si="92">VLOOKUP($CX9,$EO$78:$EW$88,9,TRUE)</f>
        <v>0</v>
      </c>
      <c r="DE9" s="378">
        <f t="shared" si="63"/>
        <v>0</v>
      </c>
      <c r="DF9" s="340">
        <f t="shared" ref="DF9:DF72" si="93">VLOOKUP($CX9,$EO$92:$EW$102,9,TRUE)</f>
        <v>0</v>
      </c>
      <c r="DG9" s="378">
        <f t="shared" ref="DG9:DG72" si="94">VLOOKUP($CX9,$EO$106:$EW$116,9,TRUE)</f>
        <v>0</v>
      </c>
      <c r="DH9" s="378">
        <f t="shared" si="64"/>
        <v>0</v>
      </c>
      <c r="DI9" s="200">
        <f>DI8+(DI18-DI8)/10</f>
        <v>0</v>
      </c>
      <c r="DJ9" s="350">
        <f t="shared" ref="DJ9:DM9" si="95">DJ8+(DJ18-DJ8)/10</f>
        <v>0</v>
      </c>
      <c r="DK9" s="350">
        <f t="shared" si="65"/>
        <v>0</v>
      </c>
      <c r="DL9" s="335">
        <f t="shared" si="95"/>
        <v>0</v>
      </c>
      <c r="DM9" s="350">
        <f t="shared" si="95"/>
        <v>0</v>
      </c>
      <c r="DN9" s="396">
        <f t="shared" si="66"/>
        <v>0</v>
      </c>
      <c r="DO9" s="335">
        <f>IF($DQ$6,DU9-DU8,0)</f>
        <v>0</v>
      </c>
      <c r="DP9" s="350">
        <f>IF($DQ$6,DV9-DV8,0)</f>
        <v>0</v>
      </c>
      <c r="DQ9" s="349">
        <f t="shared" si="67"/>
        <v>0</v>
      </c>
      <c r="DR9" s="335">
        <f>IF($DT$6,DX9-DX8,0)</f>
        <v>0</v>
      </c>
      <c r="DS9" s="350">
        <f>IF($DT$6,DY9-DY8,0)</f>
        <v>0</v>
      </c>
      <c r="DT9" s="349">
        <f t="shared" si="68"/>
        <v>0</v>
      </c>
      <c r="DU9" s="335">
        <f>DU8+(DU13-DU8)/5</f>
        <v>0</v>
      </c>
      <c r="DV9" s="350">
        <f>DV8+(DV13-DV8)/5</f>
        <v>0</v>
      </c>
      <c r="DW9" s="350">
        <f t="shared" si="69"/>
        <v>0</v>
      </c>
      <c r="DX9" s="335">
        <f>DX8+(DX13-DX8)/5</f>
        <v>0</v>
      </c>
      <c r="DY9" s="350">
        <f>DY8+(DY13-DY8)/5</f>
        <v>0</v>
      </c>
      <c r="DZ9" s="396">
        <f t="shared" si="70"/>
        <v>0</v>
      </c>
      <c r="EA9" s="350">
        <f t="shared" si="71"/>
        <v>0</v>
      </c>
      <c r="EB9" s="350">
        <f t="shared" si="72"/>
        <v>0</v>
      </c>
      <c r="EC9" s="349">
        <f t="shared" si="73"/>
        <v>0</v>
      </c>
      <c r="ED9" s="335">
        <f t="shared" si="74"/>
        <v>0</v>
      </c>
      <c r="EE9" s="350">
        <f t="shared" si="75"/>
        <v>0</v>
      </c>
      <c r="EF9" s="387">
        <f t="shared" si="76"/>
        <v>0</v>
      </c>
      <c r="EG9" s="335">
        <f t="shared" si="77"/>
        <v>0</v>
      </c>
      <c r="EH9" s="350">
        <f t="shared" si="78"/>
        <v>0</v>
      </c>
      <c r="EI9" s="387">
        <f t="shared" si="79"/>
        <v>0</v>
      </c>
      <c r="EJ9" s="335">
        <f t="shared" si="80"/>
        <v>0</v>
      </c>
      <c r="EK9" s="350">
        <f t="shared" si="81"/>
        <v>0</v>
      </c>
      <c r="EL9" s="387">
        <f t="shared" si="82"/>
        <v>0</v>
      </c>
      <c r="EO9" s="318">
        <v>10</v>
      </c>
      <c r="EP9" s="315"/>
      <c r="EQ9" s="320">
        <v>0</v>
      </c>
      <c r="ER9" s="315">
        <v>0</v>
      </c>
      <c r="ES9" s="315">
        <v>0</v>
      </c>
      <c r="ET9" s="320" t="e">
        <f t="shared" ref="ET9" si="96">EQ9^2*(1-EQ9)/((ES9-ER9)/(2*z))^2-EQ9</f>
        <v>#DIV/0!</v>
      </c>
      <c r="EU9" s="320" t="e">
        <f t="shared" ref="EU9" si="97">(EQ9^2*(1-EQ9)/((ES9-ER9)/(2*z))^2-EQ9)*(1-EQ9)/EQ9</f>
        <v>#DIV/0!</v>
      </c>
      <c r="EV9" s="350" t="e">
        <f t="shared" ref="EV9" ca="1" si="98">_xlfn.BETA.INV(RAND(),ET9,EU9)</f>
        <v>#DIV/0!</v>
      </c>
      <c r="EW9" s="362">
        <f t="shared" ref="EW9:EW18" si="99">MAX(EW8,IFERROR(IF(psa,EV9,EQ9),EQ9))</f>
        <v>0</v>
      </c>
      <c r="EY9" s="363">
        <v>5</v>
      </c>
      <c r="EZ9" s="346">
        <v>0</v>
      </c>
      <c r="FA9" s="347">
        <f t="shared" si="86"/>
        <v>0</v>
      </c>
      <c r="FB9" s="347">
        <f t="shared" si="87"/>
        <v>0</v>
      </c>
      <c r="FC9" s="33" t="e">
        <f t="shared" si="88"/>
        <v>#DIV/0!</v>
      </c>
      <c r="FD9" s="33" t="e">
        <f t="shared" si="89"/>
        <v>#DIV/0!</v>
      </c>
      <c r="FE9" s="308">
        <f t="shared" ref="FE9:FE28" ca="1" si="100">IFERROR(_xlfn.BETA.INV(RAND(),FC9,FD9),0)</f>
        <v>0</v>
      </c>
      <c r="FF9" s="364">
        <f>MIN(1,FF8+IF(psa,FE9,EZ9))</f>
        <v>0</v>
      </c>
      <c r="FH9" s="324">
        <v>45</v>
      </c>
      <c r="FI9" s="47"/>
      <c r="FJ9" s="323" t="s">
        <v>250</v>
      </c>
      <c r="FK9" s="323">
        <v>0.90599999999999992</v>
      </c>
      <c r="FL9" s="347">
        <f>FK9*(1-owsa_boc)</f>
        <v>0.7248</v>
      </c>
      <c r="FM9" s="347">
        <f>FK9*(1+owsa_boc)</f>
        <v>1.0871999999999999</v>
      </c>
      <c r="FN9" s="54">
        <f t="shared" ref="FN9:FN12" si="101">(LN(FM9)-LN(FL9))/(2*z)</f>
        <v>0.10343687723509756</v>
      </c>
      <c r="FO9" s="347">
        <f ca="1">_xlfn.LOGNORM.INV(RAND(),LN(FK9)-(FN9^2)/2,FN9)</f>
        <v>0.93593768148658874</v>
      </c>
      <c r="FP9" s="362">
        <f>IF($FP$6,IF(psa,FO9,FK9),1)</f>
        <v>0.90599999999999992</v>
      </c>
    </row>
    <row r="10" spans="1:172" ht="15" customHeight="1" x14ac:dyDescent="0.2">
      <c r="Q10" s="10">
        <v>4</v>
      </c>
      <c r="R10" s="10">
        <f t="shared" si="2"/>
        <v>49</v>
      </c>
      <c r="S10" s="309">
        <f t="shared" si="26"/>
        <v>0.57732468153867511</v>
      </c>
      <c r="T10" s="309">
        <f t="shared" si="27"/>
        <v>4.1941912375579012E-3</v>
      </c>
      <c r="U10" s="309">
        <f t="shared" si="28"/>
        <v>9.8381974479206779E-3</v>
      </c>
      <c r="V10" s="235">
        <f t="shared" si="29"/>
        <v>1.6491593881402446E-2</v>
      </c>
      <c r="W10" s="235">
        <f t="shared" si="30"/>
        <v>3.7262908850952299E-2</v>
      </c>
      <c r="X10" s="309">
        <f t="shared" si="31"/>
        <v>3.898105218869387E-4</v>
      </c>
      <c r="Y10" s="235">
        <f t="shared" si="32"/>
        <v>4.8516734465854153E-3</v>
      </c>
      <c r="Z10" s="235">
        <f t="shared" si="33"/>
        <v>1.4215297845277931E-2</v>
      </c>
      <c r="AA10" s="235">
        <f t="shared" si="34"/>
        <v>0.29209141160618746</v>
      </c>
      <c r="AB10" s="235">
        <f t="shared" si="35"/>
        <v>7.9452692385035206E-4</v>
      </c>
      <c r="AC10" s="235">
        <f t="shared" si="36"/>
        <v>4.3725609531921287E-3</v>
      </c>
      <c r="AD10" s="235">
        <f t="shared" si="37"/>
        <v>3.8173145746511254E-2</v>
      </c>
      <c r="AE10" s="235">
        <f t="shared" si="38"/>
        <v>1</v>
      </c>
      <c r="AF10" s="101">
        <f t="shared" si="3"/>
        <v>27.772981640369736</v>
      </c>
      <c r="AG10" s="101">
        <f t="shared" si="4"/>
        <v>51.656489328773432</v>
      </c>
      <c r="AH10" s="101">
        <f t="shared" si="5"/>
        <v>402.49628231103509</v>
      </c>
      <c r="AI10" s="101">
        <f t="shared" si="6"/>
        <v>80.251179692814418</v>
      </c>
      <c r="AJ10" s="101">
        <f t="shared" si="7"/>
        <v>696.26911663165163</v>
      </c>
      <c r="AK10" s="101">
        <f t="shared" si="39"/>
        <v>818.02553959606462</v>
      </c>
      <c r="AL10" s="235">
        <f t="shared" si="40"/>
        <v>0.48729822688970453</v>
      </c>
      <c r="AM10" s="235">
        <f t="shared" si="8"/>
        <v>1.1779395594533169E-2</v>
      </c>
      <c r="AN10" s="235">
        <f t="shared" si="9"/>
        <v>4.9467287039710643E-2</v>
      </c>
      <c r="AO10" s="235">
        <f t="shared" si="10"/>
        <v>8.3737616157969208E-3</v>
      </c>
      <c r="AP10" s="235">
        <f t="shared" si="11"/>
        <v>4.4332208130651697E-4</v>
      </c>
      <c r="AQ10" s="235">
        <f t="shared" si="12"/>
        <v>0.21300791709245726</v>
      </c>
      <c r="AR10" s="101">
        <f t="shared" si="41"/>
        <v>2076.4715892007089</v>
      </c>
      <c r="AS10" s="235">
        <f t="shared" si="42"/>
        <v>0.77036991031350899</v>
      </c>
      <c r="AT10" s="235">
        <f t="shared" si="13"/>
        <v>0.85457070234171584</v>
      </c>
      <c r="AV10" s="10">
        <v>4</v>
      </c>
      <c r="AW10" s="10">
        <f t="shared" si="43"/>
        <v>49</v>
      </c>
      <c r="AX10" s="309">
        <f t="shared" si="44"/>
        <v>0.6349869643185253</v>
      </c>
      <c r="AY10" s="309">
        <f t="shared" si="45"/>
        <v>6.5272111824523594E-5</v>
      </c>
      <c r="AZ10" s="309">
        <f t="shared" si="46"/>
        <v>6.5272111824523594E-5</v>
      </c>
      <c r="BA10" s="235">
        <f t="shared" si="47"/>
        <v>3.0420069952723575E-3</v>
      </c>
      <c r="BB10" s="235">
        <f t="shared" si="48"/>
        <v>5.5543848625487094E-3</v>
      </c>
      <c r="BC10" s="309">
        <f t="shared" si="49"/>
        <v>8.7951386261566323E-5</v>
      </c>
      <c r="BD10" s="235">
        <f t="shared" si="50"/>
        <v>4.6951602901384596E-3</v>
      </c>
      <c r="BE10" s="235">
        <f t="shared" si="51"/>
        <v>1.4942242837436703E-2</v>
      </c>
      <c r="BF10" s="235">
        <f t="shared" si="52"/>
        <v>0.2929832051526795</v>
      </c>
      <c r="BG10" s="235">
        <f t="shared" si="53"/>
        <v>8.309384923386767E-4</v>
      </c>
      <c r="BH10" s="235">
        <f t="shared" si="54"/>
        <v>4.4146626918103206E-3</v>
      </c>
      <c r="BI10" s="235">
        <f t="shared" si="55"/>
        <v>3.8331938749339385E-2</v>
      </c>
      <c r="BJ10" s="235">
        <f t="shared" si="56"/>
        <v>1.0000000000000002</v>
      </c>
      <c r="BK10" s="101">
        <f t="shared" si="14"/>
        <v>0.43221709756519616</v>
      </c>
      <c r="BL10" s="101">
        <f t="shared" si="15"/>
        <v>0.34271808080479521</v>
      </c>
      <c r="BM10" s="101">
        <f t="shared" si="16"/>
        <v>423.07922471387218</v>
      </c>
      <c r="BN10" s="101">
        <f t="shared" si="17"/>
        <v>83.928929606553183</v>
      </c>
      <c r="BO10" s="101">
        <f t="shared" si="18"/>
        <v>698.63880124271896</v>
      </c>
      <c r="BP10" s="101">
        <f t="shared" si="57"/>
        <v>821.04103450154378</v>
      </c>
      <c r="BQ10" s="235">
        <f t="shared" si="19"/>
        <v>0.53596880872269581</v>
      </c>
      <c r="BR10" s="235">
        <f t="shared" si="20"/>
        <v>1.0701369253490005E-4</v>
      </c>
      <c r="BS10" s="235">
        <f t="shared" si="21"/>
        <v>1.1218903333650092E-2</v>
      </c>
      <c r="BT10" s="235">
        <f t="shared" si="22"/>
        <v>8.80198085808012E-3</v>
      </c>
      <c r="BU10" s="235">
        <f t="shared" si="23"/>
        <v>4.6363863930011263E-4</v>
      </c>
      <c r="BV10" s="235">
        <f t="shared" si="24"/>
        <v>0.21367665110659942</v>
      </c>
      <c r="BW10" s="101">
        <f t="shared" si="58"/>
        <v>2027.4629252430582</v>
      </c>
      <c r="BX10" s="235">
        <f t="shared" si="59"/>
        <v>0.77023699635286036</v>
      </c>
      <c r="BY10" s="235">
        <f t="shared" si="25"/>
        <v>0.85442961681540353</v>
      </c>
      <c r="CA10" s="23"/>
      <c r="CB10" s="237"/>
      <c r="CC10" s="237"/>
      <c r="CD10" s="238"/>
      <c r="CE10" s="239"/>
      <c r="CF10" s="239"/>
      <c r="CG10" s="239"/>
      <c r="CH10" s="239"/>
      <c r="CJ10" s="10">
        <v>2</v>
      </c>
      <c r="CK10" s="450">
        <v>0</v>
      </c>
      <c r="CL10" s="450">
        <v>0</v>
      </c>
      <c r="CM10" s="450">
        <v>0</v>
      </c>
      <c r="CN10" s="450">
        <v>0</v>
      </c>
      <c r="CO10" s="451">
        <v>0.36501351372637925</v>
      </c>
      <c r="CP10" s="451">
        <v>0.62142247403241369</v>
      </c>
      <c r="CQ10" s="451">
        <v>0.11596072930230411</v>
      </c>
      <c r="CR10" s="451">
        <v>0.13443512057847865</v>
      </c>
      <c r="CS10" s="451">
        <v>26.494240320192311</v>
      </c>
      <c r="CT10" s="451">
        <v>26.066863838651795</v>
      </c>
      <c r="CU10" s="234">
        <v>0.42737648154051655</v>
      </c>
      <c r="CX10" s="377">
        <v>2</v>
      </c>
      <c r="CY10" s="335">
        <f t="shared" si="60"/>
        <v>2.1800000000000001E-4</v>
      </c>
      <c r="CZ10" s="338">
        <v>2.1800000000000001E-4</v>
      </c>
      <c r="DA10" s="345">
        <f t="shared" si="61"/>
        <v>2.5021179329242971E-2</v>
      </c>
      <c r="DB10" s="387">
        <f t="shared" si="62"/>
        <v>5.2165991930157918E-2</v>
      </c>
      <c r="DC10" s="114">
        <f t="shared" si="91"/>
        <v>0</v>
      </c>
      <c r="DD10" s="378">
        <f t="shared" si="92"/>
        <v>0</v>
      </c>
      <c r="DE10" s="378">
        <f t="shared" si="63"/>
        <v>0</v>
      </c>
      <c r="DF10" s="340">
        <f t="shared" si="93"/>
        <v>0</v>
      </c>
      <c r="DG10" s="378">
        <f t="shared" si="94"/>
        <v>0</v>
      </c>
      <c r="DH10" s="378">
        <f t="shared" si="64"/>
        <v>0</v>
      </c>
      <c r="DI10" s="340">
        <f>DI9+(DI18-DI8)/10</f>
        <v>0</v>
      </c>
      <c r="DJ10" s="349">
        <f t="shared" ref="DJ10:DM10" si="102">DJ9+(DJ18-DJ8)/10</f>
        <v>0</v>
      </c>
      <c r="DK10" s="350">
        <f t="shared" si="65"/>
        <v>0</v>
      </c>
      <c r="DL10" s="345">
        <f t="shared" si="102"/>
        <v>0</v>
      </c>
      <c r="DM10" s="349">
        <f t="shared" si="102"/>
        <v>0</v>
      </c>
      <c r="DN10" s="396">
        <f t="shared" si="66"/>
        <v>0</v>
      </c>
      <c r="DO10" s="335">
        <f t="shared" ref="DO10:DO73" si="103">IF($DQ$6,DU10-DU9,0)</f>
        <v>0</v>
      </c>
      <c r="DP10" s="350">
        <f t="shared" ref="DP10:DP73" si="104">IF($DQ$6,DV10-DV9,0)</f>
        <v>0</v>
      </c>
      <c r="DQ10" s="349">
        <f t="shared" si="67"/>
        <v>0</v>
      </c>
      <c r="DR10" s="335">
        <f t="shared" ref="DR10:DR73" si="105">IF($DT$6,DX10-DX9,0)</f>
        <v>0</v>
      </c>
      <c r="DS10" s="350">
        <f t="shared" ref="DS10:DS73" si="106">IF($DT$6,DY10-DY9,0)</f>
        <v>0</v>
      </c>
      <c r="DT10" s="349">
        <f t="shared" si="68"/>
        <v>0</v>
      </c>
      <c r="DU10" s="335">
        <f>DU9+(DU13-DU8)/5</f>
        <v>0</v>
      </c>
      <c r="DV10" s="350">
        <f>DV9+(DV13-DV8)/5</f>
        <v>0</v>
      </c>
      <c r="DW10" s="350">
        <f t="shared" si="69"/>
        <v>0</v>
      </c>
      <c r="DX10" s="335">
        <f>DX9+(DX13-DX8)/5</f>
        <v>0</v>
      </c>
      <c r="DY10" s="350">
        <f>DY9+(DY13-DY8)/5</f>
        <v>0</v>
      </c>
      <c r="DZ10" s="396">
        <f t="shared" si="70"/>
        <v>0</v>
      </c>
      <c r="EA10" s="350">
        <f t="shared" si="71"/>
        <v>0</v>
      </c>
      <c r="EB10" s="350">
        <f t="shared" si="72"/>
        <v>0</v>
      </c>
      <c r="EC10" s="349">
        <f t="shared" si="73"/>
        <v>0</v>
      </c>
      <c r="ED10" s="335">
        <f t="shared" si="74"/>
        <v>0</v>
      </c>
      <c r="EE10" s="350">
        <f t="shared" si="75"/>
        <v>0</v>
      </c>
      <c r="EF10" s="387">
        <f t="shared" si="76"/>
        <v>0</v>
      </c>
      <c r="EG10" s="335">
        <f t="shared" si="77"/>
        <v>0</v>
      </c>
      <c r="EH10" s="350">
        <f t="shared" si="78"/>
        <v>0</v>
      </c>
      <c r="EI10" s="387">
        <f t="shared" si="79"/>
        <v>0</v>
      </c>
      <c r="EJ10" s="335">
        <f t="shared" si="80"/>
        <v>0</v>
      </c>
      <c r="EK10" s="350">
        <f t="shared" si="81"/>
        <v>0</v>
      </c>
      <c r="EL10" s="387">
        <f t="shared" si="82"/>
        <v>0</v>
      </c>
      <c r="EO10" s="318">
        <v>20</v>
      </c>
      <c r="EP10" s="315" t="s">
        <v>196</v>
      </c>
      <c r="EQ10" s="320">
        <v>0</v>
      </c>
      <c r="ER10" s="315">
        <v>0</v>
      </c>
      <c r="ES10" s="315">
        <v>0</v>
      </c>
      <c r="ET10" s="320" t="e">
        <f t="shared" ref="ET10:ET16" si="107">EQ10^2*(1-EQ10)/((ES10-ER10)/(2*z))^2-EQ10</f>
        <v>#DIV/0!</v>
      </c>
      <c r="EU10" s="320" t="e">
        <f t="shared" ref="EU10:EU16" si="108">(EQ10^2*(1-EQ10)/((ES10-ER10)/(2*z))^2-EQ10)*(1-EQ10)/EQ10</f>
        <v>#DIV/0!</v>
      </c>
      <c r="EV10" s="350" t="e">
        <f t="shared" ref="EV10:EV16" ca="1" si="109">_xlfn.BETA.INV(RAND(),ET10,EU10)</f>
        <v>#DIV/0!</v>
      </c>
      <c r="EW10" s="362">
        <f t="shared" si="99"/>
        <v>0</v>
      </c>
      <c r="EY10" s="363">
        <v>10</v>
      </c>
      <c r="EZ10" s="346">
        <v>0</v>
      </c>
      <c r="FA10" s="347">
        <f t="shared" si="86"/>
        <v>0</v>
      </c>
      <c r="FB10" s="347">
        <f t="shared" si="87"/>
        <v>0</v>
      </c>
      <c r="FC10" s="33" t="e">
        <f t="shared" si="88"/>
        <v>#DIV/0!</v>
      </c>
      <c r="FD10" s="33" t="e">
        <f t="shared" si="89"/>
        <v>#DIV/0!</v>
      </c>
      <c r="FE10" s="308">
        <f t="shared" ca="1" si="100"/>
        <v>0</v>
      </c>
      <c r="FF10" s="364">
        <f>MIN(1,FF9+IF(psa,FE10,EZ10))</f>
        <v>0</v>
      </c>
      <c r="FG10" s="234"/>
      <c r="FH10" s="324">
        <v>55</v>
      </c>
      <c r="FI10" s="47"/>
      <c r="FJ10" s="323" t="s">
        <v>251</v>
      </c>
      <c r="FK10" s="323">
        <v>0.90099999999999991</v>
      </c>
      <c r="FL10" s="347">
        <f>FK10*(1-owsa_boc)</f>
        <v>0.7208</v>
      </c>
      <c r="FM10" s="347">
        <f>FK10*(1+owsa_boc)</f>
        <v>1.0811999999999999</v>
      </c>
      <c r="FN10" s="54">
        <f t="shared" si="101"/>
        <v>0.10343687723509755</v>
      </c>
      <c r="FO10" s="347">
        <f ca="1">_xlfn.LOGNORM.INV(RAND(),LN(FK10)-(FN10^2)/2,FN10)</f>
        <v>0.98499281809499262</v>
      </c>
      <c r="FP10" s="362">
        <f>IF($FP$6,IF(psa,FO10,FK10),1)</f>
        <v>0.90099999999999991</v>
      </c>
    </row>
    <row r="11" spans="1:172" ht="15" customHeight="1" x14ac:dyDescent="0.2">
      <c r="Q11" s="10">
        <v>5</v>
      </c>
      <c r="R11" s="10">
        <f t="shared" si="2"/>
        <v>50</v>
      </c>
      <c r="S11" s="309">
        <f t="shared" si="26"/>
        <v>0.54333971415731053</v>
      </c>
      <c r="T11" s="309">
        <f t="shared" si="27"/>
        <v>3.9842353168588873E-3</v>
      </c>
      <c r="U11" s="309">
        <f t="shared" si="28"/>
        <v>9.3457096985065657E-3</v>
      </c>
      <c r="V11" s="235">
        <f t="shared" si="29"/>
        <v>2.0285134226513728E-2</v>
      </c>
      <c r="W11" s="235">
        <f t="shared" si="30"/>
        <v>4.6096102174326574E-2</v>
      </c>
      <c r="X11" s="309">
        <f t="shared" si="31"/>
        <v>5.2412421642472531E-4</v>
      </c>
      <c r="Y11" s="235">
        <f t="shared" si="32"/>
        <v>5.2185114761269333E-3</v>
      </c>
      <c r="Z11" s="235">
        <f t="shared" si="33"/>
        <v>1.65464690617582E-2</v>
      </c>
      <c r="AA11" s="235">
        <f t="shared" si="34"/>
        <v>0.29774492687413295</v>
      </c>
      <c r="AB11" s="235">
        <f t="shared" si="35"/>
        <v>2.9685388895924715E-3</v>
      </c>
      <c r="AC11" s="235">
        <f t="shared" si="36"/>
        <v>4.611323228686617E-3</v>
      </c>
      <c r="AD11" s="235">
        <f t="shared" si="37"/>
        <v>4.9335210679761703E-2</v>
      </c>
      <c r="AE11" s="235">
        <f t="shared" si="38"/>
        <v>0.99999999999999978</v>
      </c>
      <c r="AF11" s="101">
        <f t="shared" si="3"/>
        <v>25.614273035145271</v>
      </c>
      <c r="AG11" s="101">
        <f t="shared" si="4"/>
        <v>47.641388988677647</v>
      </c>
      <c r="AH11" s="101">
        <f t="shared" si="5"/>
        <v>454.85609292048531</v>
      </c>
      <c r="AI11" s="101">
        <f t="shared" si="6"/>
        <v>291.10410172022893</v>
      </c>
      <c r="AJ11" s="101">
        <f t="shared" si="7"/>
        <v>690.34271952282631</v>
      </c>
      <c r="AK11" s="101">
        <f t="shared" si="39"/>
        <v>883.83351694488738</v>
      </c>
      <c r="AL11" s="235">
        <f t="shared" si="40"/>
        <v>0.44525512982003296</v>
      </c>
      <c r="AM11" s="235">
        <f t="shared" si="8"/>
        <v>1.0931419963450184E-2</v>
      </c>
      <c r="AN11" s="235">
        <f t="shared" si="9"/>
        <v>5.8674442904445179E-2</v>
      </c>
      <c r="AO11" s="235">
        <f t="shared" si="10"/>
        <v>9.463084900410498E-3</v>
      </c>
      <c r="AP11" s="235">
        <f t="shared" si="11"/>
        <v>1.6081118900116442E-3</v>
      </c>
      <c r="AQ11" s="235">
        <f t="shared" si="12"/>
        <v>0.21090227834201647</v>
      </c>
      <c r="AR11" s="101">
        <f t="shared" si="41"/>
        <v>2393.3920931322509</v>
      </c>
      <c r="AS11" s="235">
        <f t="shared" si="42"/>
        <v>0.73683446782036699</v>
      </c>
      <c r="AT11" s="235">
        <f t="shared" si="13"/>
        <v>0.82005179827235808</v>
      </c>
      <c r="AV11" s="10">
        <v>5</v>
      </c>
      <c r="AW11" s="10">
        <f t="shared" si="43"/>
        <v>50</v>
      </c>
      <c r="AX11" s="309">
        <f t="shared" si="44"/>
        <v>0.61214195335457833</v>
      </c>
      <c r="AY11" s="309">
        <f t="shared" si="45"/>
        <v>6.349869643185253E-5</v>
      </c>
      <c r="AZ11" s="309">
        <f t="shared" si="46"/>
        <v>6.349869643185253E-5</v>
      </c>
      <c r="BA11" s="235">
        <f t="shared" si="47"/>
        <v>3.033375830903599E-3</v>
      </c>
      <c r="BB11" s="235">
        <f t="shared" si="48"/>
        <v>5.4698517157846533E-3</v>
      </c>
      <c r="BC11" s="309">
        <f t="shared" si="49"/>
        <v>8.7575834237129614E-5</v>
      </c>
      <c r="BD11" s="235">
        <f t="shared" si="50"/>
        <v>4.7608802679977068E-3</v>
      </c>
      <c r="BE11" s="235">
        <f t="shared" si="51"/>
        <v>1.765580000516526E-2</v>
      </c>
      <c r="BF11" s="235">
        <f t="shared" si="52"/>
        <v>0.2993184189751778</v>
      </c>
      <c r="BG11" s="235">
        <f t="shared" si="53"/>
        <v>3.1363622444254085E-3</v>
      </c>
      <c r="BH11" s="235">
        <f t="shared" si="54"/>
        <v>4.6813917557635186E-3</v>
      </c>
      <c r="BI11" s="235">
        <f t="shared" si="55"/>
        <v>4.9587392623103001E-2</v>
      </c>
      <c r="BJ11" s="235">
        <f t="shared" si="56"/>
        <v>1</v>
      </c>
      <c r="BK11" s="101">
        <f t="shared" si="14"/>
        <v>0.40822712978297748</v>
      </c>
      <c r="BL11" s="101">
        <f t="shared" si="15"/>
        <v>0.32369570579185247</v>
      </c>
      <c r="BM11" s="101">
        <f t="shared" si="16"/>
        <v>485.35117539340501</v>
      </c>
      <c r="BN11" s="101">
        <f t="shared" si="17"/>
        <v>307.56137877581909</v>
      </c>
      <c r="BO11" s="101">
        <f t="shared" si="18"/>
        <v>694.36731928580662</v>
      </c>
      <c r="BP11" s="101">
        <f t="shared" si="57"/>
        <v>889.32207456269362</v>
      </c>
      <c r="BQ11" s="235">
        <f t="shared" si="19"/>
        <v>0.50163707494105347</v>
      </c>
      <c r="BR11" s="235">
        <f t="shared" si="20"/>
        <v>1.0106956195891919E-4</v>
      </c>
      <c r="BS11" s="235">
        <f t="shared" si="21"/>
        <v>1.0869649122068408E-2</v>
      </c>
      <c r="BT11" s="235">
        <f t="shared" si="22"/>
        <v>1.0097521943197803E-2</v>
      </c>
      <c r="BU11" s="235">
        <f t="shared" si="23"/>
        <v>1.6990248752767753E-3</v>
      </c>
      <c r="BV11" s="235">
        <f t="shared" si="24"/>
        <v>0.21204521595333309</v>
      </c>
      <c r="BW11" s="101">
        <f t="shared" si="58"/>
        <v>2377.3338708532992</v>
      </c>
      <c r="BX11" s="235">
        <f t="shared" si="59"/>
        <v>0.73644955639688847</v>
      </c>
      <c r="BY11" s="235">
        <f t="shared" si="25"/>
        <v>0.81983426391276903</v>
      </c>
      <c r="CA11" s="23"/>
      <c r="CB11" s="237"/>
      <c r="CC11" s="237"/>
      <c r="CD11" s="238"/>
      <c r="CE11" s="239"/>
      <c r="CF11" s="239"/>
      <c r="CG11" s="239"/>
      <c r="CH11" s="239"/>
      <c r="CJ11" s="10">
        <v>3</v>
      </c>
      <c r="CK11" s="450">
        <v>0</v>
      </c>
      <c r="CL11" s="450">
        <v>0</v>
      </c>
      <c r="CM11" s="450">
        <v>0</v>
      </c>
      <c r="CN11" s="450">
        <v>0</v>
      </c>
      <c r="CO11" s="451">
        <v>0.36507119497518531</v>
      </c>
      <c r="CP11" s="451">
        <v>0.62161449926212986</v>
      </c>
      <c r="CQ11" s="451">
        <v>0.11597905399283495</v>
      </c>
      <c r="CR11" s="451">
        <v>0.1344582414082586</v>
      </c>
      <c r="CS11" s="451">
        <v>26.367744913223799</v>
      </c>
      <c r="CT11" s="451">
        <v>25.925794768444224</v>
      </c>
      <c r="CU11" s="234">
        <v>0.44195014477957528</v>
      </c>
      <c r="CX11" s="377">
        <v>3</v>
      </c>
      <c r="CY11" s="335">
        <f t="shared" si="60"/>
        <v>1.5799999999999999E-4</v>
      </c>
      <c r="CZ11" s="338">
        <v>1.5799999999999999E-4</v>
      </c>
      <c r="DA11" s="345">
        <f t="shared" si="61"/>
        <v>2.5021179329242971E-2</v>
      </c>
      <c r="DB11" s="387">
        <f t="shared" si="62"/>
        <v>5.2165991930157918E-2</v>
      </c>
      <c r="DC11" s="114">
        <f t="shared" si="91"/>
        <v>0</v>
      </c>
      <c r="DD11" s="378">
        <f t="shared" si="92"/>
        <v>0</v>
      </c>
      <c r="DE11" s="378">
        <f t="shared" si="63"/>
        <v>0</v>
      </c>
      <c r="DF11" s="340">
        <f t="shared" si="93"/>
        <v>0</v>
      </c>
      <c r="DG11" s="378">
        <f t="shared" si="94"/>
        <v>0</v>
      </c>
      <c r="DH11" s="378">
        <f t="shared" si="64"/>
        <v>0</v>
      </c>
      <c r="DI11" s="340">
        <f>DI10+(DI18-DI8)/10</f>
        <v>0</v>
      </c>
      <c r="DJ11" s="349">
        <f t="shared" ref="DJ11:DM11" si="110">DJ10+(DJ18-DJ8)/10</f>
        <v>0</v>
      </c>
      <c r="DK11" s="350">
        <f t="shared" si="65"/>
        <v>0</v>
      </c>
      <c r="DL11" s="345">
        <f t="shared" si="110"/>
        <v>0</v>
      </c>
      <c r="DM11" s="349">
        <f t="shared" si="110"/>
        <v>0</v>
      </c>
      <c r="DN11" s="396">
        <f t="shared" si="66"/>
        <v>0</v>
      </c>
      <c r="DO11" s="335">
        <f t="shared" si="103"/>
        <v>0</v>
      </c>
      <c r="DP11" s="350">
        <f t="shared" si="104"/>
        <v>0</v>
      </c>
      <c r="DQ11" s="349">
        <f t="shared" si="67"/>
        <v>0</v>
      </c>
      <c r="DR11" s="335">
        <f t="shared" si="105"/>
        <v>0</v>
      </c>
      <c r="DS11" s="350">
        <f t="shared" si="106"/>
        <v>0</v>
      </c>
      <c r="DT11" s="349">
        <f t="shared" si="68"/>
        <v>0</v>
      </c>
      <c r="DU11" s="335">
        <f>DU10+(DU13-DU8)/5</f>
        <v>0</v>
      </c>
      <c r="DV11" s="350">
        <f>DV10+(DV13-DV8)/5</f>
        <v>0</v>
      </c>
      <c r="DW11" s="350">
        <f t="shared" si="69"/>
        <v>0</v>
      </c>
      <c r="DX11" s="335">
        <f>DX10+(DX13-DX8)/5</f>
        <v>0</v>
      </c>
      <c r="DY11" s="350">
        <f>DY10+(DY13-DY8)/5</f>
        <v>0</v>
      </c>
      <c r="DZ11" s="396">
        <f t="shared" si="70"/>
        <v>0</v>
      </c>
      <c r="EA11" s="350">
        <f t="shared" si="71"/>
        <v>0</v>
      </c>
      <c r="EB11" s="350">
        <f t="shared" si="72"/>
        <v>0</v>
      </c>
      <c r="EC11" s="349">
        <f t="shared" si="73"/>
        <v>0</v>
      </c>
      <c r="ED11" s="335">
        <f t="shared" si="74"/>
        <v>0</v>
      </c>
      <c r="EE11" s="350">
        <f t="shared" si="75"/>
        <v>0</v>
      </c>
      <c r="EF11" s="387">
        <f t="shared" si="76"/>
        <v>0</v>
      </c>
      <c r="EG11" s="335">
        <f t="shared" si="77"/>
        <v>0</v>
      </c>
      <c r="EH11" s="350">
        <f t="shared" si="78"/>
        <v>0</v>
      </c>
      <c r="EI11" s="387">
        <f t="shared" si="79"/>
        <v>0</v>
      </c>
      <c r="EJ11" s="335">
        <f t="shared" si="80"/>
        <v>0</v>
      </c>
      <c r="EK11" s="350">
        <f t="shared" si="81"/>
        <v>0</v>
      </c>
      <c r="EL11" s="387">
        <f t="shared" si="82"/>
        <v>0</v>
      </c>
      <c r="EO11" s="318">
        <v>30</v>
      </c>
      <c r="EP11" s="315" t="s">
        <v>197</v>
      </c>
      <c r="EQ11" s="308">
        <v>0.04</v>
      </c>
      <c r="ER11" s="308">
        <v>0.02</v>
      </c>
      <c r="ES11" s="308">
        <v>7.0000000000000007E-2</v>
      </c>
      <c r="ET11" s="320">
        <f t="shared" si="107"/>
        <v>9.4007691977378798</v>
      </c>
      <c r="EU11" s="320">
        <f t="shared" si="108"/>
        <v>225.61846074570909</v>
      </c>
      <c r="EV11" s="350">
        <f t="shared" ca="1" si="109"/>
        <v>6.4628126482664361E-2</v>
      </c>
      <c r="EW11" s="362">
        <f t="shared" si="99"/>
        <v>0.04</v>
      </c>
      <c r="EY11" s="363">
        <v>15</v>
      </c>
      <c r="EZ11" s="346">
        <v>0</v>
      </c>
      <c r="FA11" s="347">
        <f t="shared" si="86"/>
        <v>0</v>
      </c>
      <c r="FB11" s="347">
        <f t="shared" si="87"/>
        <v>0</v>
      </c>
      <c r="FC11" s="33" t="e">
        <f t="shared" si="88"/>
        <v>#DIV/0!</v>
      </c>
      <c r="FD11" s="33" t="e">
        <f t="shared" si="89"/>
        <v>#DIV/0!</v>
      </c>
      <c r="FE11" s="308">
        <f t="shared" ca="1" si="100"/>
        <v>0</v>
      </c>
      <c r="FF11" s="364">
        <f t="shared" ref="FF11:FF28" si="111">MIN(1,FF10+IF(psa,FE11,EZ11))</f>
        <v>0</v>
      </c>
      <c r="FH11" s="324">
        <v>65</v>
      </c>
      <c r="FI11" s="47"/>
      <c r="FJ11" s="323" t="s">
        <v>252</v>
      </c>
      <c r="FK11" s="323">
        <v>0.91400000000000003</v>
      </c>
      <c r="FL11" s="347">
        <f>FK11*(1-owsa_boc)</f>
        <v>0.73120000000000007</v>
      </c>
      <c r="FM11" s="347">
        <f>FK11*(1+owsa_boc)</f>
        <v>1.0968</v>
      </c>
      <c r="FN11" s="54">
        <f t="shared" si="101"/>
        <v>0.10343687723509754</v>
      </c>
      <c r="FO11" s="347">
        <f ca="1">_xlfn.LOGNORM.INV(RAND(),LN(FK11)-(FN11^2)/2,FN11)</f>
        <v>0.98256871685484126</v>
      </c>
      <c r="FP11" s="362">
        <f>IF($FP$6,IF(psa,FO11,FK11),1)</f>
        <v>0.91400000000000003</v>
      </c>
    </row>
    <row r="12" spans="1:172" ht="15" customHeight="1" x14ac:dyDescent="0.2">
      <c r="Q12" s="10">
        <v>6</v>
      </c>
      <c r="R12" s="10">
        <f t="shared" si="2"/>
        <v>51</v>
      </c>
      <c r="S12" s="309">
        <f t="shared" si="26"/>
        <v>0.52050418591014125</v>
      </c>
      <c r="T12" s="309">
        <f t="shared" si="27"/>
        <v>3.2469562584288984E-4</v>
      </c>
      <c r="U12" s="309">
        <f t="shared" si="28"/>
        <v>3.884294621169434E-3</v>
      </c>
      <c r="V12" s="235">
        <f t="shared" si="29"/>
        <v>2.3954255960901984E-2</v>
      </c>
      <c r="W12" s="235">
        <f t="shared" si="30"/>
        <v>5.4528333791273843E-2</v>
      </c>
      <c r="X12" s="309">
        <f t="shared" si="31"/>
        <v>1.7256356947066814E-4</v>
      </c>
      <c r="Y12" s="235">
        <f t="shared" si="32"/>
        <v>5.7164702711521125E-3</v>
      </c>
      <c r="Z12" s="235">
        <f t="shared" si="33"/>
        <v>1.4725285401066769E-2</v>
      </c>
      <c r="AA12" s="235">
        <f t="shared" si="34"/>
        <v>0.30550642807557804</v>
      </c>
      <c r="AB12" s="235">
        <f t="shared" si="35"/>
        <v>2.8348476347012856E-3</v>
      </c>
      <c r="AC12" s="235">
        <f t="shared" si="36"/>
        <v>6.7645828923406058E-3</v>
      </c>
      <c r="AD12" s="235">
        <f t="shared" si="37"/>
        <v>6.1084056246361124E-2</v>
      </c>
      <c r="AE12" s="235">
        <f t="shared" si="38"/>
        <v>1</v>
      </c>
      <c r="AF12" s="101">
        <f t="shared" si="3"/>
        <v>2.0266383993277608</v>
      </c>
      <c r="AG12" s="101">
        <f t="shared" si="4"/>
        <v>19.224146482493744</v>
      </c>
      <c r="AH12" s="101">
        <f t="shared" si="5"/>
        <v>393.0023806539354</v>
      </c>
      <c r="AI12" s="101">
        <f t="shared" si="6"/>
        <v>269.89701351014867</v>
      </c>
      <c r="AJ12" s="101">
        <f t="shared" si="7"/>
        <v>703.96229933026996</v>
      </c>
      <c r="AK12" s="101">
        <f t="shared" si="39"/>
        <v>915.78011494155351</v>
      </c>
      <c r="AL12" s="235">
        <f t="shared" si="40"/>
        <v>0.414118358175801</v>
      </c>
      <c r="AM12" s="235">
        <f t="shared" si="8"/>
        <v>3.4114382801598109E-3</v>
      </c>
      <c r="AN12" s="235">
        <f t="shared" si="9"/>
        <v>6.6989617837244234E-2</v>
      </c>
      <c r="AO12" s="235">
        <f t="shared" si="10"/>
        <v>8.1762450851499691E-3</v>
      </c>
      <c r="AP12" s="235">
        <f t="shared" si="11"/>
        <v>1.4909600858919914E-3</v>
      </c>
      <c r="AQ12" s="235">
        <f t="shared" si="12"/>
        <v>0.21132299410771674</v>
      </c>
      <c r="AR12" s="101">
        <f t="shared" si="41"/>
        <v>2303.8925933177293</v>
      </c>
      <c r="AS12" s="235">
        <f t="shared" si="42"/>
        <v>0.70550961357196373</v>
      </c>
      <c r="AT12" s="235">
        <f t="shared" si="13"/>
        <v>0.78632732124294824</v>
      </c>
      <c r="AV12" s="10">
        <v>6</v>
      </c>
      <c r="AW12" s="10">
        <f t="shared" si="43"/>
        <v>51</v>
      </c>
      <c r="AX12" s="309">
        <f t="shared" si="44"/>
        <v>0.59103433824083973</v>
      </c>
      <c r="AY12" s="309">
        <f t="shared" si="45"/>
        <v>6.1214195335457838E-5</v>
      </c>
      <c r="AZ12" s="309">
        <f t="shared" si="46"/>
        <v>6.1214195335457838E-5</v>
      </c>
      <c r="BA12" s="235">
        <f t="shared" si="47"/>
        <v>3.0497534230636103E-3</v>
      </c>
      <c r="BB12" s="235">
        <f t="shared" si="48"/>
        <v>5.4249553545855454E-3</v>
      </c>
      <c r="BC12" s="309">
        <f t="shared" si="49"/>
        <v>2.4954116175949491E-5</v>
      </c>
      <c r="BD12" s="235">
        <f t="shared" si="50"/>
        <v>4.8245852266001242E-3</v>
      </c>
      <c r="BE12" s="235">
        <f t="shared" si="51"/>
        <v>1.5929900958363049E-2</v>
      </c>
      <c r="BF12" s="235">
        <f t="shared" si="52"/>
        <v>0.30811426174862111</v>
      </c>
      <c r="BG12" s="235">
        <f t="shared" si="53"/>
        <v>3.0245499083408176E-3</v>
      </c>
      <c r="BH12" s="235">
        <f t="shared" si="54"/>
        <v>6.9768874606141191E-3</v>
      </c>
      <c r="BI12" s="235">
        <f t="shared" si="55"/>
        <v>6.1473385172125146E-2</v>
      </c>
      <c r="BJ12" s="235">
        <f t="shared" si="56"/>
        <v>1</v>
      </c>
      <c r="BK12" s="101">
        <f t="shared" si="14"/>
        <v>0.38207794924474126</v>
      </c>
      <c r="BL12" s="101">
        <f t="shared" si="15"/>
        <v>0.30296122532088815</v>
      </c>
      <c r="BM12" s="101">
        <f t="shared" si="16"/>
        <v>425.15230297434823</v>
      </c>
      <c r="BN12" s="101">
        <f t="shared" si="17"/>
        <v>287.95797611168535</v>
      </c>
      <c r="BO12" s="101">
        <f t="shared" si="18"/>
        <v>711.20718237934864</v>
      </c>
      <c r="BP12" s="101">
        <f t="shared" si="57"/>
        <v>926.28255492451979</v>
      </c>
      <c r="BQ12" s="235">
        <f t="shared" si="19"/>
        <v>0.47023285576433793</v>
      </c>
      <c r="BR12" s="235">
        <f t="shared" si="20"/>
        <v>9.459344673060522E-5</v>
      </c>
      <c r="BS12" s="235">
        <f t="shared" si="21"/>
        <v>1.0581051885887786E-2</v>
      </c>
      <c r="BT12" s="235">
        <f t="shared" si="22"/>
        <v>8.8451103574743589E-3</v>
      </c>
      <c r="BU12" s="235">
        <f t="shared" si="23"/>
        <v>1.5907321211637588E-3</v>
      </c>
      <c r="BV12" s="235">
        <f t="shared" si="24"/>
        <v>0.21322006726850423</v>
      </c>
      <c r="BW12" s="101">
        <f t="shared" si="58"/>
        <v>2351.2850555644677</v>
      </c>
      <c r="BX12" s="235">
        <f t="shared" si="59"/>
        <v>0.70456441084409871</v>
      </c>
      <c r="BY12" s="235">
        <f t="shared" si="25"/>
        <v>0.78600126439694917</v>
      </c>
      <c r="CA12" s="23"/>
      <c r="CB12" s="237"/>
      <c r="CC12" s="237"/>
      <c r="CD12" s="238"/>
      <c r="CE12" s="239"/>
      <c r="CF12" s="239"/>
      <c r="CG12" s="239"/>
      <c r="CH12" s="239"/>
      <c r="CJ12" s="10">
        <v>4</v>
      </c>
      <c r="CK12" s="450">
        <v>0</v>
      </c>
      <c r="CL12" s="450">
        <v>0</v>
      </c>
      <c r="CM12" s="450">
        <v>0</v>
      </c>
      <c r="CN12" s="450">
        <v>0</v>
      </c>
      <c r="CO12" s="451">
        <v>0.36511866040103741</v>
      </c>
      <c r="CP12" s="451">
        <v>0.62178917323578842</v>
      </c>
      <c r="CQ12" s="451">
        <v>0.11599413323015491</v>
      </c>
      <c r="CR12" s="451">
        <v>0.13447760076866011</v>
      </c>
      <c r="CS12" s="451">
        <v>26.236697396320864</v>
      </c>
      <c r="CT12" s="451">
        <v>25.779743418929954</v>
      </c>
      <c r="CU12" s="234">
        <v>0.45695397739090993</v>
      </c>
      <c r="CX12" s="377">
        <v>4</v>
      </c>
      <c r="CY12" s="335">
        <f t="shared" si="60"/>
        <v>1.2999999999999999E-4</v>
      </c>
      <c r="CZ12" s="338">
        <v>1.2999999999999999E-4</v>
      </c>
      <c r="DA12" s="345">
        <f t="shared" si="61"/>
        <v>2.5021179329242971E-2</v>
      </c>
      <c r="DB12" s="387">
        <f t="shared" si="62"/>
        <v>5.2165991930157918E-2</v>
      </c>
      <c r="DC12" s="114">
        <f t="shared" si="91"/>
        <v>0</v>
      </c>
      <c r="DD12" s="378">
        <f t="shared" si="92"/>
        <v>0</v>
      </c>
      <c r="DE12" s="378">
        <f t="shared" si="63"/>
        <v>0</v>
      </c>
      <c r="DF12" s="340">
        <f t="shared" si="93"/>
        <v>0</v>
      </c>
      <c r="DG12" s="378">
        <f t="shared" si="94"/>
        <v>0</v>
      </c>
      <c r="DH12" s="378">
        <f t="shared" si="64"/>
        <v>0</v>
      </c>
      <c r="DI12" s="340">
        <f>DI11+(DI18-DI8)/10</f>
        <v>0</v>
      </c>
      <c r="DJ12" s="349">
        <f t="shared" ref="DJ12:DM12" si="112">DJ11+(DJ18-DJ8)/10</f>
        <v>0</v>
      </c>
      <c r="DK12" s="350">
        <f t="shared" si="65"/>
        <v>0</v>
      </c>
      <c r="DL12" s="345">
        <f t="shared" si="112"/>
        <v>0</v>
      </c>
      <c r="DM12" s="349">
        <f t="shared" si="112"/>
        <v>0</v>
      </c>
      <c r="DN12" s="396">
        <f t="shared" si="66"/>
        <v>0</v>
      </c>
      <c r="DO12" s="335">
        <f t="shared" si="103"/>
        <v>0</v>
      </c>
      <c r="DP12" s="350">
        <f t="shared" si="104"/>
        <v>0</v>
      </c>
      <c r="DQ12" s="349">
        <f t="shared" si="67"/>
        <v>0</v>
      </c>
      <c r="DR12" s="335">
        <f t="shared" si="105"/>
        <v>0</v>
      </c>
      <c r="DS12" s="350">
        <f t="shared" si="106"/>
        <v>0</v>
      </c>
      <c r="DT12" s="349">
        <f t="shared" si="68"/>
        <v>0</v>
      </c>
      <c r="DU12" s="335">
        <f>DU11+(DU13-DU8)/5</f>
        <v>0</v>
      </c>
      <c r="DV12" s="350">
        <f>DV11+(DV13-DV8)/5</f>
        <v>0</v>
      </c>
      <c r="DW12" s="350">
        <f t="shared" si="69"/>
        <v>0</v>
      </c>
      <c r="DX12" s="335">
        <f>DX11+(DX13-DX8)/5</f>
        <v>0</v>
      </c>
      <c r="DY12" s="350">
        <f>DY11+(DY13-DY8)/5</f>
        <v>0</v>
      </c>
      <c r="DZ12" s="396">
        <f t="shared" si="70"/>
        <v>0</v>
      </c>
      <c r="EA12" s="350">
        <f t="shared" si="71"/>
        <v>0</v>
      </c>
      <c r="EB12" s="350">
        <f t="shared" si="72"/>
        <v>0</v>
      </c>
      <c r="EC12" s="349">
        <f t="shared" si="73"/>
        <v>0</v>
      </c>
      <c r="ED12" s="335">
        <f t="shared" si="74"/>
        <v>0</v>
      </c>
      <c r="EE12" s="350">
        <f t="shared" si="75"/>
        <v>0</v>
      </c>
      <c r="EF12" s="387">
        <f t="shared" si="76"/>
        <v>0</v>
      </c>
      <c r="EG12" s="335">
        <f t="shared" si="77"/>
        <v>0</v>
      </c>
      <c r="EH12" s="350">
        <f t="shared" si="78"/>
        <v>0</v>
      </c>
      <c r="EI12" s="387">
        <f t="shared" si="79"/>
        <v>0</v>
      </c>
      <c r="EJ12" s="335">
        <f t="shared" si="80"/>
        <v>0</v>
      </c>
      <c r="EK12" s="350">
        <f t="shared" si="81"/>
        <v>0</v>
      </c>
      <c r="EL12" s="387">
        <f t="shared" si="82"/>
        <v>0</v>
      </c>
      <c r="EO12" s="318">
        <v>40</v>
      </c>
      <c r="EP12" s="315" t="s">
        <v>198</v>
      </c>
      <c r="EQ12" s="308">
        <v>0.24</v>
      </c>
      <c r="ER12" s="308">
        <v>0.21</v>
      </c>
      <c r="ES12" s="308">
        <v>0.28999999999999998</v>
      </c>
      <c r="ET12" s="320">
        <f t="shared" si="107"/>
        <v>104.86231333419126</v>
      </c>
      <c r="EU12" s="320">
        <f t="shared" si="108"/>
        <v>332.063992224939</v>
      </c>
      <c r="EV12" s="350">
        <f t="shared" ca="1" si="109"/>
        <v>0.25215339593754915</v>
      </c>
      <c r="EW12" s="362">
        <f t="shared" si="99"/>
        <v>0.24</v>
      </c>
      <c r="EY12" s="363">
        <v>20</v>
      </c>
      <c r="EZ12" s="346">
        <v>5.3999999999999999E-2</v>
      </c>
      <c r="FA12" s="347">
        <f t="shared" si="86"/>
        <v>4.3200000000000002E-2</v>
      </c>
      <c r="FB12" s="347">
        <f t="shared" si="87"/>
        <v>6.4799999999999996E-2</v>
      </c>
      <c r="FC12" s="33">
        <f t="shared" si="88"/>
        <v>90.79650110941607</v>
      </c>
      <c r="FD12" s="33">
        <f t="shared" si="89"/>
        <v>1590.6201861019927</v>
      </c>
      <c r="FE12" s="308">
        <f t="shared" ca="1" si="100"/>
        <v>6.0216549530907604E-2</v>
      </c>
      <c r="FF12" s="364">
        <f t="shared" si="111"/>
        <v>5.3999999999999999E-2</v>
      </c>
      <c r="FG12" s="234"/>
      <c r="FH12" s="324">
        <v>75</v>
      </c>
      <c r="FI12" s="47"/>
      <c r="FJ12" s="323" t="s">
        <v>253</v>
      </c>
      <c r="FK12" s="323">
        <v>0.871</v>
      </c>
      <c r="FL12" s="347">
        <f>FK12*(1-owsa_boc)</f>
        <v>0.69680000000000009</v>
      </c>
      <c r="FM12" s="347">
        <f>FK12*(1+owsa_boc)</f>
        <v>1.0451999999999999</v>
      </c>
      <c r="FN12" s="54">
        <f t="shared" si="101"/>
        <v>0.10343687723509751</v>
      </c>
      <c r="FO12" s="347">
        <f ca="1">_xlfn.LOGNORM.INV(RAND(),LN(FK12)-(FN12^2)/2,FN12)</f>
        <v>0.87698040644261466</v>
      </c>
      <c r="FP12" s="362">
        <f>IF($FP$6,IF(psa,FO12,FK12),1)</f>
        <v>0.871</v>
      </c>
    </row>
    <row r="13" spans="1:172" ht="15" customHeight="1" x14ac:dyDescent="0.2">
      <c r="Q13" s="10">
        <v>7</v>
      </c>
      <c r="R13" s="10">
        <f t="shared" si="2"/>
        <v>52</v>
      </c>
      <c r="S13" s="309">
        <f t="shared" si="26"/>
        <v>0.49847796549883244</v>
      </c>
      <c r="T13" s="309">
        <f t="shared" si="27"/>
        <v>3.1104929014816291E-4</v>
      </c>
      <c r="U13" s="309">
        <f t="shared" si="28"/>
        <v>3.7210451526861464E-3</v>
      </c>
      <c r="V13" s="235">
        <f t="shared" si="29"/>
        <v>2.3899918308169104E-2</v>
      </c>
      <c r="W13" s="235">
        <f t="shared" si="30"/>
        <v>5.731629164052264E-2</v>
      </c>
      <c r="X13" s="309">
        <f t="shared" si="31"/>
        <v>2.038328805420434E-4</v>
      </c>
      <c r="Y13" s="235">
        <f t="shared" si="32"/>
        <v>5.8587196125373569E-3</v>
      </c>
      <c r="Z13" s="235">
        <f t="shared" si="33"/>
        <v>1.4253712207171908E-2</v>
      </c>
      <c r="AA13" s="235">
        <f t="shared" si="34"/>
        <v>0.31128070384951784</v>
      </c>
      <c r="AB13" s="235">
        <f t="shared" si="35"/>
        <v>2.754672779976076E-3</v>
      </c>
      <c r="AC13" s="235">
        <f t="shared" si="36"/>
        <v>8.5669293855417349E-3</v>
      </c>
      <c r="AD13" s="235">
        <f t="shared" si="37"/>
        <v>7.3355159394354566E-2</v>
      </c>
      <c r="AE13" s="235">
        <f t="shared" si="38"/>
        <v>0.99999999999999989</v>
      </c>
      <c r="AF13" s="101">
        <f t="shared" si="3"/>
        <v>1.8849152100389464</v>
      </c>
      <c r="AG13" s="101">
        <f t="shared" si="4"/>
        <v>17.87979844696946</v>
      </c>
      <c r="AH13" s="101">
        <f t="shared" si="5"/>
        <v>369.33649326814049</v>
      </c>
      <c r="AI13" s="101">
        <f t="shared" si="6"/>
        <v>254.62506341254573</v>
      </c>
      <c r="AJ13" s="101">
        <f t="shared" si="7"/>
        <v>709.37474740155585</v>
      </c>
      <c r="AK13" s="101">
        <f t="shared" si="39"/>
        <v>934.15581248759042</v>
      </c>
      <c r="AL13" s="235">
        <f t="shared" si="40"/>
        <v>0.38504279222186555</v>
      </c>
      <c r="AM13" s="235">
        <f t="shared" si="8"/>
        <v>3.18088717599829E-3</v>
      </c>
      <c r="AN13" s="235">
        <f t="shared" si="9"/>
        <v>6.7259891773203045E-2</v>
      </c>
      <c r="AO13" s="235">
        <f t="shared" si="10"/>
        <v>7.6838865017188765E-3</v>
      </c>
      <c r="AP13" s="235">
        <f t="shared" si="11"/>
        <v>1.4065950618662472E-3</v>
      </c>
      <c r="AQ13" s="235">
        <f t="shared" si="12"/>
        <v>0.21002605757986875</v>
      </c>
      <c r="AR13" s="101">
        <f t="shared" si="41"/>
        <v>2287.256830226841</v>
      </c>
      <c r="AS13" s="235">
        <f t="shared" si="42"/>
        <v>0.67460011031452072</v>
      </c>
      <c r="AT13" s="235">
        <f t="shared" si="13"/>
        <v>0.7534470539265653</v>
      </c>
      <c r="AV13" s="10">
        <v>7</v>
      </c>
      <c r="AW13" s="10">
        <f t="shared" si="43"/>
        <v>52</v>
      </c>
      <c r="AX13" s="309">
        <f t="shared" si="44"/>
        <v>0.57048373789415885</v>
      </c>
      <c r="AY13" s="309">
        <f t="shared" si="45"/>
        <v>5.9103433824083976E-5</v>
      </c>
      <c r="AZ13" s="309">
        <f t="shared" si="46"/>
        <v>5.9103433824083976E-5</v>
      </c>
      <c r="BA13" s="235">
        <f t="shared" si="47"/>
        <v>3.0627107223936889E-3</v>
      </c>
      <c r="BB13" s="235">
        <f t="shared" si="48"/>
        <v>5.3770963832252021E-3</v>
      </c>
      <c r="BC13" s="309">
        <f t="shared" si="49"/>
        <v>2.5044368627149899E-5</v>
      </c>
      <c r="BD13" s="235">
        <f t="shared" si="50"/>
        <v>4.8239547477306336E-3</v>
      </c>
      <c r="BE13" s="235">
        <f t="shared" si="51"/>
        <v>1.5382654453295373E-2</v>
      </c>
      <c r="BF13" s="235">
        <f t="shared" si="52"/>
        <v>0.31498658877555008</v>
      </c>
      <c r="BG13" s="235">
        <f t="shared" si="53"/>
        <v>2.9214151840737139E-3</v>
      </c>
      <c r="BH13" s="235">
        <f t="shared" si="54"/>
        <v>8.9256969413328766E-3</v>
      </c>
      <c r="BI13" s="235">
        <f t="shared" si="55"/>
        <v>7.3892893661964443E-2</v>
      </c>
      <c r="BJ13" s="235">
        <f t="shared" si="56"/>
        <v>1.0000000000000002</v>
      </c>
      <c r="BK13" s="101">
        <f t="shared" si="14"/>
        <v>0.35815854563590355</v>
      </c>
      <c r="BL13" s="101">
        <f t="shared" si="15"/>
        <v>0.28399480278694472</v>
      </c>
      <c r="BM13" s="101">
        <f t="shared" si="16"/>
        <v>398.58919349283701</v>
      </c>
      <c r="BN13" s="101">
        <f t="shared" si="17"/>
        <v>270.0377089817556</v>
      </c>
      <c r="BO13" s="101">
        <f t="shared" si="18"/>
        <v>719.81329880765873</v>
      </c>
      <c r="BP13" s="101">
        <f t="shared" si="57"/>
        <v>949.60832340902084</v>
      </c>
      <c r="BQ13" s="235">
        <f t="shared" si="19"/>
        <v>0.44066271040910898</v>
      </c>
      <c r="BR13" s="235">
        <f t="shared" si="20"/>
        <v>8.866938477423419E-5</v>
      </c>
      <c r="BS13" s="235">
        <f t="shared" si="21"/>
        <v>1.0245419562866374E-2</v>
      </c>
      <c r="BT13" s="235">
        <f t="shared" si="22"/>
        <v>8.2924763174893612E-3</v>
      </c>
      <c r="BU13" s="235">
        <f t="shared" si="23"/>
        <v>1.4917373132117885E-3</v>
      </c>
      <c r="BV13" s="235">
        <f t="shared" si="24"/>
        <v>0.21267680049091475</v>
      </c>
      <c r="BW13" s="101">
        <f t="shared" si="58"/>
        <v>2338.6906780396948</v>
      </c>
      <c r="BX13" s="235">
        <f t="shared" si="59"/>
        <v>0.67345781347836553</v>
      </c>
      <c r="BY13" s="235">
        <f t="shared" si="25"/>
        <v>0.7530098267582136</v>
      </c>
      <c r="CA13" s="23"/>
      <c r="CB13" s="237"/>
      <c r="CC13" s="237"/>
      <c r="CD13" s="238"/>
      <c r="CE13" s="239"/>
      <c r="CF13" s="239"/>
      <c r="CG13" s="239"/>
      <c r="CH13" s="239"/>
      <c r="CJ13" s="10">
        <v>5</v>
      </c>
      <c r="CK13" s="450">
        <v>0</v>
      </c>
      <c r="CL13" s="450">
        <v>0</v>
      </c>
      <c r="CM13" s="450">
        <v>0</v>
      </c>
      <c r="CN13" s="450">
        <v>0</v>
      </c>
      <c r="CO13" s="451">
        <v>0.36516284510529518</v>
      </c>
      <c r="CP13" s="451">
        <v>0.62195830213165293</v>
      </c>
      <c r="CQ13" s="451">
        <v>0.11600817021875134</v>
      </c>
      <c r="CR13" s="451">
        <v>0.13449575298027569</v>
      </c>
      <c r="CS13" s="451">
        <v>26.101465392903297</v>
      </c>
      <c r="CT13" s="451">
        <v>25.629054844501013</v>
      </c>
      <c r="CU13" s="234">
        <v>0.47241054840228358</v>
      </c>
      <c r="CX13" s="377">
        <v>5</v>
      </c>
      <c r="CY13" s="335">
        <f t="shared" si="60"/>
        <v>1.21E-4</v>
      </c>
      <c r="CZ13" s="338">
        <v>1.21E-4</v>
      </c>
      <c r="DA13" s="345">
        <f t="shared" si="61"/>
        <v>2.6225323915230914E-2</v>
      </c>
      <c r="DB13" s="387">
        <f t="shared" si="62"/>
        <v>5.3336611399047773E-2</v>
      </c>
      <c r="DC13" s="114">
        <f t="shared" si="91"/>
        <v>0</v>
      </c>
      <c r="DD13" s="378">
        <f t="shared" si="92"/>
        <v>0</v>
      </c>
      <c r="DE13" s="378">
        <f t="shared" si="63"/>
        <v>0</v>
      </c>
      <c r="DF13" s="340">
        <f t="shared" si="93"/>
        <v>0</v>
      </c>
      <c r="DG13" s="378">
        <f t="shared" si="94"/>
        <v>0</v>
      </c>
      <c r="DH13" s="378">
        <f t="shared" si="64"/>
        <v>0</v>
      </c>
      <c r="DI13" s="340">
        <f>DI12+(DI18-DI8)/10</f>
        <v>0</v>
      </c>
      <c r="DJ13" s="349">
        <f t="shared" ref="DJ13:DM13" si="113">DJ12+(DJ18-DJ8)/10</f>
        <v>0</v>
      </c>
      <c r="DK13" s="350">
        <f t="shared" si="65"/>
        <v>0</v>
      </c>
      <c r="DL13" s="345">
        <f t="shared" si="113"/>
        <v>0</v>
      </c>
      <c r="DM13" s="349">
        <f t="shared" si="113"/>
        <v>0</v>
      </c>
      <c r="DN13" s="396">
        <f t="shared" si="66"/>
        <v>0</v>
      </c>
      <c r="DO13" s="335">
        <f t="shared" si="103"/>
        <v>0</v>
      </c>
      <c r="DP13" s="350">
        <f t="shared" si="104"/>
        <v>0</v>
      </c>
      <c r="DQ13" s="349">
        <f t="shared" si="67"/>
        <v>0</v>
      </c>
      <c r="DR13" s="335">
        <f t="shared" si="105"/>
        <v>0</v>
      </c>
      <c r="DS13" s="350">
        <f t="shared" si="106"/>
        <v>0</v>
      </c>
      <c r="DT13" s="349">
        <f t="shared" si="68"/>
        <v>0</v>
      </c>
      <c r="DU13" s="335">
        <f>VLOOKUP($CX13,$EY$8:$FF$28,8,FALSE)</f>
        <v>0</v>
      </c>
      <c r="DV13" s="350">
        <f>VLOOKUP($CX13,$EY$32:$FF$52,8,FALSE)</f>
        <v>0</v>
      </c>
      <c r="DW13" s="350">
        <f t="shared" si="69"/>
        <v>0</v>
      </c>
      <c r="DX13" s="335">
        <f>VLOOKUP($CX13,$EY$56:$FF$76,8,FALSE)</f>
        <v>0</v>
      </c>
      <c r="DY13" s="350">
        <f>VLOOKUP($CX13,$EY$80:$FF$100,8,FALSE)</f>
        <v>0</v>
      </c>
      <c r="DZ13" s="396">
        <f t="shared" si="70"/>
        <v>0</v>
      </c>
      <c r="EA13" s="350">
        <f t="shared" si="71"/>
        <v>0</v>
      </c>
      <c r="EB13" s="350">
        <f t="shared" si="72"/>
        <v>0</v>
      </c>
      <c r="EC13" s="349">
        <f t="shared" si="73"/>
        <v>0</v>
      </c>
      <c r="ED13" s="335">
        <f t="shared" si="74"/>
        <v>0</v>
      </c>
      <c r="EE13" s="350">
        <f t="shared" si="75"/>
        <v>0</v>
      </c>
      <c r="EF13" s="387">
        <f t="shared" si="76"/>
        <v>0</v>
      </c>
      <c r="EG13" s="335">
        <f t="shared" si="77"/>
        <v>0</v>
      </c>
      <c r="EH13" s="350">
        <f t="shared" si="78"/>
        <v>0</v>
      </c>
      <c r="EI13" s="387">
        <f t="shared" si="79"/>
        <v>0</v>
      </c>
      <c r="EJ13" s="335">
        <f t="shared" si="80"/>
        <v>0</v>
      </c>
      <c r="EK13" s="350">
        <f t="shared" si="81"/>
        <v>0</v>
      </c>
      <c r="EL13" s="387">
        <f t="shared" si="82"/>
        <v>0</v>
      </c>
      <c r="EO13" s="318">
        <v>50</v>
      </c>
      <c r="EP13" s="315" t="s">
        <v>199</v>
      </c>
      <c r="EQ13" s="308">
        <v>0.43</v>
      </c>
      <c r="ER13" s="308">
        <v>0.39</v>
      </c>
      <c r="ES13" s="308">
        <v>0.48</v>
      </c>
      <c r="ET13" s="320">
        <f t="shared" si="107"/>
        <v>199.50228122934124</v>
      </c>
      <c r="EU13" s="320">
        <f t="shared" si="108"/>
        <v>264.4565123272663</v>
      </c>
      <c r="EV13" s="350">
        <f t="shared" ca="1" si="109"/>
        <v>0.44250629591012181</v>
      </c>
      <c r="EW13" s="362">
        <f t="shared" si="99"/>
        <v>0.43</v>
      </c>
      <c r="EY13" s="363">
        <v>25</v>
      </c>
      <c r="EZ13" s="346">
        <v>8.4000000000000005E-2</v>
      </c>
      <c r="FA13" s="347">
        <f t="shared" si="86"/>
        <v>6.720000000000001E-2</v>
      </c>
      <c r="FB13" s="347">
        <f t="shared" si="87"/>
        <v>0.1008</v>
      </c>
      <c r="FC13" s="33">
        <f t="shared" si="88"/>
        <v>87.885406993895486</v>
      </c>
      <c r="FD13" s="33">
        <f t="shared" si="89"/>
        <v>958.36943817152701</v>
      </c>
      <c r="FE13" s="308">
        <f t="shared" ca="1" si="100"/>
        <v>8.5289362008652558E-2</v>
      </c>
      <c r="FF13" s="364">
        <f t="shared" si="111"/>
        <v>0.13800000000000001</v>
      </c>
      <c r="FH13" s="383" t="s">
        <v>309</v>
      </c>
      <c r="FI13" s="20"/>
      <c r="FJ13" s="20"/>
      <c r="FK13" s="20"/>
      <c r="FL13" s="19"/>
      <c r="FM13" s="19"/>
      <c r="FN13" s="19"/>
      <c r="FO13" s="19"/>
      <c r="FP13" s="334" t="b">
        <v>1</v>
      </c>
    </row>
    <row r="14" spans="1:172" ht="15" customHeight="1" x14ac:dyDescent="0.2">
      <c r="Q14" s="10">
        <v>8</v>
      </c>
      <c r="R14" s="10">
        <f t="shared" si="2"/>
        <v>53</v>
      </c>
      <c r="S14" s="309">
        <f t="shared" si="26"/>
        <v>0.4772312962940225</v>
      </c>
      <c r="T14" s="309">
        <f t="shared" si="27"/>
        <v>2.9788659057908133E-4</v>
      </c>
      <c r="U14" s="309">
        <f t="shared" si="28"/>
        <v>3.5635813648586135E-3</v>
      </c>
      <c r="V14" s="235">
        <f t="shared" si="29"/>
        <v>2.382548074095658E-2</v>
      </c>
      <c r="W14" s="235">
        <f t="shared" si="30"/>
        <v>5.986740706207494E-2</v>
      </c>
      <c r="X14" s="309">
        <f t="shared" si="31"/>
        <v>2.0511048688731998E-4</v>
      </c>
      <c r="Y14" s="235">
        <f t="shared" si="32"/>
        <v>6.029691153854465E-3</v>
      </c>
      <c r="Z14" s="235">
        <f t="shared" si="33"/>
        <v>1.3722918681095235E-2</v>
      </c>
      <c r="AA14" s="235">
        <f t="shared" si="34"/>
        <v>0.31643518706262852</v>
      </c>
      <c r="AB14" s="235">
        <f t="shared" si="35"/>
        <v>2.6511242212085675E-3</v>
      </c>
      <c r="AC14" s="235">
        <f t="shared" si="36"/>
        <v>1.0103866683545425E-2</v>
      </c>
      <c r="AD14" s="235">
        <f t="shared" si="37"/>
        <v>8.606644965828876E-2</v>
      </c>
      <c r="AE14" s="235">
        <f t="shared" si="38"/>
        <v>1</v>
      </c>
      <c r="AF14" s="101">
        <f t="shared" si="3"/>
        <v>1.7525738747055395</v>
      </c>
      <c r="AG14" s="101">
        <f t="shared" si="4"/>
        <v>16.624444153385497</v>
      </c>
      <c r="AH14" s="101">
        <f t="shared" si="5"/>
        <v>345.2260034828908</v>
      </c>
      <c r="AI14" s="101">
        <f t="shared" si="6"/>
        <v>237.91618395762558</v>
      </c>
      <c r="AJ14" s="101">
        <f t="shared" si="7"/>
        <v>710.63171098957491</v>
      </c>
      <c r="AK14" s="101">
        <f t="shared" si="39"/>
        <v>944.81134841346034</v>
      </c>
      <c r="AL14" s="235">
        <f t="shared" si="40"/>
        <v>0.35789425258820573</v>
      </c>
      <c r="AM14" s="235">
        <f t="shared" si="8"/>
        <v>2.96437076603541E-3</v>
      </c>
      <c r="AN14" s="235">
        <f t="shared" si="9"/>
        <v>6.728644073727566E-2</v>
      </c>
      <c r="AO14" s="235">
        <f t="shared" si="10"/>
        <v>7.1822781570590119E-3</v>
      </c>
      <c r="AP14" s="235">
        <f t="shared" si="11"/>
        <v>1.3142921792842215E-3</v>
      </c>
      <c r="AQ14" s="235">
        <f t="shared" si="12"/>
        <v>0.20807823724740099</v>
      </c>
      <c r="AR14" s="101">
        <f t="shared" si="41"/>
        <v>2256.9622648716427</v>
      </c>
      <c r="AS14" s="235">
        <f t="shared" si="42"/>
        <v>0.64471987167526101</v>
      </c>
      <c r="AT14" s="235">
        <f t="shared" si="13"/>
        <v>0.72146758418906709</v>
      </c>
      <c r="AV14" s="10">
        <v>8</v>
      </c>
      <c r="AW14" s="10">
        <f t="shared" si="43"/>
        <v>53</v>
      </c>
      <c r="AX14" s="309">
        <f t="shared" si="44"/>
        <v>0.55047312559476613</v>
      </c>
      <c r="AY14" s="309">
        <f t="shared" si="45"/>
        <v>5.7048373789415889E-5</v>
      </c>
      <c r="AZ14" s="309">
        <f t="shared" si="46"/>
        <v>5.7048373789415889E-5</v>
      </c>
      <c r="BA14" s="235">
        <f t="shared" si="47"/>
        <v>3.0724150446326559E-3</v>
      </c>
      <c r="BB14" s="235">
        <f t="shared" si="48"/>
        <v>5.3264435026428632E-3</v>
      </c>
      <c r="BC14" s="309">
        <f t="shared" si="49"/>
        <v>2.5108399229971965E-5</v>
      </c>
      <c r="BD14" s="235">
        <f t="shared" si="50"/>
        <v>4.8219417345654065E-3</v>
      </c>
      <c r="BE14" s="235">
        <f t="shared" si="51"/>
        <v>1.4849790474715387E-2</v>
      </c>
      <c r="BF14" s="235">
        <f t="shared" si="52"/>
        <v>0.32113487276458558</v>
      </c>
      <c r="BG14" s="235">
        <f t="shared" si="53"/>
        <v>2.8208859591849099E-3</v>
      </c>
      <c r="BH14" s="235">
        <f t="shared" si="54"/>
        <v>1.0572853536993007E-2</v>
      </c>
      <c r="BI14" s="235">
        <f t="shared" si="55"/>
        <v>8.6788466241105436E-2</v>
      </c>
      <c r="BJ14" s="235">
        <f t="shared" si="56"/>
        <v>1.0000000000000002</v>
      </c>
      <c r="BK14" s="101">
        <f t="shared" si="14"/>
        <v>0.33563608655027394</v>
      </c>
      <c r="BL14" s="101">
        <f t="shared" si="15"/>
        <v>0.26613606004790447</v>
      </c>
      <c r="BM14" s="101">
        <f t="shared" si="16"/>
        <v>373.57459715961392</v>
      </c>
      <c r="BN14" s="101">
        <f t="shared" si="17"/>
        <v>253.15087743529807</v>
      </c>
      <c r="BO14" s="101">
        <f t="shared" si="18"/>
        <v>723.58956294235747</v>
      </c>
      <c r="BP14" s="101">
        <f t="shared" si="57"/>
        <v>964.06637969857502</v>
      </c>
      <c r="BQ14" s="235">
        <f t="shared" si="19"/>
        <v>0.41282114015685517</v>
      </c>
      <c r="BR14" s="235">
        <f t="shared" si="20"/>
        <v>8.3091328406881666E-5</v>
      </c>
      <c r="BS14" s="235">
        <f t="shared" si="21"/>
        <v>9.9147907361302346E-3</v>
      </c>
      <c r="BT14" s="235">
        <f t="shared" si="22"/>
        <v>7.7720584259076192E-3</v>
      </c>
      <c r="BU14" s="235">
        <f t="shared" si="23"/>
        <v>1.3984513909798138E-3</v>
      </c>
      <c r="BV14" s="235">
        <f t="shared" si="24"/>
        <v>0.21134987747159042</v>
      </c>
      <c r="BW14" s="101">
        <f t="shared" si="58"/>
        <v>2314.9831893824426</v>
      </c>
      <c r="BX14" s="235">
        <f t="shared" si="59"/>
        <v>0.64333940950987012</v>
      </c>
      <c r="BY14" s="235">
        <f t="shared" si="25"/>
        <v>0.72089761763126403</v>
      </c>
      <c r="CA14" s="23"/>
      <c r="CB14" s="237"/>
      <c r="CC14" s="237"/>
      <c r="CD14" s="238"/>
      <c r="CE14" s="239"/>
      <c r="CF14" s="239"/>
      <c r="CG14" s="239"/>
      <c r="CH14" s="239"/>
      <c r="CJ14" s="10">
        <v>6</v>
      </c>
      <c r="CK14" s="450">
        <v>0</v>
      </c>
      <c r="CL14" s="450">
        <v>0</v>
      </c>
      <c r="CM14" s="450">
        <v>0</v>
      </c>
      <c r="CN14" s="450">
        <v>0</v>
      </c>
      <c r="CO14" s="451">
        <v>0.36520192171091831</v>
      </c>
      <c r="CP14" s="451">
        <v>0.6221187699141969</v>
      </c>
      <c r="CQ14" s="451">
        <v>0.11602058442128446</v>
      </c>
      <c r="CR14" s="451">
        <v>0.13451202481953897</v>
      </c>
      <c r="CS14" s="451">
        <v>25.961795119725434</v>
      </c>
      <c r="CT14" s="451">
        <v>25.473464539073433</v>
      </c>
      <c r="CU14" s="234">
        <v>0.48833058065200063</v>
      </c>
      <c r="CX14" s="377">
        <v>6</v>
      </c>
      <c r="CY14" s="335">
        <f t="shared" si="60"/>
        <v>1.07E-4</v>
      </c>
      <c r="CZ14" s="338">
        <v>1.07E-4</v>
      </c>
      <c r="DA14" s="345">
        <f t="shared" si="61"/>
        <v>2.6225323915230914E-2</v>
      </c>
      <c r="DB14" s="387">
        <f t="shared" si="62"/>
        <v>5.3336611399047773E-2</v>
      </c>
      <c r="DC14" s="114">
        <f t="shared" si="91"/>
        <v>0</v>
      </c>
      <c r="DD14" s="378">
        <f t="shared" si="92"/>
        <v>0</v>
      </c>
      <c r="DE14" s="378">
        <f t="shared" si="63"/>
        <v>0</v>
      </c>
      <c r="DF14" s="340">
        <f t="shared" si="93"/>
        <v>0</v>
      </c>
      <c r="DG14" s="378">
        <f t="shared" si="94"/>
        <v>0</v>
      </c>
      <c r="DH14" s="378">
        <f t="shared" si="64"/>
        <v>0</v>
      </c>
      <c r="DI14" s="340">
        <f>DI13+(DI18-DI8)/10</f>
        <v>0</v>
      </c>
      <c r="DJ14" s="349">
        <f t="shared" ref="DJ14:DM14" si="114">DJ13+(DJ18-DJ8)/10</f>
        <v>0</v>
      </c>
      <c r="DK14" s="350">
        <f t="shared" si="65"/>
        <v>0</v>
      </c>
      <c r="DL14" s="345">
        <f t="shared" si="114"/>
        <v>0</v>
      </c>
      <c r="DM14" s="349">
        <f t="shared" si="114"/>
        <v>0</v>
      </c>
      <c r="DN14" s="396">
        <f t="shared" si="66"/>
        <v>0</v>
      </c>
      <c r="DO14" s="335">
        <f t="shared" si="103"/>
        <v>0</v>
      </c>
      <c r="DP14" s="350">
        <f t="shared" si="104"/>
        <v>0</v>
      </c>
      <c r="DQ14" s="349">
        <f t="shared" si="67"/>
        <v>0</v>
      </c>
      <c r="DR14" s="335">
        <f t="shared" si="105"/>
        <v>0</v>
      </c>
      <c r="DS14" s="350">
        <f t="shared" si="106"/>
        <v>0</v>
      </c>
      <c r="DT14" s="349">
        <f t="shared" si="68"/>
        <v>0</v>
      </c>
      <c r="DU14" s="335">
        <f>DU13+(DU18-DU13)/5</f>
        <v>0</v>
      </c>
      <c r="DV14" s="350">
        <f>DV13+(DV18-DV13)/5</f>
        <v>0</v>
      </c>
      <c r="DW14" s="350">
        <f t="shared" si="69"/>
        <v>0</v>
      </c>
      <c r="DX14" s="335">
        <f>DX13+(DX18-DX13)/5</f>
        <v>0</v>
      </c>
      <c r="DY14" s="350">
        <f>DY13+(DY18-DY13)/5</f>
        <v>0</v>
      </c>
      <c r="DZ14" s="396">
        <f t="shared" si="70"/>
        <v>0</v>
      </c>
      <c r="EA14" s="350">
        <f t="shared" si="71"/>
        <v>0</v>
      </c>
      <c r="EB14" s="350">
        <f t="shared" si="72"/>
        <v>0</v>
      </c>
      <c r="EC14" s="349">
        <f t="shared" si="73"/>
        <v>0</v>
      </c>
      <c r="ED14" s="335">
        <f t="shared" si="74"/>
        <v>0</v>
      </c>
      <c r="EE14" s="350">
        <f t="shared" si="75"/>
        <v>0</v>
      </c>
      <c r="EF14" s="387">
        <f t="shared" si="76"/>
        <v>0</v>
      </c>
      <c r="EG14" s="335">
        <f t="shared" si="77"/>
        <v>0</v>
      </c>
      <c r="EH14" s="350">
        <f t="shared" si="78"/>
        <v>0</v>
      </c>
      <c r="EI14" s="387">
        <f t="shared" si="79"/>
        <v>0</v>
      </c>
      <c r="EJ14" s="335">
        <f t="shared" si="80"/>
        <v>0</v>
      </c>
      <c r="EK14" s="350">
        <f t="shared" si="81"/>
        <v>0</v>
      </c>
      <c r="EL14" s="387">
        <f t="shared" si="82"/>
        <v>0</v>
      </c>
      <c r="EO14" s="318">
        <v>60</v>
      </c>
      <c r="EP14" s="315" t="s">
        <v>200</v>
      </c>
      <c r="EQ14" s="308">
        <v>0.56000000000000005</v>
      </c>
      <c r="ER14" s="308">
        <v>0.51</v>
      </c>
      <c r="ES14" s="308">
        <v>0.61</v>
      </c>
      <c r="ET14" s="320">
        <f t="shared" si="107"/>
        <v>211.46394156586328</v>
      </c>
      <c r="EU14" s="320">
        <f t="shared" si="108"/>
        <v>166.15023980174968</v>
      </c>
      <c r="EV14" s="350">
        <f t="shared" ca="1" si="109"/>
        <v>0.56390717306817173</v>
      </c>
      <c r="EW14" s="362">
        <f t="shared" si="99"/>
        <v>0.56000000000000005</v>
      </c>
      <c r="EY14" s="363">
        <v>30</v>
      </c>
      <c r="EZ14" s="346">
        <v>0.104</v>
      </c>
      <c r="FA14" s="347">
        <f t="shared" si="86"/>
        <v>8.3199999999999996E-2</v>
      </c>
      <c r="FB14" s="347">
        <f t="shared" si="87"/>
        <v>0.12479999999999999</v>
      </c>
      <c r="FC14" s="33">
        <f t="shared" si="88"/>
        <v>85.944677583548355</v>
      </c>
      <c r="FD14" s="33">
        <f t="shared" si="89"/>
        <v>740.44645302749359</v>
      </c>
      <c r="FE14" s="308">
        <f t="shared" ca="1" si="100"/>
        <v>9.1010063954549497E-2</v>
      </c>
      <c r="FF14" s="364">
        <f t="shared" si="111"/>
        <v>0.24199999999999999</v>
      </c>
      <c r="FG14" s="234"/>
      <c r="FH14" s="405" t="s">
        <v>160</v>
      </c>
      <c r="FI14" s="47"/>
      <c r="FJ14" s="321" t="s">
        <v>109</v>
      </c>
      <c r="FK14" s="321" t="s">
        <v>248</v>
      </c>
      <c r="FL14" s="323" t="s">
        <v>79</v>
      </c>
      <c r="FM14" s="323" t="s">
        <v>81</v>
      </c>
      <c r="FN14" s="323" t="s">
        <v>303</v>
      </c>
      <c r="FO14" s="323" t="s">
        <v>163</v>
      </c>
      <c r="FP14" s="326" t="s">
        <v>16</v>
      </c>
    </row>
    <row r="15" spans="1:172" ht="15" customHeight="1" x14ac:dyDescent="0.2">
      <c r="Q15" s="10">
        <v>9</v>
      </c>
      <c r="R15" s="10">
        <f t="shared" si="2"/>
        <v>54</v>
      </c>
      <c r="S15" s="309">
        <f t="shared" si="26"/>
        <v>0.45673273937068781</v>
      </c>
      <c r="T15" s="309">
        <f t="shared" si="27"/>
        <v>2.8518974480326294E-4</v>
      </c>
      <c r="U15" s="309">
        <f t="shared" si="28"/>
        <v>3.4116905297886862E-3</v>
      </c>
      <c r="V15" s="235">
        <f t="shared" si="29"/>
        <v>2.373121868485829E-2</v>
      </c>
      <c r="W15" s="235">
        <f t="shared" si="30"/>
        <v>6.2189229546998237E-2</v>
      </c>
      <c r="X15" s="309">
        <f t="shared" si="31"/>
        <v>2.061028652510074E-4</v>
      </c>
      <c r="Y15" s="235">
        <f t="shared" si="32"/>
        <v>6.198991530454165E-3</v>
      </c>
      <c r="Z15" s="235">
        <f t="shared" si="33"/>
        <v>1.3208948223346855E-2</v>
      </c>
      <c r="AA15" s="235">
        <f t="shared" si="34"/>
        <v>0.32092963692374971</v>
      </c>
      <c r="AB15" s="235">
        <f t="shared" si="35"/>
        <v>2.5509740223114831E-3</v>
      </c>
      <c r="AC15" s="235">
        <f t="shared" si="36"/>
        <v>1.1383082161638074E-2</v>
      </c>
      <c r="AD15" s="235">
        <f t="shared" si="37"/>
        <v>9.917219639611248E-2</v>
      </c>
      <c r="AE15" s="235">
        <f t="shared" si="38"/>
        <v>1</v>
      </c>
      <c r="AF15" s="101">
        <f t="shared" si="3"/>
        <v>1.6290036579413101</v>
      </c>
      <c r="AG15" s="101">
        <f t="shared" si="4"/>
        <v>15.452290330218514</v>
      </c>
      <c r="AH15" s="101">
        <f t="shared" si="5"/>
        <v>322.61757614165248</v>
      </c>
      <c r="AI15" s="101">
        <f t="shared" si="6"/>
        <v>222.26072117249021</v>
      </c>
      <c r="AJ15" s="101">
        <f t="shared" si="7"/>
        <v>708.04303355791933</v>
      </c>
      <c r="AK15" s="101">
        <f t="shared" si="39"/>
        <v>948.37790532058386</v>
      </c>
      <c r="AL15" s="235">
        <f t="shared" si="40"/>
        <v>0.33254523297969418</v>
      </c>
      <c r="AM15" s="235">
        <f t="shared" si="8"/>
        <v>2.7611254393106917E-3</v>
      </c>
      <c r="AN15" s="235">
        <f t="shared" si="9"/>
        <v>6.7071786007557962E-2</v>
      </c>
      <c r="AO15" s="235">
        <f t="shared" si="10"/>
        <v>6.711919573927313E-3</v>
      </c>
      <c r="AP15" s="235">
        <f t="shared" si="11"/>
        <v>1.2278085615693237E-3</v>
      </c>
      <c r="AQ15" s="235">
        <f t="shared" si="12"/>
        <v>0.20551374628780636</v>
      </c>
      <c r="AR15" s="101">
        <f t="shared" si="41"/>
        <v>2218.3805301808056</v>
      </c>
      <c r="AS15" s="235">
        <f t="shared" si="42"/>
        <v>0.61583161884986581</v>
      </c>
      <c r="AT15" s="235">
        <f t="shared" si="13"/>
        <v>0.69040950164237802</v>
      </c>
      <c r="AV15" s="10">
        <v>9</v>
      </c>
      <c r="AW15" s="10">
        <f t="shared" si="43"/>
        <v>54</v>
      </c>
      <c r="AX15" s="309">
        <f t="shared" si="44"/>
        <v>0.53098276079061901</v>
      </c>
      <c r="AY15" s="309">
        <f t="shared" si="45"/>
        <v>5.5047312559476615E-5</v>
      </c>
      <c r="AZ15" s="309">
        <f t="shared" si="46"/>
        <v>5.5047312559476615E-5</v>
      </c>
      <c r="BA15" s="235">
        <f t="shared" si="47"/>
        <v>3.078893886798194E-3</v>
      </c>
      <c r="BB15" s="235">
        <f t="shared" si="48"/>
        <v>5.2730117530652779E-3</v>
      </c>
      <c r="BC15" s="309">
        <f t="shared" si="49"/>
        <v>2.5147504926389614E-5</v>
      </c>
      <c r="BD15" s="235">
        <f t="shared" si="50"/>
        <v>4.8184128021461639E-3</v>
      </c>
      <c r="BE15" s="235">
        <f t="shared" si="51"/>
        <v>1.4330870490338092E-2</v>
      </c>
      <c r="BF15" s="235">
        <f t="shared" si="52"/>
        <v>0.32659333243520389</v>
      </c>
      <c r="BG15" s="235">
        <f t="shared" si="53"/>
        <v>2.7229757119551453E-3</v>
      </c>
      <c r="BH15" s="235">
        <f t="shared" si="54"/>
        <v>1.1953127859914436E-2</v>
      </c>
      <c r="BI15" s="235">
        <f t="shared" si="55"/>
        <v>0.10011137213991471</v>
      </c>
      <c r="BJ15" s="235">
        <f t="shared" si="56"/>
        <v>1</v>
      </c>
      <c r="BK15" s="101">
        <f t="shared" si="14"/>
        <v>0.31443021761208878</v>
      </c>
      <c r="BL15" s="101">
        <f t="shared" si="15"/>
        <v>0.24932128167556911</v>
      </c>
      <c r="BM15" s="101">
        <f t="shared" si="16"/>
        <v>350.01959455189274</v>
      </c>
      <c r="BN15" s="101">
        <f t="shared" si="17"/>
        <v>237.24684774560481</v>
      </c>
      <c r="BO15" s="101">
        <f t="shared" si="18"/>
        <v>723.23955439868871</v>
      </c>
      <c r="BP15" s="101">
        <f t="shared" si="57"/>
        <v>970.98396402952403</v>
      </c>
      <c r="BQ15" s="235">
        <f t="shared" si="19"/>
        <v>0.38660636883314675</v>
      </c>
      <c r="BR15" s="235">
        <f t="shared" si="20"/>
        <v>7.7839382953024853E-5</v>
      </c>
      <c r="BS15" s="235">
        <f t="shared" si="21"/>
        <v>9.589254803037529E-3</v>
      </c>
      <c r="BT15" s="235">
        <f t="shared" si="22"/>
        <v>7.2820067524759901E-3</v>
      </c>
      <c r="BU15" s="235">
        <f t="shared" si="23"/>
        <v>1.3105946445720505E-3</v>
      </c>
      <c r="BV15" s="235">
        <f t="shared" si="24"/>
        <v>0.20934431724755639</v>
      </c>
      <c r="BW15" s="101">
        <f t="shared" si="58"/>
        <v>2282.053712224998</v>
      </c>
      <c r="BX15" s="235">
        <f t="shared" si="59"/>
        <v>0.61421038166374176</v>
      </c>
      <c r="BY15" s="235">
        <f t="shared" si="25"/>
        <v>0.68968970163771681</v>
      </c>
      <c r="CA15" s="23"/>
      <c r="CB15" s="237"/>
      <c r="CC15" s="237"/>
      <c r="CD15" s="238"/>
      <c r="CE15" s="239"/>
      <c r="CF15" s="239"/>
      <c r="CG15" s="239"/>
      <c r="CH15" s="239"/>
      <c r="CJ15" s="10">
        <v>7</v>
      </c>
      <c r="CK15" s="450">
        <v>0</v>
      </c>
      <c r="CL15" s="450">
        <v>0</v>
      </c>
      <c r="CM15" s="450">
        <v>0</v>
      </c>
      <c r="CN15" s="450">
        <v>0</v>
      </c>
      <c r="CO15" s="451">
        <v>0.36523734973384253</v>
      </c>
      <c r="CP15" s="451">
        <v>0.62227305961632284</v>
      </c>
      <c r="CQ15" s="451">
        <v>0.11603183950971688</v>
      </c>
      <c r="CR15" s="451">
        <v>0.13452695374516838</v>
      </c>
      <c r="CS15" s="451">
        <v>25.817660473967095</v>
      </c>
      <c r="CT15" s="451">
        <v>25.312930418634203</v>
      </c>
      <c r="CU15" s="234">
        <v>0.50473005533289239</v>
      </c>
      <c r="CX15" s="377">
        <v>7</v>
      </c>
      <c r="CY15" s="335">
        <f t="shared" si="60"/>
        <v>9.7E-5</v>
      </c>
      <c r="CZ15" s="338">
        <v>9.7E-5</v>
      </c>
      <c r="DA15" s="345">
        <f t="shared" si="61"/>
        <v>2.6225323915230914E-2</v>
      </c>
      <c r="DB15" s="387">
        <f t="shared" si="62"/>
        <v>5.3336611399047773E-2</v>
      </c>
      <c r="DC15" s="114">
        <f t="shared" si="91"/>
        <v>0</v>
      </c>
      <c r="DD15" s="378">
        <f t="shared" si="92"/>
        <v>0</v>
      </c>
      <c r="DE15" s="378">
        <f t="shared" si="63"/>
        <v>0</v>
      </c>
      <c r="DF15" s="340">
        <f t="shared" si="93"/>
        <v>0</v>
      </c>
      <c r="DG15" s="378">
        <f t="shared" si="94"/>
        <v>0</v>
      </c>
      <c r="DH15" s="378">
        <f t="shared" si="64"/>
        <v>0</v>
      </c>
      <c r="DI15" s="340">
        <f>DI14+(DI18-DI8)/10</f>
        <v>0</v>
      </c>
      <c r="DJ15" s="349">
        <f t="shared" ref="DJ15:DM15" si="115">DJ14+(DJ18-DJ8)/10</f>
        <v>0</v>
      </c>
      <c r="DK15" s="350">
        <f t="shared" si="65"/>
        <v>0</v>
      </c>
      <c r="DL15" s="345">
        <f t="shared" si="115"/>
        <v>0</v>
      </c>
      <c r="DM15" s="349">
        <f t="shared" si="115"/>
        <v>0</v>
      </c>
      <c r="DN15" s="396">
        <f t="shared" si="66"/>
        <v>0</v>
      </c>
      <c r="DO15" s="335">
        <f t="shared" si="103"/>
        <v>0</v>
      </c>
      <c r="DP15" s="350">
        <f t="shared" si="104"/>
        <v>0</v>
      </c>
      <c r="DQ15" s="349">
        <f t="shared" si="67"/>
        <v>0</v>
      </c>
      <c r="DR15" s="335">
        <f t="shared" si="105"/>
        <v>0</v>
      </c>
      <c r="DS15" s="350">
        <f t="shared" si="106"/>
        <v>0</v>
      </c>
      <c r="DT15" s="349">
        <f t="shared" si="68"/>
        <v>0</v>
      </c>
      <c r="DU15" s="335">
        <f>DU14+(DU18-DU13)/5</f>
        <v>0</v>
      </c>
      <c r="DV15" s="350">
        <f>DV14+(DV18-DV13)/5</f>
        <v>0</v>
      </c>
      <c r="DW15" s="350">
        <f t="shared" si="69"/>
        <v>0</v>
      </c>
      <c r="DX15" s="335">
        <f>DX14+(DX18-DX13)/5</f>
        <v>0</v>
      </c>
      <c r="DY15" s="350">
        <f>DY14+(DY18-DY13)/5</f>
        <v>0</v>
      </c>
      <c r="DZ15" s="396">
        <f t="shared" si="70"/>
        <v>0</v>
      </c>
      <c r="EA15" s="350">
        <f t="shared" si="71"/>
        <v>0</v>
      </c>
      <c r="EB15" s="350">
        <f t="shared" si="72"/>
        <v>0</v>
      </c>
      <c r="EC15" s="349">
        <f t="shared" si="73"/>
        <v>0</v>
      </c>
      <c r="ED15" s="335">
        <f t="shared" si="74"/>
        <v>0</v>
      </c>
      <c r="EE15" s="350">
        <f t="shared" si="75"/>
        <v>0</v>
      </c>
      <c r="EF15" s="387">
        <f t="shared" si="76"/>
        <v>0</v>
      </c>
      <c r="EG15" s="335">
        <f t="shared" si="77"/>
        <v>0</v>
      </c>
      <c r="EH15" s="350">
        <f t="shared" si="78"/>
        <v>0</v>
      </c>
      <c r="EI15" s="387">
        <f t="shared" si="79"/>
        <v>0</v>
      </c>
      <c r="EJ15" s="335">
        <f t="shared" si="80"/>
        <v>0</v>
      </c>
      <c r="EK15" s="350">
        <f t="shared" si="81"/>
        <v>0</v>
      </c>
      <c r="EL15" s="387">
        <f t="shared" si="82"/>
        <v>0</v>
      </c>
      <c r="EO15" s="318">
        <v>70</v>
      </c>
      <c r="EP15" s="315" t="s">
        <v>201</v>
      </c>
      <c r="EQ15" s="308">
        <v>0.66</v>
      </c>
      <c r="ER15" s="308">
        <v>0.61</v>
      </c>
      <c r="ES15" s="308">
        <v>0.72</v>
      </c>
      <c r="ET15" s="320">
        <f t="shared" si="107"/>
        <v>187.41782386118436</v>
      </c>
      <c r="EU15" s="320">
        <f t="shared" si="108"/>
        <v>96.548575928488901</v>
      </c>
      <c r="EV15" s="350">
        <f t="shared" ca="1" si="109"/>
        <v>0.62488626250142398</v>
      </c>
      <c r="EW15" s="362">
        <f t="shared" si="99"/>
        <v>0.66</v>
      </c>
      <c r="EY15" s="363">
        <v>35</v>
      </c>
      <c r="EZ15" s="346">
        <v>0.10100000000000001</v>
      </c>
      <c r="FA15" s="347">
        <f t="shared" si="86"/>
        <v>8.0800000000000011E-2</v>
      </c>
      <c r="FB15" s="347">
        <f t="shared" si="87"/>
        <v>0.1212</v>
      </c>
      <c r="FC15" s="33">
        <f t="shared" si="88"/>
        <v>86.235786995100483</v>
      </c>
      <c r="FD15" s="33">
        <f t="shared" si="89"/>
        <v>767.58388622371615</v>
      </c>
      <c r="FE15" s="308">
        <f t="shared" ca="1" si="100"/>
        <v>7.7376481945302902E-2</v>
      </c>
      <c r="FF15" s="364">
        <f t="shared" si="111"/>
        <v>0.34299999999999997</v>
      </c>
      <c r="FH15" s="324">
        <v>0</v>
      </c>
      <c r="FI15" s="47"/>
      <c r="FJ15" s="323" t="s">
        <v>249</v>
      </c>
      <c r="FK15" s="323">
        <v>0.76500000000000001</v>
      </c>
      <c r="FL15" s="347">
        <f>FK15*(1-owsa_boc)</f>
        <v>0.6120000000000001</v>
      </c>
      <c r="FM15" s="347">
        <f>FK15*(1+owsa_boc)</f>
        <v>0.91799999999999993</v>
      </c>
      <c r="FN15" s="33">
        <f t="shared" ref="FN15:FN19" si="116">(LN(FM15)-LN(FL15))/(2*z)</f>
        <v>0.10343687723509749</v>
      </c>
      <c r="FO15" s="347">
        <f ca="1">_xlfn.LOGNORM.INV(RAND(),LN(FK15)-(FN15^2)/2,FN15)</f>
        <v>0.71609629231945948</v>
      </c>
      <c r="FP15" s="362">
        <f>IF($FP$13,IF(psa,FO15,FK15),1)</f>
        <v>0.76500000000000001</v>
      </c>
    </row>
    <row r="16" spans="1:172" ht="15" customHeight="1" x14ac:dyDescent="0.2">
      <c r="Q16" s="10">
        <v>10</v>
      </c>
      <c r="R16" s="10">
        <f t="shared" si="2"/>
        <v>55</v>
      </c>
      <c r="S16" s="309">
        <f t="shared" si="26"/>
        <v>0.43695251860378398</v>
      </c>
      <c r="T16" s="309">
        <f t="shared" si="27"/>
        <v>2.7293996516140293E-4</v>
      </c>
      <c r="U16" s="309">
        <f t="shared" si="28"/>
        <v>3.26514789297356E-3</v>
      </c>
      <c r="V16" s="235">
        <f t="shared" si="29"/>
        <v>2.3617386679548213E-2</v>
      </c>
      <c r="W16" s="235">
        <f t="shared" si="30"/>
        <v>6.4288925200233507E-2</v>
      </c>
      <c r="X16" s="309">
        <f t="shared" si="31"/>
        <v>2.0681649614758107E-4</v>
      </c>
      <c r="Y16" s="235">
        <f t="shared" si="32"/>
        <v>6.3660781748184582E-3</v>
      </c>
      <c r="Z16" s="235">
        <f t="shared" si="33"/>
        <v>1.2711093925187022E-2</v>
      </c>
      <c r="AA16" s="235">
        <f t="shared" si="34"/>
        <v>0.32320682583114635</v>
      </c>
      <c r="AB16" s="235">
        <f t="shared" si="35"/>
        <v>2.4540350318068521E-3</v>
      </c>
      <c r="AC16" s="235">
        <f t="shared" si="36"/>
        <v>1.1956595408801243E-2</v>
      </c>
      <c r="AD16" s="235">
        <f t="shared" si="37"/>
        <v>0.11470163679039193</v>
      </c>
      <c r="AE16" s="235">
        <f t="shared" si="38"/>
        <v>1.0000000000000002</v>
      </c>
      <c r="AF16" s="101">
        <f t="shared" si="3"/>
        <v>1.5136241977547731</v>
      </c>
      <c r="AG16" s="101">
        <f t="shared" si="4"/>
        <v>14.357831819794612</v>
      </c>
      <c r="AH16" s="101">
        <f t="shared" si="5"/>
        <v>301.41543583653009</v>
      </c>
      <c r="AI16" s="101">
        <f t="shared" si="6"/>
        <v>207.58703054279192</v>
      </c>
      <c r="AJ16" s="101">
        <f t="shared" si="7"/>
        <v>695.79846510636048</v>
      </c>
      <c r="AK16" s="101">
        <f t="shared" si="39"/>
        <v>1135.8246956018754</v>
      </c>
      <c r="AL16" s="235">
        <f t="shared" si="40"/>
        <v>0.30887702468228007</v>
      </c>
      <c r="AM16" s="235">
        <f t="shared" si="8"/>
        <v>2.5704049046516068E-3</v>
      </c>
      <c r="AN16" s="235">
        <f t="shared" si="9"/>
        <v>6.6640136193278618E-2</v>
      </c>
      <c r="AO16" s="235">
        <f t="shared" si="10"/>
        <v>6.2708181862564166E-3</v>
      </c>
      <c r="AP16" s="235">
        <f t="shared" si="11"/>
        <v>1.1467484314216265E-3</v>
      </c>
      <c r="AQ16" s="235">
        <f t="shared" si="12"/>
        <v>0.20120766572510501</v>
      </c>
      <c r="AR16" s="101">
        <f t="shared" si="41"/>
        <v>2356.4970831051073</v>
      </c>
      <c r="AS16" s="235">
        <f t="shared" si="42"/>
        <v>0.58671279812299337</v>
      </c>
      <c r="AT16" s="235">
        <f t="shared" si="13"/>
        <v>0.65874512493230031</v>
      </c>
      <c r="AV16" s="10">
        <v>10</v>
      </c>
      <c r="AW16" s="10">
        <f t="shared" si="43"/>
        <v>55</v>
      </c>
      <c r="AX16" s="309">
        <f t="shared" si="44"/>
        <v>0.51199398405620966</v>
      </c>
      <c r="AY16" s="309">
        <f t="shared" si="45"/>
        <v>5.3098276079061907E-5</v>
      </c>
      <c r="AZ16" s="309">
        <f t="shared" si="46"/>
        <v>5.3098276079061907E-5</v>
      </c>
      <c r="BA16" s="235">
        <f t="shared" si="47"/>
        <v>3.0821720237650427E-3</v>
      </c>
      <c r="BB16" s="235">
        <f t="shared" si="48"/>
        <v>5.2168152947271052E-3</v>
      </c>
      <c r="BC16" s="309">
        <f t="shared" si="49"/>
        <v>2.5161891278431862E-5</v>
      </c>
      <c r="BD16" s="235">
        <f t="shared" si="50"/>
        <v>4.8132333970762539E-3</v>
      </c>
      <c r="BE16" s="235">
        <f t="shared" si="51"/>
        <v>1.3825383506923404E-2</v>
      </c>
      <c r="BF16" s="235">
        <f t="shared" si="52"/>
        <v>0.3297704436860231</v>
      </c>
      <c r="BG16" s="235">
        <f t="shared" si="53"/>
        <v>2.6275878402794465E-3</v>
      </c>
      <c r="BH16" s="235">
        <f t="shared" si="54"/>
        <v>1.259333465216223E-2</v>
      </c>
      <c r="BI16" s="235">
        <f t="shared" si="55"/>
        <v>0.11594568709939752</v>
      </c>
      <c r="BJ16" s="235">
        <f t="shared" si="56"/>
        <v>1.0000000000000004</v>
      </c>
      <c r="BK16" s="101">
        <f t="shared" si="14"/>
        <v>0.29446341976633683</v>
      </c>
      <c r="BL16" s="101">
        <f t="shared" si="15"/>
        <v>0.2334890004537897</v>
      </c>
      <c r="BM16" s="101">
        <f t="shared" si="16"/>
        <v>327.83834498219085</v>
      </c>
      <c r="BN16" s="101">
        <f t="shared" si="17"/>
        <v>222.26787726512325</v>
      </c>
      <c r="BO16" s="101">
        <f t="shared" si="18"/>
        <v>712.72700266824154</v>
      </c>
      <c r="BP16" s="101">
        <f t="shared" si="57"/>
        <v>1167.2350046286601</v>
      </c>
      <c r="BQ16" s="235">
        <f t="shared" si="19"/>
        <v>0.3619230275999587</v>
      </c>
      <c r="BR16" s="235">
        <f t="shared" si="20"/>
        <v>7.2894354753423683E-5</v>
      </c>
      <c r="BS16" s="235">
        <f t="shared" si="21"/>
        <v>9.2688874629753698E-3</v>
      </c>
      <c r="BT16" s="235">
        <f t="shared" si="22"/>
        <v>6.8205354187019116E-3</v>
      </c>
      <c r="BU16" s="235">
        <f t="shared" si="23"/>
        <v>1.2278480931237784E-3</v>
      </c>
      <c r="BV16" s="235">
        <f t="shared" si="24"/>
        <v>0.20550479522395707</v>
      </c>
      <c r="BW16" s="101">
        <f t="shared" si="58"/>
        <v>2430.5961819644358</v>
      </c>
      <c r="BX16" s="235">
        <f t="shared" si="59"/>
        <v>0.5848179881534703</v>
      </c>
      <c r="BY16" s="235">
        <f t="shared" si="25"/>
        <v>0.65781943466754411</v>
      </c>
      <c r="CA16" s="23"/>
      <c r="CB16" s="237"/>
      <c r="CC16" s="237"/>
      <c r="CD16" s="238"/>
      <c r="CE16" s="239"/>
      <c r="CF16" s="239"/>
      <c r="CG16" s="239"/>
      <c r="CH16" s="239"/>
      <c r="CJ16" s="10">
        <v>8</v>
      </c>
      <c r="CK16" s="450">
        <v>0</v>
      </c>
      <c r="CL16" s="450">
        <v>0</v>
      </c>
      <c r="CM16" s="450">
        <v>0</v>
      </c>
      <c r="CN16" s="450">
        <v>0</v>
      </c>
      <c r="CO16" s="451">
        <v>0.36526985875127133</v>
      </c>
      <c r="CP16" s="451">
        <v>0.62242241173238444</v>
      </c>
      <c r="CQ16" s="451">
        <v>0.1160421672626033</v>
      </c>
      <c r="CR16" s="451">
        <v>0.13454080835682533</v>
      </c>
      <c r="CS16" s="451">
        <v>25.668981487086697</v>
      </c>
      <c r="CT16" s="451">
        <v>25.147357044787274</v>
      </c>
      <c r="CU16" s="234">
        <v>0.52162444229942295</v>
      </c>
      <c r="CX16" s="377">
        <v>8</v>
      </c>
      <c r="CY16" s="335">
        <f t="shared" si="60"/>
        <v>8.8999999999999995E-5</v>
      </c>
      <c r="CZ16" s="338">
        <v>8.8999999999999995E-5</v>
      </c>
      <c r="DA16" s="345">
        <f t="shared" si="61"/>
        <v>2.6225323915230914E-2</v>
      </c>
      <c r="DB16" s="387">
        <f t="shared" si="62"/>
        <v>5.3336611399047773E-2</v>
      </c>
      <c r="DC16" s="114">
        <f t="shared" si="91"/>
        <v>0</v>
      </c>
      <c r="DD16" s="378">
        <f t="shared" si="92"/>
        <v>0</v>
      </c>
      <c r="DE16" s="378">
        <f t="shared" si="63"/>
        <v>0</v>
      </c>
      <c r="DF16" s="340">
        <f t="shared" si="93"/>
        <v>0</v>
      </c>
      <c r="DG16" s="378">
        <f t="shared" si="94"/>
        <v>0</v>
      </c>
      <c r="DH16" s="378">
        <f t="shared" si="64"/>
        <v>0</v>
      </c>
      <c r="DI16" s="340">
        <f>DI15+(DI18-DI8)/10</f>
        <v>0</v>
      </c>
      <c r="DJ16" s="349">
        <f t="shared" ref="DJ16:DM16" si="117">DJ15+(DJ18-DJ8)/10</f>
        <v>0</v>
      </c>
      <c r="DK16" s="350">
        <f t="shared" si="65"/>
        <v>0</v>
      </c>
      <c r="DL16" s="345">
        <f t="shared" si="117"/>
        <v>0</v>
      </c>
      <c r="DM16" s="349">
        <f t="shared" si="117"/>
        <v>0</v>
      </c>
      <c r="DN16" s="396">
        <f t="shared" si="66"/>
        <v>0</v>
      </c>
      <c r="DO16" s="335">
        <f t="shared" si="103"/>
        <v>0</v>
      </c>
      <c r="DP16" s="350">
        <f t="shared" si="104"/>
        <v>0</v>
      </c>
      <c r="DQ16" s="349">
        <f t="shared" si="67"/>
        <v>0</v>
      </c>
      <c r="DR16" s="335">
        <f t="shared" si="105"/>
        <v>0</v>
      </c>
      <c r="DS16" s="350">
        <f t="shared" si="106"/>
        <v>0</v>
      </c>
      <c r="DT16" s="349">
        <f t="shared" si="68"/>
        <v>0</v>
      </c>
      <c r="DU16" s="335">
        <f>DU15+(DU18-DU13)/5</f>
        <v>0</v>
      </c>
      <c r="DV16" s="350">
        <f>DV15+(DV18-DV13)/5</f>
        <v>0</v>
      </c>
      <c r="DW16" s="350">
        <f t="shared" si="69"/>
        <v>0</v>
      </c>
      <c r="DX16" s="335">
        <f>DX15+(DX18-DX13)/5</f>
        <v>0</v>
      </c>
      <c r="DY16" s="350">
        <f>DY15+(DY18-DY13)/5</f>
        <v>0</v>
      </c>
      <c r="DZ16" s="396">
        <f t="shared" si="70"/>
        <v>0</v>
      </c>
      <c r="EA16" s="350">
        <f t="shared" si="71"/>
        <v>0</v>
      </c>
      <c r="EB16" s="350">
        <f t="shared" si="72"/>
        <v>0</v>
      </c>
      <c r="EC16" s="349">
        <f t="shared" si="73"/>
        <v>0</v>
      </c>
      <c r="ED16" s="335">
        <f t="shared" si="74"/>
        <v>0</v>
      </c>
      <c r="EE16" s="350">
        <f t="shared" si="75"/>
        <v>0</v>
      </c>
      <c r="EF16" s="387">
        <f t="shared" si="76"/>
        <v>0</v>
      </c>
      <c r="EG16" s="335">
        <f t="shared" si="77"/>
        <v>0</v>
      </c>
      <c r="EH16" s="350">
        <f t="shared" si="78"/>
        <v>0</v>
      </c>
      <c r="EI16" s="387">
        <f t="shared" si="79"/>
        <v>0</v>
      </c>
      <c r="EJ16" s="335">
        <f t="shared" si="80"/>
        <v>0</v>
      </c>
      <c r="EK16" s="350">
        <f t="shared" si="81"/>
        <v>0</v>
      </c>
      <c r="EL16" s="387">
        <f t="shared" si="82"/>
        <v>0</v>
      </c>
      <c r="EO16" s="318">
        <v>80</v>
      </c>
      <c r="EP16" s="315" t="s">
        <v>202</v>
      </c>
      <c r="EQ16" s="308">
        <v>0.72</v>
      </c>
      <c r="ER16" s="308">
        <v>0.65</v>
      </c>
      <c r="ES16" s="308">
        <v>0.79</v>
      </c>
      <c r="ET16" s="320">
        <f t="shared" si="107"/>
        <v>113.07498586559048</v>
      </c>
      <c r="EU16" s="320">
        <f t="shared" si="108"/>
        <v>43.973605614396305</v>
      </c>
      <c r="EV16" s="350">
        <f t="shared" ca="1" si="109"/>
        <v>0.68836303665975906</v>
      </c>
      <c r="EW16" s="362">
        <f t="shared" si="99"/>
        <v>0.72</v>
      </c>
      <c r="EY16" s="363">
        <v>40</v>
      </c>
      <c r="EZ16" s="346">
        <v>6.3E-2</v>
      </c>
      <c r="FA16" s="347">
        <f t="shared" si="86"/>
        <v>5.04E-2</v>
      </c>
      <c r="FB16" s="347">
        <f t="shared" si="87"/>
        <v>7.5600000000000001E-2</v>
      </c>
      <c r="FC16" s="33">
        <f t="shared" si="88"/>
        <v>89.923172874759857</v>
      </c>
      <c r="FD16" s="33">
        <f t="shared" si="89"/>
        <v>1337.4287775182538</v>
      </c>
      <c r="FE16" s="308">
        <f t="shared" ca="1" si="100"/>
        <v>5.5100274231604303E-2</v>
      </c>
      <c r="FF16" s="364">
        <f t="shared" si="111"/>
        <v>0.40599999999999997</v>
      </c>
      <c r="FG16" s="234"/>
      <c r="FH16" s="324">
        <v>45</v>
      </c>
      <c r="FI16" s="47"/>
      <c r="FJ16" s="323" t="s">
        <v>250</v>
      </c>
      <c r="FK16" s="323">
        <v>0.59099999999999997</v>
      </c>
      <c r="FL16" s="347">
        <f>FK16*(1-owsa_boc)</f>
        <v>0.4728</v>
      </c>
      <c r="FM16" s="347">
        <f>FK16*(1+owsa_boc)</f>
        <v>0.70919999999999994</v>
      </c>
      <c r="FN16" s="33">
        <f t="shared" si="116"/>
        <v>0.10343687723509754</v>
      </c>
      <c r="FO16" s="347">
        <f ca="1">_xlfn.LOGNORM.INV(RAND(),LN(FK16)-(FN16^2)/2,FN16)</f>
        <v>0.59218136112313358</v>
      </c>
      <c r="FP16" s="362">
        <f>IF($FP$13,IF(psa,FO16,FK16),1)</f>
        <v>0.59099999999999997</v>
      </c>
    </row>
    <row r="17" spans="2:172" ht="15" customHeight="1" x14ac:dyDescent="0.2">
      <c r="Q17" s="10">
        <v>11</v>
      </c>
      <c r="R17" s="10">
        <f t="shared" si="2"/>
        <v>56</v>
      </c>
      <c r="S17" s="309">
        <f t="shared" si="26"/>
        <v>0.41902481223520671</v>
      </c>
      <c r="T17" s="309">
        <f t="shared" si="27"/>
        <v>0</v>
      </c>
      <c r="U17" s="309">
        <f t="shared" si="28"/>
        <v>2.2268797646418587E-3</v>
      </c>
      <c r="V17" s="235">
        <f t="shared" si="29"/>
        <v>2.3532932378614757E-2</v>
      </c>
      <c r="W17" s="235">
        <f t="shared" si="30"/>
        <v>6.6212348693949485E-2</v>
      </c>
      <c r="X17" s="309">
        <f t="shared" si="31"/>
        <v>1.2036337645669458E-4</v>
      </c>
      <c r="Y17" s="235">
        <f t="shared" si="32"/>
        <v>6.5304649979848993E-3</v>
      </c>
      <c r="Z17" s="235">
        <f t="shared" si="33"/>
        <v>1.2228686492111234E-2</v>
      </c>
      <c r="AA17" s="235">
        <f t="shared" si="34"/>
        <v>0.32492794729603119</v>
      </c>
      <c r="AB17" s="235">
        <f t="shared" si="35"/>
        <v>2.3601729186537206E-3</v>
      </c>
      <c r="AC17" s="235">
        <f t="shared" si="36"/>
        <v>1.2365536315446936E-2</v>
      </c>
      <c r="AD17" s="235">
        <f t="shared" si="37"/>
        <v>0.13046985553090262</v>
      </c>
      <c r="AE17" s="235">
        <f t="shared" si="38"/>
        <v>1.0000000000000004</v>
      </c>
      <c r="AF17" s="101">
        <f t="shared" si="3"/>
        <v>0</v>
      </c>
      <c r="AG17" s="101">
        <f t="shared" si="4"/>
        <v>9.5070449866112163</v>
      </c>
      <c r="AH17" s="101">
        <f t="shared" si="5"/>
        <v>281.53030305973328</v>
      </c>
      <c r="AI17" s="101">
        <f t="shared" si="6"/>
        <v>193.83225870493354</v>
      </c>
      <c r="AJ17" s="101">
        <f t="shared" si="7"/>
        <v>681.51110970993182</v>
      </c>
      <c r="AK17" s="101">
        <f t="shared" si="39"/>
        <v>1115.7152240186754</v>
      </c>
      <c r="AL17" s="235">
        <f t="shared" si="40"/>
        <v>0.28757681779243899</v>
      </c>
      <c r="AM17" s="235">
        <f t="shared" si="8"/>
        <v>1.581222276710245E-3</v>
      </c>
      <c r="AN17" s="235">
        <f t="shared" si="9"/>
        <v>6.6074065012695166E-2</v>
      </c>
      <c r="AO17" s="235">
        <f t="shared" si="10"/>
        <v>5.8571165723799168E-3</v>
      </c>
      <c r="AP17" s="235">
        <f t="shared" si="11"/>
        <v>1.0707645754534428E-3</v>
      </c>
      <c r="AQ17" s="235">
        <f t="shared" si="12"/>
        <v>0.19656708971765366</v>
      </c>
      <c r="AR17" s="101">
        <f t="shared" si="41"/>
        <v>2282.095940479885</v>
      </c>
      <c r="AS17" s="235">
        <f t="shared" si="42"/>
        <v>0.55872707594733151</v>
      </c>
      <c r="AT17" s="235">
        <f t="shared" si="13"/>
        <v>0.62816707700847174</v>
      </c>
      <c r="AV17" s="10">
        <v>11</v>
      </c>
      <c r="AW17" s="10">
        <f t="shared" si="43"/>
        <v>56</v>
      </c>
      <c r="AX17" s="309">
        <f t="shared" si="44"/>
        <v>0.49349432600658266</v>
      </c>
      <c r="AY17" s="309">
        <f t="shared" si="45"/>
        <v>5.1199398405620969E-5</v>
      </c>
      <c r="AZ17" s="309">
        <f t="shared" si="46"/>
        <v>5.1199398405620969E-5</v>
      </c>
      <c r="BA17" s="235">
        <f t="shared" si="47"/>
        <v>3.0886287885135764E-3</v>
      </c>
      <c r="BB17" s="235">
        <f t="shared" si="48"/>
        <v>5.1610374565212429E-3</v>
      </c>
      <c r="BC17" s="309">
        <f t="shared" si="49"/>
        <v>1.5707945872012148E-5</v>
      </c>
      <c r="BD17" s="235">
        <f t="shared" si="50"/>
        <v>4.8063152677499015E-3</v>
      </c>
      <c r="BE17" s="235">
        <f t="shared" si="51"/>
        <v>1.3332846515887689E-2</v>
      </c>
      <c r="BF17" s="235">
        <f t="shared" si="52"/>
        <v>0.33235466244334244</v>
      </c>
      <c r="BG17" s="235">
        <f t="shared" si="53"/>
        <v>2.5346310137255366E-3</v>
      </c>
      <c r="BH17" s="235">
        <f t="shared" si="54"/>
        <v>1.30608352362236E-2</v>
      </c>
      <c r="BI17" s="235">
        <f t="shared" si="55"/>
        <v>0.13204861052877045</v>
      </c>
      <c r="BJ17" s="235">
        <f t="shared" si="56"/>
        <v>1.0000000000000004</v>
      </c>
      <c r="BK17" s="101">
        <f t="shared" si="14"/>
        <v>0.27566305418332471</v>
      </c>
      <c r="BL17" s="101">
        <f t="shared" si="15"/>
        <v>0.21858161884548455</v>
      </c>
      <c r="BM17" s="101">
        <f t="shared" si="16"/>
        <v>306.95040899840143</v>
      </c>
      <c r="BN17" s="101">
        <f t="shared" si="17"/>
        <v>208.15985578473524</v>
      </c>
      <c r="BO17" s="101">
        <f t="shared" si="18"/>
        <v>699.93420699874389</v>
      </c>
      <c r="BP17" s="101">
        <f t="shared" si="57"/>
        <v>1149.7031149972322</v>
      </c>
      <c r="BQ17" s="235">
        <f t="shared" si="19"/>
        <v>0.33868526093852519</v>
      </c>
      <c r="BR17" s="235">
        <f t="shared" si="20"/>
        <v>6.82383841169744E-5</v>
      </c>
      <c r="BS17" s="235">
        <f t="shared" si="21"/>
        <v>8.9603228901299885E-3</v>
      </c>
      <c r="BT17" s="235">
        <f t="shared" si="22"/>
        <v>6.3859709164660527E-3</v>
      </c>
      <c r="BU17" s="235">
        <f t="shared" si="23"/>
        <v>1.1499128220194379E-3</v>
      </c>
      <c r="BV17" s="235">
        <f t="shared" si="24"/>
        <v>0.20127457060660994</v>
      </c>
      <c r="BW17" s="101">
        <f t="shared" si="58"/>
        <v>2365.2418314521415</v>
      </c>
      <c r="BX17" s="235">
        <f t="shared" si="59"/>
        <v>0.55652427655786751</v>
      </c>
      <c r="BY17" s="235">
        <f t="shared" si="25"/>
        <v>0.62702655080747549</v>
      </c>
      <c r="CA17" s="23"/>
      <c r="CB17" s="237"/>
      <c r="CC17" s="237"/>
      <c r="CD17" s="238"/>
      <c r="CE17" s="239"/>
      <c r="CF17" s="239"/>
      <c r="CG17" s="239"/>
      <c r="CH17" s="239"/>
      <c r="CJ17" s="10">
        <v>9</v>
      </c>
      <c r="CK17" s="450">
        <v>0</v>
      </c>
      <c r="CL17" s="450">
        <v>0</v>
      </c>
      <c r="CM17" s="450">
        <v>0</v>
      </c>
      <c r="CN17" s="450">
        <v>0</v>
      </c>
      <c r="CO17" s="451">
        <v>0.36530054399696704</v>
      </c>
      <c r="CP17" s="451">
        <v>0.62256869074559607</v>
      </c>
      <c r="CQ17" s="451">
        <v>0.11605191562351565</v>
      </c>
      <c r="CR17" s="451">
        <v>0.13455399193110559</v>
      </c>
      <c r="CS17" s="451">
        <v>25.515700598900061</v>
      </c>
      <c r="CT17" s="451">
        <v>24.976670203349293</v>
      </c>
      <c r="CU17" s="234">
        <v>0.53903039555076759</v>
      </c>
      <c r="CX17" s="377">
        <v>9</v>
      </c>
      <c r="CY17" s="335">
        <f t="shared" si="60"/>
        <v>8.3999999999999995E-5</v>
      </c>
      <c r="CZ17" s="338">
        <v>8.3999999999999995E-5</v>
      </c>
      <c r="DA17" s="345">
        <f t="shared" si="61"/>
        <v>2.6225323915230914E-2</v>
      </c>
      <c r="DB17" s="387">
        <f t="shared" si="62"/>
        <v>5.3336611399047773E-2</v>
      </c>
      <c r="DC17" s="114">
        <f t="shared" si="91"/>
        <v>0</v>
      </c>
      <c r="DD17" s="378">
        <f t="shared" si="92"/>
        <v>0</v>
      </c>
      <c r="DE17" s="378">
        <f t="shared" si="63"/>
        <v>0</v>
      </c>
      <c r="DF17" s="340">
        <f t="shared" si="93"/>
        <v>0</v>
      </c>
      <c r="DG17" s="378">
        <f t="shared" si="94"/>
        <v>0</v>
      </c>
      <c r="DH17" s="378">
        <f t="shared" si="64"/>
        <v>0</v>
      </c>
      <c r="DI17" s="340">
        <f>DI16+(DI18-DI8)/10</f>
        <v>0</v>
      </c>
      <c r="DJ17" s="349">
        <f t="shared" ref="DJ17:DM17" si="118">DJ16+(DJ18-DJ8)/10</f>
        <v>0</v>
      </c>
      <c r="DK17" s="350">
        <f t="shared" si="65"/>
        <v>0</v>
      </c>
      <c r="DL17" s="345">
        <f t="shared" si="118"/>
        <v>0</v>
      </c>
      <c r="DM17" s="349">
        <f t="shared" si="118"/>
        <v>0</v>
      </c>
      <c r="DN17" s="396">
        <f t="shared" si="66"/>
        <v>0</v>
      </c>
      <c r="DO17" s="335">
        <f t="shared" si="103"/>
        <v>0</v>
      </c>
      <c r="DP17" s="350">
        <f t="shared" si="104"/>
        <v>0</v>
      </c>
      <c r="DQ17" s="349">
        <f t="shared" si="67"/>
        <v>0</v>
      </c>
      <c r="DR17" s="335">
        <f t="shared" si="105"/>
        <v>0</v>
      </c>
      <c r="DS17" s="350">
        <f t="shared" si="106"/>
        <v>0</v>
      </c>
      <c r="DT17" s="349">
        <f t="shared" si="68"/>
        <v>0</v>
      </c>
      <c r="DU17" s="335">
        <f>DU16+(DU18-DU13)/5</f>
        <v>0</v>
      </c>
      <c r="DV17" s="350">
        <f>DV16+(DV18-DV13)/5</f>
        <v>0</v>
      </c>
      <c r="DW17" s="350">
        <f t="shared" si="69"/>
        <v>0</v>
      </c>
      <c r="DX17" s="335">
        <f>DX16+(DX18-DX13)/5</f>
        <v>0</v>
      </c>
      <c r="DY17" s="350">
        <f>DY16+(DY18-DY13)/5</f>
        <v>0</v>
      </c>
      <c r="DZ17" s="396">
        <f t="shared" si="70"/>
        <v>0</v>
      </c>
      <c r="EA17" s="350">
        <f t="shared" si="71"/>
        <v>0</v>
      </c>
      <c r="EB17" s="350">
        <f t="shared" si="72"/>
        <v>0</v>
      </c>
      <c r="EC17" s="349">
        <f t="shared" si="73"/>
        <v>0</v>
      </c>
      <c r="ED17" s="335">
        <f t="shared" si="74"/>
        <v>0</v>
      </c>
      <c r="EE17" s="350">
        <f t="shared" si="75"/>
        <v>0</v>
      </c>
      <c r="EF17" s="387">
        <f t="shared" si="76"/>
        <v>0</v>
      </c>
      <c r="EG17" s="335">
        <f t="shared" si="77"/>
        <v>0</v>
      </c>
      <c r="EH17" s="350">
        <f t="shared" si="78"/>
        <v>0</v>
      </c>
      <c r="EI17" s="387">
        <f t="shared" si="79"/>
        <v>0</v>
      </c>
      <c r="EJ17" s="335">
        <f t="shared" si="80"/>
        <v>0</v>
      </c>
      <c r="EK17" s="350">
        <f t="shared" si="81"/>
        <v>0</v>
      </c>
      <c r="EL17" s="387">
        <f t="shared" si="82"/>
        <v>0</v>
      </c>
      <c r="EO17" s="318">
        <v>90</v>
      </c>
      <c r="EP17" s="315"/>
      <c r="EQ17" s="308">
        <v>0.72</v>
      </c>
      <c r="ER17" s="308">
        <v>0.65</v>
      </c>
      <c r="ES17" s="308">
        <v>0.79</v>
      </c>
      <c r="ET17" s="320">
        <f t="shared" ref="ET17:ET18" si="119">EQ17^2*(1-EQ17)/((ES17-ER17)/(2*z))^2-EQ17</f>
        <v>113.07498586559048</v>
      </c>
      <c r="EU17" s="320">
        <f t="shared" ref="EU17:EU18" si="120">(EQ17^2*(1-EQ17)/((ES17-ER17)/(2*z))^2-EQ17)*(1-EQ17)/EQ17</f>
        <v>43.973605614396305</v>
      </c>
      <c r="EV17" s="350">
        <f t="shared" ref="EV17:EV18" ca="1" si="121">_xlfn.BETA.INV(RAND(),ET17,EU17)</f>
        <v>0.75424779218794447</v>
      </c>
      <c r="EW17" s="362">
        <f t="shared" si="99"/>
        <v>0.72</v>
      </c>
      <c r="EY17" s="363">
        <v>45</v>
      </c>
      <c r="EZ17" s="346">
        <v>2.1999999999999999E-2</v>
      </c>
      <c r="FA17" s="347">
        <f t="shared" si="86"/>
        <v>1.7600000000000001E-2</v>
      </c>
      <c r="FB17" s="347">
        <f t="shared" si="87"/>
        <v>2.6399999999999996E-2</v>
      </c>
      <c r="FC17" s="33">
        <f t="shared" si="88"/>
        <v>93.901668165971387</v>
      </c>
      <c r="FD17" s="33">
        <f t="shared" si="89"/>
        <v>4174.3559757418188</v>
      </c>
      <c r="FE17" s="308">
        <f t="shared" ca="1" si="100"/>
        <v>2.0510495295604243E-2</v>
      </c>
      <c r="FF17" s="364">
        <f t="shared" si="111"/>
        <v>0.42799999999999999</v>
      </c>
      <c r="FH17" s="324">
        <v>55</v>
      </c>
      <c r="FI17" s="47"/>
      <c r="FJ17" s="323" t="s">
        <v>251</v>
      </c>
      <c r="FK17" s="323">
        <v>0.495</v>
      </c>
      <c r="FL17" s="347">
        <f>FK17*(1-owsa_boc)</f>
        <v>0.39600000000000002</v>
      </c>
      <c r="FM17" s="347">
        <f>FK17*(1+owsa_boc)</f>
        <v>0.59399999999999997</v>
      </c>
      <c r="FN17" s="33">
        <f t="shared" si="116"/>
        <v>0.10343687723509754</v>
      </c>
      <c r="FO17" s="347">
        <f ca="1">_xlfn.LOGNORM.INV(RAND(),LN(FK17)-(FN17^2)/2,FN17)</f>
        <v>0.50491577565741685</v>
      </c>
      <c r="FP17" s="362">
        <f>IF($FP$13,IF(psa,FO17,FK17),1)</f>
        <v>0.495</v>
      </c>
    </row>
    <row r="18" spans="2:172" ht="15" customHeight="1" x14ac:dyDescent="0.2">
      <c r="Q18" s="10">
        <v>12</v>
      </c>
      <c r="R18" s="10">
        <f t="shared" si="2"/>
        <v>57</v>
      </c>
      <c r="S18" s="309">
        <f t="shared" si="26"/>
        <v>0.40167510764208325</v>
      </c>
      <c r="T18" s="309">
        <f t="shared" si="27"/>
        <v>0</v>
      </c>
      <c r="U18" s="309">
        <f t="shared" si="28"/>
        <v>2.1355132091493002E-3</v>
      </c>
      <c r="V18" s="235">
        <f t="shared" si="29"/>
        <v>2.3167967749538061E-2</v>
      </c>
      <c r="W18" s="235">
        <f t="shared" si="30"/>
        <v>6.7032465933186403E-2</v>
      </c>
      <c r="X18" s="309">
        <f t="shared" si="31"/>
        <v>1.199329645337089E-4</v>
      </c>
      <c r="Y18" s="235">
        <f t="shared" si="32"/>
        <v>6.6048476145919117E-3</v>
      </c>
      <c r="Z18" s="235">
        <f t="shared" si="33"/>
        <v>1.1791748300713355E-2</v>
      </c>
      <c r="AA18" s="235">
        <f t="shared" si="34"/>
        <v>0.32612613525794309</v>
      </c>
      <c r="AB18" s="235">
        <f t="shared" si="35"/>
        <v>2.2752436506523884E-3</v>
      </c>
      <c r="AC18" s="235">
        <f t="shared" si="36"/>
        <v>1.2635900494114685E-2</v>
      </c>
      <c r="AD18" s="235">
        <f t="shared" si="37"/>
        <v>0.14643513718349402</v>
      </c>
      <c r="AE18" s="235">
        <f t="shared" si="38"/>
        <v>1.0000000000000002</v>
      </c>
      <c r="AF18" s="101">
        <f t="shared" si="3"/>
        <v>0</v>
      </c>
      <c r="AG18" s="101">
        <f t="shared" si="4"/>
        <v>8.8514377094621803</v>
      </c>
      <c r="AH18" s="101">
        <f t="shared" si="5"/>
        <v>263.56413499206548</v>
      </c>
      <c r="AI18" s="101">
        <f t="shared" si="6"/>
        <v>181.41488596002586</v>
      </c>
      <c r="AJ18" s="101">
        <f t="shared" si="7"/>
        <v>665.60622775372349</v>
      </c>
      <c r="AK18" s="101">
        <f t="shared" si="39"/>
        <v>1091.7007991658934</v>
      </c>
      <c r="AL18" s="235">
        <f t="shared" si="40"/>
        <v>0.26764049693077879</v>
      </c>
      <c r="AM18" s="235">
        <f t="shared" si="8"/>
        <v>1.4733477164184123E-3</v>
      </c>
      <c r="AN18" s="235">
        <f t="shared" si="9"/>
        <v>6.4502412768440889E-2</v>
      </c>
      <c r="AO18" s="235">
        <f t="shared" si="10"/>
        <v>5.4833381919084786E-3</v>
      </c>
      <c r="AP18" s="235">
        <f t="shared" si="11"/>
        <v>1.0021687547975601E-3</v>
      </c>
      <c r="AQ18" s="235">
        <f t="shared" si="12"/>
        <v>0.1916590786265395</v>
      </c>
      <c r="AR18" s="101">
        <f t="shared" si="41"/>
        <v>2211.1374855811705</v>
      </c>
      <c r="AS18" s="235">
        <f t="shared" si="42"/>
        <v>0.53176084298888371</v>
      </c>
      <c r="AT18" s="235">
        <f t="shared" si="13"/>
        <v>0.59867322121917266</v>
      </c>
      <c r="AV18" s="10">
        <v>12</v>
      </c>
      <c r="AW18" s="10">
        <f t="shared" si="43"/>
        <v>57</v>
      </c>
      <c r="AX18" s="309">
        <f t="shared" si="44"/>
        <v>0.47547755426469679</v>
      </c>
      <c r="AY18" s="309">
        <f t="shared" si="45"/>
        <v>4.9349432600658269E-5</v>
      </c>
      <c r="AZ18" s="309">
        <f t="shared" si="46"/>
        <v>4.9349432600658269E-5</v>
      </c>
      <c r="BA18" s="235">
        <f t="shared" si="47"/>
        <v>3.0919276430337347E-3</v>
      </c>
      <c r="BB18" s="235">
        <f t="shared" si="48"/>
        <v>5.1025842866483304E-3</v>
      </c>
      <c r="BC18" s="309">
        <f t="shared" si="49"/>
        <v>1.5740852053236382E-5</v>
      </c>
      <c r="BD18" s="235">
        <f t="shared" si="50"/>
        <v>4.7881821275497175E-3</v>
      </c>
      <c r="BE18" s="235">
        <f t="shared" si="51"/>
        <v>1.2852981826554838E-2</v>
      </c>
      <c r="BF18" s="235">
        <f t="shared" si="52"/>
        <v>0.33437791223962626</v>
      </c>
      <c r="BG18" s="235">
        <f t="shared" si="53"/>
        <v>2.4440801484982696E-3</v>
      </c>
      <c r="BH18" s="235">
        <f t="shared" si="54"/>
        <v>1.3382225369311142E-2</v>
      </c>
      <c r="BI18" s="235">
        <f t="shared" si="55"/>
        <v>0.14836811237682679</v>
      </c>
      <c r="BJ18" s="235">
        <f t="shared" si="56"/>
        <v>1.0000000000000004</v>
      </c>
      <c r="BK18" s="101">
        <f t="shared" si="14"/>
        <v>0.25796372796810896</v>
      </c>
      <c r="BL18" s="101">
        <f t="shared" si="15"/>
        <v>0.20454728483559095</v>
      </c>
      <c r="BM18" s="101">
        <f t="shared" si="16"/>
        <v>287.28437469952848</v>
      </c>
      <c r="BN18" s="101">
        <f t="shared" si="17"/>
        <v>194.87694044980248</v>
      </c>
      <c r="BO18" s="101">
        <f t="shared" si="18"/>
        <v>685.3042552252864</v>
      </c>
      <c r="BP18" s="101">
        <f t="shared" si="57"/>
        <v>1127.8411567147466</v>
      </c>
      <c r="BQ18" s="235">
        <f t="shared" si="19"/>
        <v>0.31681587054238991</v>
      </c>
      <c r="BR18" s="235">
        <f t="shared" si="20"/>
        <v>6.3855122891176216E-5</v>
      </c>
      <c r="BS18" s="235">
        <f t="shared" si="21"/>
        <v>8.6505103823210899E-3</v>
      </c>
      <c r="BT18" s="235">
        <f t="shared" si="22"/>
        <v>5.9768275519576806E-3</v>
      </c>
      <c r="BU18" s="235">
        <f t="shared" si="23"/>
        <v>1.0765355870100452E-3</v>
      </c>
      <c r="BV18" s="235">
        <f t="shared" si="24"/>
        <v>0.19672394843179736</v>
      </c>
      <c r="BW18" s="101">
        <f t="shared" si="58"/>
        <v>2295.7692381021679</v>
      </c>
      <c r="BX18" s="235">
        <f t="shared" si="59"/>
        <v>0.52930754761836729</v>
      </c>
      <c r="BY18" s="235">
        <f t="shared" si="25"/>
        <v>0.59731747130965718</v>
      </c>
      <c r="CA18" s="23"/>
      <c r="CB18" s="237"/>
      <c r="CC18" s="237"/>
      <c r="CD18" s="238"/>
      <c r="CE18" s="239"/>
      <c r="CF18" s="239"/>
      <c r="CG18" s="239"/>
      <c r="CH18" s="239"/>
      <c r="CJ18" s="10">
        <v>10</v>
      </c>
      <c r="CK18" s="450">
        <v>0</v>
      </c>
      <c r="CL18" s="450">
        <v>0</v>
      </c>
      <c r="CM18" s="450">
        <v>0</v>
      </c>
      <c r="CN18" s="450">
        <v>0</v>
      </c>
      <c r="CO18" s="451">
        <v>0.36533086645888291</v>
      </c>
      <c r="CP18" s="451">
        <v>0.62271438573487981</v>
      </c>
      <c r="CQ18" s="451">
        <v>0.11606154873206033</v>
      </c>
      <c r="CR18" s="451">
        <v>0.13456704244187578</v>
      </c>
      <c r="CS18" s="451">
        <v>25.357782649650268</v>
      </c>
      <c r="CT18" s="451">
        <v>24.800816774725472</v>
      </c>
      <c r="CU18" s="234">
        <v>0.55696587492479566</v>
      </c>
      <c r="CX18" s="377">
        <v>10</v>
      </c>
      <c r="CY18" s="335">
        <f t="shared" si="60"/>
        <v>8.2999999999999998E-5</v>
      </c>
      <c r="CZ18" s="338">
        <v>8.2999999999999998E-5</v>
      </c>
      <c r="DA18" s="345">
        <f t="shared" si="61"/>
        <v>2.6321364267824943E-2</v>
      </c>
      <c r="DB18" s="387">
        <f t="shared" si="62"/>
        <v>5.3429977850098509E-2</v>
      </c>
      <c r="DC18" s="114">
        <f t="shared" si="91"/>
        <v>0</v>
      </c>
      <c r="DD18" s="378">
        <f t="shared" si="92"/>
        <v>0</v>
      </c>
      <c r="DE18" s="378">
        <f t="shared" si="63"/>
        <v>0</v>
      </c>
      <c r="DF18" s="340">
        <f t="shared" si="93"/>
        <v>0</v>
      </c>
      <c r="DG18" s="378">
        <f t="shared" si="94"/>
        <v>0</v>
      </c>
      <c r="DH18" s="378">
        <f t="shared" si="64"/>
        <v>0</v>
      </c>
      <c r="DI18" s="340">
        <f>VLOOKUP($CX18,$EO$8:$EW$18,9,FALSE)</f>
        <v>0</v>
      </c>
      <c r="DJ18" s="349">
        <f>VLOOKUP($CX18,$EO$22:$EW$32,9,FALSE)</f>
        <v>0</v>
      </c>
      <c r="DK18" s="350">
        <f t="shared" si="65"/>
        <v>0</v>
      </c>
      <c r="DL18" s="345">
        <f>VLOOKUP($CX18,$EO$36:$EW$46,9,FALSE)</f>
        <v>0</v>
      </c>
      <c r="DM18" s="349">
        <f>VLOOKUP($CX18,$EO$50:$EW$60,9,FALSE)</f>
        <v>0</v>
      </c>
      <c r="DN18" s="396">
        <f t="shared" si="66"/>
        <v>0</v>
      </c>
      <c r="DO18" s="335">
        <f t="shared" si="103"/>
        <v>0</v>
      </c>
      <c r="DP18" s="350">
        <f t="shared" si="104"/>
        <v>0</v>
      </c>
      <c r="DQ18" s="349">
        <f t="shared" si="67"/>
        <v>0</v>
      </c>
      <c r="DR18" s="335">
        <f t="shared" si="105"/>
        <v>0</v>
      </c>
      <c r="DS18" s="350">
        <f t="shared" si="106"/>
        <v>0</v>
      </c>
      <c r="DT18" s="349">
        <f t="shared" si="68"/>
        <v>0</v>
      </c>
      <c r="DU18" s="335">
        <f>VLOOKUP($CX18,$EY$8:$FF$28,8,FALSE)</f>
        <v>0</v>
      </c>
      <c r="DV18" s="350">
        <f>VLOOKUP($CX18,$EY$32:$FF$52,8,FALSE)</f>
        <v>0</v>
      </c>
      <c r="DW18" s="350">
        <f t="shared" si="69"/>
        <v>0</v>
      </c>
      <c r="DX18" s="335">
        <f>VLOOKUP($CX18,$EY$56:$FF$76,8,FALSE)</f>
        <v>0</v>
      </c>
      <c r="DY18" s="350">
        <f>VLOOKUP($CX18,$EY$80:$FF$100,8,FALSE)</f>
        <v>0</v>
      </c>
      <c r="DZ18" s="396">
        <f t="shared" si="70"/>
        <v>0</v>
      </c>
      <c r="EA18" s="350">
        <f t="shared" si="71"/>
        <v>0</v>
      </c>
      <c r="EB18" s="350">
        <f t="shared" si="72"/>
        <v>0</v>
      </c>
      <c r="EC18" s="349">
        <f t="shared" si="73"/>
        <v>0</v>
      </c>
      <c r="ED18" s="335">
        <f t="shared" si="74"/>
        <v>0</v>
      </c>
      <c r="EE18" s="350">
        <f t="shared" si="75"/>
        <v>0</v>
      </c>
      <c r="EF18" s="387">
        <f t="shared" si="76"/>
        <v>0</v>
      </c>
      <c r="EG18" s="335">
        <f t="shared" si="77"/>
        <v>0</v>
      </c>
      <c r="EH18" s="350">
        <f t="shared" si="78"/>
        <v>0</v>
      </c>
      <c r="EI18" s="387">
        <f t="shared" si="79"/>
        <v>0</v>
      </c>
      <c r="EJ18" s="335">
        <f t="shared" si="80"/>
        <v>0</v>
      </c>
      <c r="EK18" s="350">
        <f t="shared" si="81"/>
        <v>0</v>
      </c>
      <c r="EL18" s="387">
        <f t="shared" si="82"/>
        <v>0</v>
      </c>
      <c r="EO18" s="318">
        <v>100</v>
      </c>
      <c r="EP18" s="315"/>
      <c r="EQ18" s="308">
        <v>0.72</v>
      </c>
      <c r="ER18" s="308">
        <v>0.65</v>
      </c>
      <c r="ES18" s="308">
        <v>0.79</v>
      </c>
      <c r="ET18" s="320">
        <f t="shared" si="119"/>
        <v>113.07498586559048</v>
      </c>
      <c r="EU18" s="320">
        <f t="shared" si="120"/>
        <v>43.973605614396305</v>
      </c>
      <c r="EV18" s="350">
        <f t="shared" ca="1" si="121"/>
        <v>0.71027903477561349</v>
      </c>
      <c r="EW18" s="362">
        <f t="shared" si="99"/>
        <v>0.72</v>
      </c>
      <c r="EY18" s="363">
        <v>50</v>
      </c>
      <c r="EZ18" s="346">
        <v>3.5999999999999997E-2</v>
      </c>
      <c r="FA18" s="347">
        <f t="shared" si="86"/>
        <v>2.8799999999999999E-2</v>
      </c>
      <c r="FB18" s="347">
        <f t="shared" si="87"/>
        <v>4.3199999999999995E-2</v>
      </c>
      <c r="FC18" s="33">
        <f t="shared" si="88"/>
        <v>92.543157578728412</v>
      </c>
      <c r="FD18" s="33">
        <f t="shared" si="89"/>
        <v>2478.1001084970608</v>
      </c>
      <c r="FE18" s="308">
        <f t="shared" ca="1" si="100"/>
        <v>2.9718857437092808E-2</v>
      </c>
      <c r="FF18" s="364">
        <f t="shared" si="111"/>
        <v>0.46399999999999997</v>
      </c>
      <c r="FG18" s="234"/>
      <c r="FH18" s="324">
        <v>65</v>
      </c>
      <c r="FI18" s="47"/>
      <c r="FJ18" s="323" t="s">
        <v>252</v>
      </c>
      <c r="FK18" s="323">
        <v>0.38700000000000001</v>
      </c>
      <c r="FL18" s="347">
        <f>FK18*(1-owsa_boc)</f>
        <v>0.30960000000000004</v>
      </c>
      <c r="FM18" s="347">
        <f>FK18*(1+owsa_boc)</f>
        <v>0.46439999999999998</v>
      </c>
      <c r="FN18" s="33">
        <f t="shared" si="116"/>
        <v>0.10343687723509751</v>
      </c>
      <c r="FO18" s="347">
        <f ca="1">_xlfn.LOGNORM.INV(RAND(),LN(FK18)-(FN18^2)/2,FN18)</f>
        <v>0.32253013455282104</v>
      </c>
      <c r="FP18" s="362">
        <f>IF($FP$13,IF(psa,FO18,FK18),1)</f>
        <v>0.38700000000000001</v>
      </c>
    </row>
    <row r="19" spans="2:172" ht="15" customHeight="1" x14ac:dyDescent="0.2">
      <c r="Q19" s="10">
        <v>13</v>
      </c>
      <c r="R19" s="10">
        <f t="shared" si="2"/>
        <v>58</v>
      </c>
      <c r="S19" s="309">
        <f t="shared" si="26"/>
        <v>0.3848915319665942</v>
      </c>
      <c r="T19" s="309">
        <f t="shared" si="27"/>
        <v>0</v>
      </c>
      <c r="U19" s="309">
        <f t="shared" si="28"/>
        <v>2.0470923752234655E-3</v>
      </c>
      <c r="V19" s="235">
        <f t="shared" si="29"/>
        <v>2.2799882578953195E-2</v>
      </c>
      <c r="W19" s="235">
        <f t="shared" si="30"/>
        <v>6.771838691611759E-2</v>
      </c>
      <c r="X19" s="309">
        <f t="shared" si="31"/>
        <v>1.18072963017073E-4</v>
      </c>
      <c r="Y19" s="235">
        <f t="shared" si="32"/>
        <v>6.6757728568079518E-3</v>
      </c>
      <c r="Z19" s="235">
        <f t="shared" si="33"/>
        <v>1.135410544996884E-2</v>
      </c>
      <c r="AA19" s="235">
        <f t="shared" si="34"/>
        <v>0.32686247979559713</v>
      </c>
      <c r="AB19" s="235">
        <f t="shared" si="35"/>
        <v>2.1899557116578953E-3</v>
      </c>
      <c r="AC19" s="235">
        <f t="shared" si="36"/>
        <v>1.2795019287109037E-2</v>
      </c>
      <c r="AD19" s="235">
        <f t="shared" si="37"/>
        <v>0.16254770009895381</v>
      </c>
      <c r="AE19" s="235">
        <f t="shared" si="38"/>
        <v>1.0000000000000002</v>
      </c>
      <c r="AF19" s="101">
        <f t="shared" si="3"/>
        <v>0</v>
      </c>
      <c r="AG19" s="101">
        <f t="shared" si="4"/>
        <v>8.2378100060281643</v>
      </c>
      <c r="AH19" s="101">
        <f t="shared" si="5"/>
        <v>246.39041594024744</v>
      </c>
      <c r="AI19" s="101">
        <f t="shared" si="6"/>
        <v>169.52865496533536</v>
      </c>
      <c r="AJ19" s="101">
        <f t="shared" si="7"/>
        <v>648.52767021358466</v>
      </c>
      <c r="AK19" s="101">
        <f t="shared" si="39"/>
        <v>1064.8282116808757</v>
      </c>
      <c r="AL19" s="235">
        <f t="shared" si="40"/>
        <v>0.24898778422244541</v>
      </c>
      <c r="AM19" s="235">
        <f t="shared" si="8"/>
        <v>1.3721157886020822E-3</v>
      </c>
      <c r="AN19" s="235">
        <f t="shared" si="9"/>
        <v>6.2875192709922242E-2</v>
      </c>
      <c r="AO19" s="235">
        <f t="shared" si="10"/>
        <v>5.1260463715446236E-3</v>
      </c>
      <c r="AP19" s="235">
        <f t="shared" si="11"/>
        <v>9.3650705756611078E-4</v>
      </c>
      <c r="AQ19" s="235">
        <f t="shared" si="12"/>
        <v>0.18656093490507969</v>
      </c>
      <c r="AR19" s="101">
        <f t="shared" si="41"/>
        <v>2137.5127628060714</v>
      </c>
      <c r="AS19" s="235">
        <f t="shared" si="42"/>
        <v>0.50585858105516013</v>
      </c>
      <c r="AT19" s="235">
        <f t="shared" si="13"/>
        <v>0.57026426579798628</v>
      </c>
      <c r="AV19" s="10">
        <v>13</v>
      </c>
      <c r="AW19" s="10">
        <f t="shared" si="43"/>
        <v>58</v>
      </c>
      <c r="AX19" s="309">
        <f t="shared" si="44"/>
        <v>0.45793834308731773</v>
      </c>
      <c r="AY19" s="309">
        <f t="shared" si="45"/>
        <v>4.754775542646968E-5</v>
      </c>
      <c r="AZ19" s="309">
        <f t="shared" si="46"/>
        <v>4.754775542646968E-5</v>
      </c>
      <c r="BA19" s="235">
        <f t="shared" si="47"/>
        <v>3.0921535303055272E-3</v>
      </c>
      <c r="BB19" s="235">
        <f t="shared" si="48"/>
        <v>5.0415891807842894E-3</v>
      </c>
      <c r="BC19" s="309">
        <f t="shared" si="49"/>
        <v>1.5757664297278164E-5</v>
      </c>
      <c r="BD19" s="235">
        <f t="shared" si="50"/>
        <v>4.7683948472664927E-3</v>
      </c>
      <c r="BE19" s="235">
        <f t="shared" si="51"/>
        <v>1.2385584093134982E-2</v>
      </c>
      <c r="BF19" s="235">
        <f t="shared" si="52"/>
        <v>0.33587080358359689</v>
      </c>
      <c r="BG19" s="235">
        <f t="shared" si="53"/>
        <v>2.3558546601245419E-3</v>
      </c>
      <c r="BH19" s="235">
        <f t="shared" si="54"/>
        <v>1.3580304930196543E-2</v>
      </c>
      <c r="BI19" s="235">
        <f t="shared" si="55"/>
        <v>0.16485611891212332</v>
      </c>
      <c r="BJ19" s="235">
        <f t="shared" si="56"/>
        <v>1.0000000000000007</v>
      </c>
      <c r="BK19" s="101">
        <f t="shared" si="14"/>
        <v>0.24130664209627639</v>
      </c>
      <c r="BL19" s="101">
        <f t="shared" si="15"/>
        <v>0.19133937488951575</v>
      </c>
      <c r="BM19" s="101">
        <f t="shared" si="16"/>
        <v>268.77407734299453</v>
      </c>
      <c r="BN19" s="101">
        <f t="shared" si="17"/>
        <v>182.37120947180185</v>
      </c>
      <c r="BO19" s="101">
        <f t="shared" si="18"/>
        <v>669.21379010161661</v>
      </c>
      <c r="BP19" s="101">
        <f t="shared" si="57"/>
        <v>1102.5617236982762</v>
      </c>
      <c r="BQ19" s="235">
        <f t="shared" si="19"/>
        <v>0.29624204194158638</v>
      </c>
      <c r="BR19" s="235">
        <f t="shared" si="20"/>
        <v>5.9730030688087345E-5</v>
      </c>
      <c r="BS19" s="235">
        <f t="shared" si="21"/>
        <v>8.3464414661820856E-3</v>
      </c>
      <c r="BT19" s="235">
        <f t="shared" si="22"/>
        <v>5.5917287962346371E-3</v>
      </c>
      <c r="BU19" s="235">
        <f t="shared" si="23"/>
        <v>1.0074516594385352E-3</v>
      </c>
      <c r="BV19" s="235">
        <f t="shared" si="24"/>
        <v>0.19191467507412494</v>
      </c>
      <c r="BW19" s="101">
        <f t="shared" si="58"/>
        <v>2223.3534466316751</v>
      </c>
      <c r="BX19" s="235">
        <f t="shared" si="59"/>
        <v>0.50316206896825466</v>
      </c>
      <c r="BY19" s="235">
        <f t="shared" si="25"/>
        <v>0.56869234491389331</v>
      </c>
      <c r="CA19" s="23"/>
      <c r="CB19" s="237"/>
      <c r="CC19" s="237"/>
      <c r="CD19" s="238"/>
      <c r="CE19" s="239"/>
      <c r="CF19" s="239"/>
      <c r="CG19" s="239"/>
      <c r="CH19" s="239"/>
      <c r="CJ19" s="10">
        <v>11</v>
      </c>
      <c r="CK19" s="450">
        <v>0</v>
      </c>
      <c r="CL19" s="450">
        <v>0</v>
      </c>
      <c r="CM19" s="450">
        <v>0</v>
      </c>
      <c r="CN19" s="450">
        <v>0</v>
      </c>
      <c r="CO19" s="451">
        <v>0.36536301840450258</v>
      </c>
      <c r="CP19" s="451">
        <v>0.62286323404970401</v>
      </c>
      <c r="CQ19" s="451">
        <v>0.11607176304720854</v>
      </c>
      <c r="CR19" s="451">
        <v>0.13458076718706422</v>
      </c>
      <c r="CS19" s="451">
        <v>25.195240098793334</v>
      </c>
      <c r="CT19" s="451">
        <v>24.619789168519699</v>
      </c>
      <c r="CU19" s="234">
        <v>0.57545093027363592</v>
      </c>
      <c r="CX19" s="377">
        <v>11</v>
      </c>
      <c r="CY19" s="335">
        <f t="shared" si="60"/>
        <v>8.7999999999999998E-5</v>
      </c>
      <c r="CZ19" s="338">
        <v>8.7999999999999998E-5</v>
      </c>
      <c r="DA19" s="345">
        <f t="shared" si="61"/>
        <v>2.6321364267824943E-2</v>
      </c>
      <c r="DB19" s="387">
        <f t="shared" si="62"/>
        <v>5.3429977850098509E-2</v>
      </c>
      <c r="DC19" s="114">
        <f t="shared" si="91"/>
        <v>0</v>
      </c>
      <c r="DD19" s="378">
        <f t="shared" si="92"/>
        <v>0</v>
      </c>
      <c r="DE19" s="378">
        <f t="shared" si="63"/>
        <v>0</v>
      </c>
      <c r="DF19" s="340">
        <f t="shared" si="93"/>
        <v>0</v>
      </c>
      <c r="DG19" s="378">
        <f t="shared" si="94"/>
        <v>0</v>
      </c>
      <c r="DH19" s="378">
        <f t="shared" si="64"/>
        <v>0</v>
      </c>
      <c r="DI19" s="340">
        <f>DI18+(DI28-DI18)/10</f>
        <v>0</v>
      </c>
      <c r="DJ19" s="349">
        <f t="shared" ref="DJ19" si="122">DJ18+(DJ28-DJ18)/10</f>
        <v>0</v>
      </c>
      <c r="DK19" s="350">
        <f t="shared" si="65"/>
        <v>0</v>
      </c>
      <c r="DL19" s="345">
        <f t="shared" ref="DL19" si="123">DL18+(DL28-DL18)/10</f>
        <v>0</v>
      </c>
      <c r="DM19" s="349">
        <f t="shared" ref="DM19" si="124">DM18+(DM28-DM18)/10</f>
        <v>0</v>
      </c>
      <c r="DN19" s="396">
        <f t="shared" si="66"/>
        <v>0</v>
      </c>
      <c r="DO19" s="335">
        <f t="shared" si="103"/>
        <v>0</v>
      </c>
      <c r="DP19" s="350">
        <f t="shared" si="104"/>
        <v>0</v>
      </c>
      <c r="DQ19" s="349">
        <f t="shared" si="67"/>
        <v>0</v>
      </c>
      <c r="DR19" s="335">
        <f t="shared" si="105"/>
        <v>0</v>
      </c>
      <c r="DS19" s="350">
        <f t="shared" si="106"/>
        <v>0</v>
      </c>
      <c r="DT19" s="349">
        <f t="shared" si="68"/>
        <v>0</v>
      </c>
      <c r="DU19" s="335">
        <f>DU18+(DU23-DU18)/5</f>
        <v>0</v>
      </c>
      <c r="DV19" s="350">
        <f>DV18+(DV23-DV18)/5</f>
        <v>0</v>
      </c>
      <c r="DW19" s="350">
        <f t="shared" si="69"/>
        <v>0</v>
      </c>
      <c r="DX19" s="335">
        <f>DX18+(DX23-DX18)/5</f>
        <v>0</v>
      </c>
      <c r="DY19" s="350">
        <f>DY18+(DY23-DY18)/5</f>
        <v>0</v>
      </c>
      <c r="DZ19" s="396">
        <f t="shared" si="70"/>
        <v>0</v>
      </c>
      <c r="EA19" s="350">
        <f t="shared" si="71"/>
        <v>0</v>
      </c>
      <c r="EB19" s="350">
        <f t="shared" si="72"/>
        <v>0</v>
      </c>
      <c r="EC19" s="349">
        <f t="shared" si="73"/>
        <v>0</v>
      </c>
      <c r="ED19" s="335">
        <f t="shared" si="74"/>
        <v>0</v>
      </c>
      <c r="EE19" s="350">
        <f t="shared" si="75"/>
        <v>0</v>
      </c>
      <c r="EF19" s="387">
        <f t="shared" si="76"/>
        <v>0</v>
      </c>
      <c r="EG19" s="335">
        <f t="shared" si="77"/>
        <v>0</v>
      </c>
      <c r="EH19" s="350">
        <f t="shared" si="78"/>
        <v>0</v>
      </c>
      <c r="EI19" s="387">
        <f t="shared" si="79"/>
        <v>0</v>
      </c>
      <c r="EJ19" s="335">
        <f t="shared" si="80"/>
        <v>0</v>
      </c>
      <c r="EK19" s="350">
        <f t="shared" si="81"/>
        <v>0</v>
      </c>
      <c r="EL19" s="387">
        <f t="shared" si="82"/>
        <v>0</v>
      </c>
      <c r="EO19" s="267"/>
      <c r="EP19" s="47"/>
      <c r="EQ19" s="47"/>
      <c r="ER19" s="47"/>
      <c r="ES19" s="47"/>
      <c r="ET19" s="47"/>
      <c r="EU19" s="47"/>
      <c r="EV19" s="47"/>
      <c r="EW19" s="352"/>
      <c r="EY19" s="363">
        <v>55</v>
      </c>
      <c r="EZ19" s="346">
        <v>0</v>
      </c>
      <c r="FA19" s="347">
        <f t="shared" si="86"/>
        <v>0</v>
      </c>
      <c r="FB19" s="347">
        <f t="shared" si="87"/>
        <v>0</v>
      </c>
      <c r="FC19" s="33" t="e">
        <f t="shared" si="88"/>
        <v>#DIV/0!</v>
      </c>
      <c r="FD19" s="33" t="e">
        <f t="shared" si="89"/>
        <v>#DIV/0!</v>
      </c>
      <c r="FE19" s="308">
        <f t="shared" ca="1" si="100"/>
        <v>0</v>
      </c>
      <c r="FF19" s="364">
        <f t="shared" si="111"/>
        <v>0.46399999999999997</v>
      </c>
      <c r="FH19" s="324">
        <v>75</v>
      </c>
      <c r="FI19" s="47"/>
      <c r="FJ19" s="323" t="s">
        <v>253</v>
      </c>
      <c r="FK19" s="323">
        <v>0.20899999999999999</v>
      </c>
      <c r="FL19" s="347">
        <f>FK19*(1-owsa_boc)</f>
        <v>0.16720000000000002</v>
      </c>
      <c r="FM19" s="347">
        <f>FK19*(1+owsa_boc)</f>
        <v>0.25079999999999997</v>
      </c>
      <c r="FN19" s="33">
        <f t="shared" si="116"/>
        <v>0.10343687723509751</v>
      </c>
      <c r="FO19" s="347">
        <f ca="1">_xlfn.LOGNORM.INV(RAND(),LN(FK19)-(FN19^2)/2,FN19)</f>
        <v>0.23120920802486625</v>
      </c>
      <c r="FP19" s="362">
        <f>IF($FP$13,IF(psa,FO19,FK19),1)</f>
        <v>0.20899999999999999</v>
      </c>
    </row>
    <row r="20" spans="2:172" ht="15" customHeight="1" x14ac:dyDescent="0.2">
      <c r="Q20" s="10">
        <v>14</v>
      </c>
      <c r="R20" s="10">
        <f t="shared" si="2"/>
        <v>59</v>
      </c>
      <c r="S20" s="309">
        <f t="shared" si="26"/>
        <v>0.36865836302534283</v>
      </c>
      <c r="T20" s="309">
        <f t="shared" si="27"/>
        <v>0</v>
      </c>
      <c r="U20" s="309">
        <f t="shared" si="28"/>
        <v>1.961556754169013E-3</v>
      </c>
      <c r="V20" s="235">
        <f t="shared" si="29"/>
        <v>2.2428707872413859E-2</v>
      </c>
      <c r="W20" s="235">
        <f t="shared" si="30"/>
        <v>6.8274508261166794E-2</v>
      </c>
      <c r="X20" s="309">
        <f t="shared" si="31"/>
        <v>1.1619705800876831E-4</v>
      </c>
      <c r="Y20" s="235">
        <f t="shared" si="32"/>
        <v>6.7416949319024332E-3</v>
      </c>
      <c r="Z20" s="235">
        <f t="shared" si="33"/>
        <v>1.0929216939808205E-2</v>
      </c>
      <c r="AA20" s="235">
        <f t="shared" si="34"/>
        <v>0.32715140908538254</v>
      </c>
      <c r="AB20" s="235">
        <f t="shared" si="35"/>
        <v>2.1072123802897734E-3</v>
      </c>
      <c r="AC20" s="235">
        <f t="shared" si="36"/>
        <v>1.2858372386759907E-2</v>
      </c>
      <c r="AD20" s="235">
        <f t="shared" si="37"/>
        <v>0.17877276130475617</v>
      </c>
      <c r="AE20" s="235">
        <f t="shared" si="38"/>
        <v>1.0000000000000002</v>
      </c>
      <c r="AF20" s="101">
        <f t="shared" si="3"/>
        <v>0</v>
      </c>
      <c r="AG20" s="101">
        <f t="shared" si="4"/>
        <v>7.6636909726592393</v>
      </c>
      <c r="AH20" s="101">
        <f t="shared" si="5"/>
        <v>230.26223153219578</v>
      </c>
      <c r="AI20" s="101">
        <f t="shared" si="6"/>
        <v>158.37217050978475</v>
      </c>
      <c r="AJ20" s="101">
        <f t="shared" si="7"/>
        <v>630.52356140038205</v>
      </c>
      <c r="AK20" s="101">
        <f t="shared" si="39"/>
        <v>1035.7070859666896</v>
      </c>
      <c r="AL20" s="235">
        <f t="shared" si="40"/>
        <v>0.23154027765699872</v>
      </c>
      <c r="AM20" s="235">
        <f t="shared" si="8"/>
        <v>1.2771737192554429E-3</v>
      </c>
      <c r="AN20" s="235">
        <f t="shared" si="9"/>
        <v>6.1201437502212533E-2</v>
      </c>
      <c r="AO20" s="235">
        <f t="shared" si="10"/>
        <v>4.7905064486583977E-3</v>
      </c>
      <c r="AP20" s="235">
        <f t="shared" si="11"/>
        <v>8.7487661265763113E-4</v>
      </c>
      <c r="AQ20" s="235">
        <f t="shared" si="12"/>
        <v>0.18131200084933616</v>
      </c>
      <c r="AR20" s="101">
        <f t="shared" si="41"/>
        <v>2062.5287403817115</v>
      </c>
      <c r="AS20" s="235">
        <f t="shared" si="42"/>
        <v>0.48099627278911894</v>
      </c>
      <c r="AT20" s="235">
        <f t="shared" si="13"/>
        <v>0.5429279501246832</v>
      </c>
      <c r="AV20" s="10">
        <v>14</v>
      </c>
      <c r="AW20" s="10">
        <f t="shared" si="43"/>
        <v>59</v>
      </c>
      <c r="AX20" s="309">
        <f t="shared" si="44"/>
        <v>0.44086659894514996</v>
      </c>
      <c r="AY20" s="309">
        <f t="shared" si="45"/>
        <v>4.5793834308731774E-5</v>
      </c>
      <c r="AZ20" s="309">
        <f t="shared" si="46"/>
        <v>4.5793834308731774E-5</v>
      </c>
      <c r="BA20" s="235">
        <f t="shared" si="47"/>
        <v>3.0893620273954123E-3</v>
      </c>
      <c r="BB20" s="235">
        <f t="shared" si="48"/>
        <v>4.9781351277373761E-3</v>
      </c>
      <c r="BC20" s="309">
        <f t="shared" si="49"/>
        <v>1.5758815506558872E-5</v>
      </c>
      <c r="BD20" s="235">
        <f t="shared" si="50"/>
        <v>4.746901989326955E-3</v>
      </c>
      <c r="BE20" s="235">
        <f t="shared" si="51"/>
        <v>1.1930517293603435E-2</v>
      </c>
      <c r="BF20" s="235">
        <f t="shared" si="52"/>
        <v>0.33686274689547246</v>
      </c>
      <c r="BG20" s="235">
        <f t="shared" si="53"/>
        <v>2.2699436492645635E-3</v>
      </c>
      <c r="BH20" s="235">
        <f t="shared" si="54"/>
        <v>1.3674568989540883E-2</v>
      </c>
      <c r="BI20" s="235">
        <f t="shared" si="55"/>
        <v>0.18147387859838551</v>
      </c>
      <c r="BJ20" s="235">
        <f t="shared" si="56"/>
        <v>1.0000000000000007</v>
      </c>
      <c r="BK20" s="101">
        <f t="shared" si="14"/>
        <v>0.22563633654553233</v>
      </c>
      <c r="BL20" s="101">
        <f t="shared" si="15"/>
        <v>0.1789139130689878</v>
      </c>
      <c r="BM20" s="101">
        <f t="shared" si="16"/>
        <v>251.35813027486569</v>
      </c>
      <c r="BN20" s="101">
        <f t="shared" si="17"/>
        <v>170.60259612725622</v>
      </c>
      <c r="BO20" s="101">
        <f t="shared" si="18"/>
        <v>651.98280211252393</v>
      </c>
      <c r="BP20" s="101">
        <f t="shared" si="57"/>
        <v>1074.6289129064794</v>
      </c>
      <c r="BQ20" s="235">
        <f t="shared" si="19"/>
        <v>0.27689152062566802</v>
      </c>
      <c r="BR20" s="235">
        <f t="shared" si="20"/>
        <v>5.5849374345191869E-5</v>
      </c>
      <c r="BS20" s="235">
        <f t="shared" si="21"/>
        <v>8.0482360730057562E-3</v>
      </c>
      <c r="BT20" s="235">
        <f t="shared" si="22"/>
        <v>5.2293975264288937E-3</v>
      </c>
      <c r="BU20" s="235">
        <f t="shared" si="23"/>
        <v>9.4243970345276218E-4</v>
      </c>
      <c r="BV20" s="235">
        <f t="shared" si="24"/>
        <v>0.18690098842558386</v>
      </c>
      <c r="BW20" s="101">
        <f t="shared" si="58"/>
        <v>2148.9769916707396</v>
      </c>
      <c r="BX20" s="235">
        <f t="shared" si="59"/>
        <v>0.47806843172848446</v>
      </c>
      <c r="BY20" s="235">
        <f t="shared" si="25"/>
        <v>0.54114219338626057</v>
      </c>
      <c r="CA20" s="23"/>
      <c r="CJ20" s="10">
        <v>12</v>
      </c>
      <c r="CK20" s="450">
        <v>0</v>
      </c>
      <c r="CL20" s="450">
        <v>0</v>
      </c>
      <c r="CM20" s="450">
        <v>0</v>
      </c>
      <c r="CN20" s="450">
        <v>0</v>
      </c>
      <c r="CO20" s="451">
        <v>0.36540028923400469</v>
      </c>
      <c r="CP20" s="451">
        <v>0.62302084623117004</v>
      </c>
      <c r="CQ20" s="451">
        <v>0.11608360357477317</v>
      </c>
      <c r="CR20" s="451">
        <v>0.13459637764764662</v>
      </c>
      <c r="CS20" s="451">
        <v>25.028158126000807</v>
      </c>
      <c r="CT20" s="451">
        <v>24.433649530398991</v>
      </c>
      <c r="CU20" s="234">
        <v>0.59450859560181613</v>
      </c>
      <c r="CX20" s="377">
        <v>12</v>
      </c>
      <c r="CY20" s="335">
        <f t="shared" si="60"/>
        <v>1.02E-4</v>
      </c>
      <c r="CZ20" s="338">
        <v>1.02E-4</v>
      </c>
      <c r="DA20" s="345">
        <f t="shared" si="61"/>
        <v>2.6321364267824943E-2</v>
      </c>
      <c r="DB20" s="387">
        <f t="shared" si="62"/>
        <v>5.3429977850098509E-2</v>
      </c>
      <c r="DC20" s="114">
        <f t="shared" si="91"/>
        <v>0</v>
      </c>
      <c r="DD20" s="378">
        <f t="shared" si="92"/>
        <v>0</v>
      </c>
      <c r="DE20" s="378">
        <f t="shared" si="63"/>
        <v>0</v>
      </c>
      <c r="DF20" s="340">
        <f t="shared" si="93"/>
        <v>0</v>
      </c>
      <c r="DG20" s="378">
        <f t="shared" si="94"/>
        <v>0</v>
      </c>
      <c r="DH20" s="378">
        <f t="shared" si="64"/>
        <v>0</v>
      </c>
      <c r="DI20" s="340">
        <f>DI19+(DI28-DI18)/10</f>
        <v>0</v>
      </c>
      <c r="DJ20" s="349">
        <f t="shared" ref="DJ20" si="125">DJ19+(DJ28-DJ18)/10</f>
        <v>0</v>
      </c>
      <c r="DK20" s="350">
        <f t="shared" si="65"/>
        <v>0</v>
      </c>
      <c r="DL20" s="345">
        <f t="shared" ref="DL20" si="126">DL19+(DL28-DL18)/10</f>
        <v>0</v>
      </c>
      <c r="DM20" s="349">
        <f t="shared" ref="DM20" si="127">DM19+(DM28-DM18)/10</f>
        <v>0</v>
      </c>
      <c r="DN20" s="396">
        <f t="shared" si="66"/>
        <v>0</v>
      </c>
      <c r="DO20" s="335">
        <f t="shared" si="103"/>
        <v>0</v>
      </c>
      <c r="DP20" s="350">
        <f t="shared" si="104"/>
        <v>0</v>
      </c>
      <c r="DQ20" s="349">
        <f t="shared" si="67"/>
        <v>0</v>
      </c>
      <c r="DR20" s="335">
        <f t="shared" si="105"/>
        <v>0</v>
      </c>
      <c r="DS20" s="350">
        <f t="shared" si="106"/>
        <v>0</v>
      </c>
      <c r="DT20" s="349">
        <f t="shared" si="68"/>
        <v>0</v>
      </c>
      <c r="DU20" s="335">
        <f>DU19+(DU23-DU18)/5</f>
        <v>0</v>
      </c>
      <c r="DV20" s="350">
        <f>DV19+(DV23-DV18)/5</f>
        <v>0</v>
      </c>
      <c r="DW20" s="350">
        <f t="shared" si="69"/>
        <v>0</v>
      </c>
      <c r="DX20" s="335">
        <f>DX19+(DX23-DX18)/5</f>
        <v>0</v>
      </c>
      <c r="DY20" s="350">
        <f>DY19+(DY23-DY18)/5</f>
        <v>0</v>
      </c>
      <c r="DZ20" s="396">
        <f t="shared" si="70"/>
        <v>0</v>
      </c>
      <c r="EA20" s="350">
        <f t="shared" si="71"/>
        <v>0</v>
      </c>
      <c r="EB20" s="350">
        <f t="shared" si="72"/>
        <v>0</v>
      </c>
      <c r="EC20" s="349">
        <f t="shared" si="73"/>
        <v>0</v>
      </c>
      <c r="ED20" s="335">
        <f t="shared" si="74"/>
        <v>0</v>
      </c>
      <c r="EE20" s="350">
        <f t="shared" si="75"/>
        <v>0</v>
      </c>
      <c r="EF20" s="387">
        <f t="shared" si="76"/>
        <v>0</v>
      </c>
      <c r="EG20" s="335">
        <f t="shared" si="77"/>
        <v>0</v>
      </c>
      <c r="EH20" s="350">
        <f t="shared" si="78"/>
        <v>0</v>
      </c>
      <c r="EI20" s="387">
        <f t="shared" si="79"/>
        <v>0</v>
      </c>
      <c r="EJ20" s="335">
        <f t="shared" si="80"/>
        <v>0</v>
      </c>
      <c r="EK20" s="350">
        <f t="shared" si="81"/>
        <v>0</v>
      </c>
      <c r="EL20" s="387">
        <f t="shared" si="82"/>
        <v>0</v>
      </c>
      <c r="EO20" s="351" t="s">
        <v>377</v>
      </c>
      <c r="EP20" s="19"/>
      <c r="EQ20" s="19"/>
      <c r="ER20" s="19"/>
      <c r="ES20" s="19"/>
      <c r="ET20" s="19"/>
      <c r="EU20" s="19"/>
      <c r="EV20" s="19"/>
      <c r="EW20" s="334"/>
      <c r="EY20" s="363">
        <v>60</v>
      </c>
      <c r="EZ20" s="346">
        <v>0</v>
      </c>
      <c r="FA20" s="347">
        <f t="shared" si="86"/>
        <v>0</v>
      </c>
      <c r="FB20" s="347">
        <f t="shared" si="87"/>
        <v>0</v>
      </c>
      <c r="FC20" s="33" t="e">
        <f t="shared" si="88"/>
        <v>#DIV/0!</v>
      </c>
      <c r="FD20" s="33" t="e">
        <f t="shared" si="89"/>
        <v>#DIV/0!</v>
      </c>
      <c r="FE20" s="308">
        <f t="shared" ca="1" si="100"/>
        <v>0</v>
      </c>
      <c r="FF20" s="364">
        <f t="shared" si="111"/>
        <v>0.46399999999999997</v>
      </c>
      <c r="FG20" s="234"/>
      <c r="FH20" s="339"/>
      <c r="FI20" s="47"/>
      <c r="FJ20" s="47"/>
      <c r="FK20" s="47"/>
      <c r="FL20" s="47"/>
      <c r="FM20" s="47"/>
      <c r="FN20" s="47"/>
      <c r="FO20" s="47"/>
      <c r="FP20" s="352"/>
    </row>
    <row r="21" spans="2:172" ht="15" customHeight="1" x14ac:dyDescent="0.2">
      <c r="Q21" s="10">
        <v>15</v>
      </c>
      <c r="R21" s="10">
        <f t="shared" si="2"/>
        <v>60</v>
      </c>
      <c r="S21" s="309">
        <f t="shared" si="26"/>
        <v>0.35011343266235184</v>
      </c>
      <c r="T21" s="309">
        <f t="shared" si="27"/>
        <v>0</v>
      </c>
      <c r="U21" s="309">
        <f t="shared" si="28"/>
        <v>1.8788262196322693E-3</v>
      </c>
      <c r="V21" s="235">
        <f t="shared" si="29"/>
        <v>2.1901458099785449E-2</v>
      </c>
      <c r="W21" s="235">
        <f t="shared" si="30"/>
        <v>6.8580709036859228E-2</v>
      </c>
      <c r="X21" s="309">
        <f t="shared" si="31"/>
        <v>1.1430540752514281E-4</v>
      </c>
      <c r="Y21" s="235">
        <f t="shared" si="32"/>
        <v>6.7924278213442706E-3</v>
      </c>
      <c r="Z21" s="235">
        <f t="shared" si="33"/>
        <v>1.0870967214292928E-2</v>
      </c>
      <c r="AA21" s="235">
        <f t="shared" si="34"/>
        <v>0.32521220384222166</v>
      </c>
      <c r="AB21" s="235">
        <f t="shared" si="35"/>
        <v>4.7980857491444658E-3</v>
      </c>
      <c r="AC21" s="235">
        <f t="shared" si="36"/>
        <v>1.2770747650751485E-2</v>
      </c>
      <c r="AD21" s="235">
        <f t="shared" si="37"/>
        <v>0.19696683629609155</v>
      </c>
      <c r="AE21" s="235">
        <f t="shared" si="38"/>
        <v>1.0000000000000002</v>
      </c>
      <c r="AF21" s="101">
        <f t="shared" si="3"/>
        <v>0</v>
      </c>
      <c r="AG21" s="101">
        <f t="shared" si="4"/>
        <v>7.1266674436594002</v>
      </c>
      <c r="AH21" s="101">
        <f t="shared" si="5"/>
        <v>222.3640748154765</v>
      </c>
      <c r="AI21" s="101">
        <f t="shared" si="6"/>
        <v>350.10744019559718</v>
      </c>
      <c r="AJ21" s="101">
        <f t="shared" si="7"/>
        <v>608.46030249417367</v>
      </c>
      <c r="AK21" s="101">
        <f t="shared" si="39"/>
        <v>1138.6599381559906</v>
      </c>
      <c r="AL21" s="235">
        <f t="shared" si="40"/>
        <v>0.21348826521348638</v>
      </c>
      <c r="AM21" s="235">
        <f t="shared" si="8"/>
        <v>1.188028115765282E-3</v>
      </c>
      <c r="AN21" s="235">
        <f t="shared" si="9"/>
        <v>5.931501790436363E-2</v>
      </c>
      <c r="AO21" s="235">
        <f t="shared" si="10"/>
        <v>4.6261887034850296E-3</v>
      </c>
      <c r="AP21" s="235">
        <f t="shared" si="11"/>
        <v>1.934057040189608E-3</v>
      </c>
      <c r="AQ21" s="235">
        <f t="shared" si="12"/>
        <v>0.17498236517394369</v>
      </c>
      <c r="AR21" s="101">
        <f t="shared" si="41"/>
        <v>2326.7184231048977</v>
      </c>
      <c r="AS21" s="235">
        <f t="shared" si="42"/>
        <v>0.45553392215123367</v>
      </c>
      <c r="AT21" s="235">
        <f t="shared" si="13"/>
        <v>0.51543643027913799</v>
      </c>
      <c r="AV21" s="10">
        <v>15</v>
      </c>
      <c r="AW21" s="10">
        <f t="shared" si="43"/>
        <v>60</v>
      </c>
      <c r="AX21" s="309">
        <f t="shared" si="44"/>
        <v>0.42084797133957785</v>
      </c>
      <c r="AY21" s="309">
        <f t="shared" si="45"/>
        <v>4.4086659894514999E-5</v>
      </c>
      <c r="AZ21" s="309">
        <f t="shared" si="46"/>
        <v>4.4086659894514999E-5</v>
      </c>
      <c r="BA21" s="235">
        <f t="shared" si="47"/>
        <v>3.0625317303552987E-3</v>
      </c>
      <c r="BB21" s="235">
        <f t="shared" si="48"/>
        <v>4.9032311210035623E-3</v>
      </c>
      <c r="BC21" s="309">
        <f t="shared" si="49"/>
        <v>1.5744588923397876E-5</v>
      </c>
      <c r="BD21" s="235">
        <f t="shared" si="50"/>
        <v>4.7165667594726828E-3</v>
      </c>
      <c r="BE21" s="235">
        <f t="shared" si="51"/>
        <v>1.1885832524658328E-2</v>
      </c>
      <c r="BF21" s="235">
        <f t="shared" si="52"/>
        <v>0.3355170849801955</v>
      </c>
      <c r="BG21" s="235">
        <f t="shared" si="53"/>
        <v>5.2209179257856741E-3</v>
      </c>
      <c r="BH21" s="235">
        <f t="shared" si="54"/>
        <v>1.3606106977705781E-2</v>
      </c>
      <c r="BI21" s="235">
        <f t="shared" si="55"/>
        <v>0.20013583873253352</v>
      </c>
      <c r="BJ21" s="235">
        <f t="shared" si="56"/>
        <v>1.0000000000000007</v>
      </c>
      <c r="BK21" s="101">
        <f t="shared" si="14"/>
        <v>0.21089777779352711</v>
      </c>
      <c r="BL21" s="101">
        <f t="shared" si="15"/>
        <v>0.16722726162051285</v>
      </c>
      <c r="BM21" s="101">
        <f t="shared" si="16"/>
        <v>243.12299914605657</v>
      </c>
      <c r="BN21" s="101">
        <f t="shared" si="17"/>
        <v>380.96072184496785</v>
      </c>
      <c r="BO21" s="101">
        <f t="shared" si="18"/>
        <v>630.37961429813629</v>
      </c>
      <c r="BP21" s="101">
        <f t="shared" si="57"/>
        <v>1182.9181306092075</v>
      </c>
      <c r="BQ21" s="235">
        <f t="shared" si="19"/>
        <v>0.25661998351988047</v>
      </c>
      <c r="BR21" s="235">
        <f t="shared" si="20"/>
        <v>5.2199281588236086E-5</v>
      </c>
      <c r="BS21" s="235">
        <f t="shared" si="21"/>
        <v>7.7332895424586223E-3</v>
      </c>
      <c r="BT21" s="235">
        <f t="shared" si="22"/>
        <v>5.058069173899696E-3</v>
      </c>
      <c r="BU21" s="235">
        <f t="shared" si="23"/>
        <v>2.1044961675431451E-3</v>
      </c>
      <c r="BV21" s="235">
        <f t="shared" si="24"/>
        <v>0.18072601060697199</v>
      </c>
      <c r="BW21" s="101">
        <f t="shared" si="58"/>
        <v>2437.7595909377824</v>
      </c>
      <c r="BX21" s="235">
        <f t="shared" si="59"/>
        <v>0.4522940482923421</v>
      </c>
      <c r="BY21" s="235">
        <f t="shared" si="25"/>
        <v>0.51340236820397878</v>
      </c>
      <c r="CA21" s="23"/>
      <c r="CB21" s="241" t="s">
        <v>29</v>
      </c>
      <c r="CC21" s="236"/>
      <c r="CD21" s="236"/>
      <c r="CE21" s="236"/>
      <c r="CF21" s="236"/>
      <c r="CG21" s="236"/>
      <c r="CH21" s="236"/>
      <c r="CJ21" s="10">
        <v>13</v>
      </c>
      <c r="CK21" s="450">
        <v>0</v>
      </c>
      <c r="CL21" s="450">
        <v>0</v>
      </c>
      <c r="CM21" s="450">
        <v>0</v>
      </c>
      <c r="CN21" s="450">
        <v>0</v>
      </c>
      <c r="CO21" s="451">
        <v>0.36544596998025214</v>
      </c>
      <c r="CP21" s="451">
        <v>0.62319283899419564</v>
      </c>
      <c r="CQ21" s="451">
        <v>0.11609811583925307</v>
      </c>
      <c r="CR21" s="451">
        <v>0.13461508597359326</v>
      </c>
      <c r="CS21" s="451">
        <v>24.856619798168886</v>
      </c>
      <c r="CT21" s="451">
        <v>24.242456629650835</v>
      </c>
      <c r="CU21" s="234">
        <v>0.61416316851805064</v>
      </c>
      <c r="CX21" s="377">
        <v>13</v>
      </c>
      <c r="CY21" s="335">
        <f t="shared" si="60"/>
        <v>1.25E-4</v>
      </c>
      <c r="CZ21" s="338">
        <v>1.25E-4</v>
      </c>
      <c r="DA21" s="345">
        <f t="shared" si="61"/>
        <v>2.6321364267824943E-2</v>
      </c>
      <c r="DB21" s="387">
        <f t="shared" si="62"/>
        <v>5.3429977850098509E-2</v>
      </c>
      <c r="DC21" s="114">
        <f t="shared" si="91"/>
        <v>0</v>
      </c>
      <c r="DD21" s="378">
        <f t="shared" si="92"/>
        <v>0</v>
      </c>
      <c r="DE21" s="378">
        <f t="shared" si="63"/>
        <v>0</v>
      </c>
      <c r="DF21" s="340">
        <f t="shared" si="93"/>
        <v>0</v>
      </c>
      <c r="DG21" s="378">
        <f t="shared" si="94"/>
        <v>0</v>
      </c>
      <c r="DH21" s="378">
        <f t="shared" si="64"/>
        <v>0</v>
      </c>
      <c r="DI21" s="340">
        <f>DI20+(DI28-DI18)/10</f>
        <v>0</v>
      </c>
      <c r="DJ21" s="349">
        <f t="shared" ref="DJ21" si="128">DJ20+(DJ28-DJ18)/10</f>
        <v>0</v>
      </c>
      <c r="DK21" s="350">
        <f t="shared" si="65"/>
        <v>0</v>
      </c>
      <c r="DL21" s="345">
        <f t="shared" ref="DL21" si="129">DL20+(DL28-DL18)/10</f>
        <v>0</v>
      </c>
      <c r="DM21" s="349">
        <f t="shared" ref="DM21" si="130">DM20+(DM28-DM18)/10</f>
        <v>0</v>
      </c>
      <c r="DN21" s="396">
        <f t="shared" si="66"/>
        <v>0</v>
      </c>
      <c r="DO21" s="335">
        <f t="shared" si="103"/>
        <v>0</v>
      </c>
      <c r="DP21" s="350">
        <f t="shared" si="104"/>
        <v>0</v>
      </c>
      <c r="DQ21" s="349">
        <f t="shared" si="67"/>
        <v>0</v>
      </c>
      <c r="DR21" s="335">
        <f t="shared" si="105"/>
        <v>0</v>
      </c>
      <c r="DS21" s="350">
        <f t="shared" si="106"/>
        <v>0</v>
      </c>
      <c r="DT21" s="349">
        <f t="shared" si="68"/>
        <v>0</v>
      </c>
      <c r="DU21" s="335">
        <f>DU20+(DU23-DU18)/5</f>
        <v>0</v>
      </c>
      <c r="DV21" s="350">
        <f>DV20+(DV23-DV18)/5</f>
        <v>0</v>
      </c>
      <c r="DW21" s="350">
        <f t="shared" si="69"/>
        <v>0</v>
      </c>
      <c r="DX21" s="335">
        <f>DX20+(DX23-DX18)/5</f>
        <v>0</v>
      </c>
      <c r="DY21" s="350">
        <f>DY20+(DY23-DY18)/5</f>
        <v>0</v>
      </c>
      <c r="DZ21" s="396">
        <f t="shared" si="70"/>
        <v>0</v>
      </c>
      <c r="EA21" s="350">
        <f t="shared" si="71"/>
        <v>0</v>
      </c>
      <c r="EB21" s="350">
        <f t="shared" si="72"/>
        <v>0</v>
      </c>
      <c r="EC21" s="349">
        <f t="shared" si="73"/>
        <v>0</v>
      </c>
      <c r="ED21" s="335">
        <f t="shared" si="74"/>
        <v>0</v>
      </c>
      <c r="EE21" s="350">
        <f t="shared" si="75"/>
        <v>0</v>
      </c>
      <c r="EF21" s="387">
        <f t="shared" si="76"/>
        <v>0</v>
      </c>
      <c r="EG21" s="335">
        <f t="shared" si="77"/>
        <v>0</v>
      </c>
      <c r="EH21" s="350">
        <f t="shared" si="78"/>
        <v>0</v>
      </c>
      <c r="EI21" s="387">
        <f t="shared" si="79"/>
        <v>0</v>
      </c>
      <c r="EJ21" s="335">
        <f t="shared" si="80"/>
        <v>0</v>
      </c>
      <c r="EK21" s="350">
        <f t="shared" si="81"/>
        <v>0</v>
      </c>
      <c r="EL21" s="387">
        <f t="shared" si="82"/>
        <v>0</v>
      </c>
      <c r="EO21" s="318" t="s">
        <v>160</v>
      </c>
      <c r="EP21" s="315" t="s">
        <v>159</v>
      </c>
      <c r="EQ21" s="315" t="s">
        <v>243</v>
      </c>
      <c r="ER21" s="315" t="s">
        <v>79</v>
      </c>
      <c r="ES21" s="315" t="s">
        <v>81</v>
      </c>
      <c r="ET21" s="315" t="s">
        <v>162</v>
      </c>
      <c r="EU21" s="315" t="s">
        <v>21</v>
      </c>
      <c r="EV21" s="315" t="s">
        <v>163</v>
      </c>
      <c r="EW21" s="316" t="s">
        <v>247</v>
      </c>
      <c r="EY21" s="363">
        <v>65</v>
      </c>
      <c r="EZ21" s="346">
        <v>0</v>
      </c>
      <c r="FA21" s="347">
        <f t="shared" si="86"/>
        <v>0</v>
      </c>
      <c r="FB21" s="347">
        <f t="shared" si="87"/>
        <v>0</v>
      </c>
      <c r="FC21" s="33" t="e">
        <f t="shared" si="88"/>
        <v>#DIV/0!</v>
      </c>
      <c r="FD21" s="33" t="e">
        <f t="shared" si="89"/>
        <v>#DIV/0!</v>
      </c>
      <c r="FE21" s="308">
        <f t="shared" ca="1" si="100"/>
        <v>0</v>
      </c>
      <c r="FF21" s="364">
        <f t="shared" si="111"/>
        <v>0.46399999999999997</v>
      </c>
      <c r="FH21" s="408" t="s">
        <v>160</v>
      </c>
      <c r="FI21" s="409" t="s">
        <v>304</v>
      </c>
      <c r="FJ21" s="410" t="s">
        <v>305</v>
      </c>
      <c r="FK21" s="411" t="s">
        <v>193</v>
      </c>
      <c r="FL21" s="410" t="s">
        <v>144</v>
      </c>
      <c r="FM21" s="412" t="s">
        <v>306</v>
      </c>
      <c r="FN21" s="411" t="s">
        <v>194</v>
      </c>
      <c r="FO21" s="410" t="s">
        <v>144</v>
      </c>
      <c r="FP21" s="412" t="s">
        <v>306</v>
      </c>
    </row>
    <row r="22" spans="2:172" ht="15" customHeight="1" x14ac:dyDescent="0.2">
      <c r="Q22" s="10">
        <v>16</v>
      </c>
      <c r="R22" s="10">
        <f t="shared" si="2"/>
        <v>61</v>
      </c>
      <c r="S22" s="309">
        <f t="shared" si="26"/>
        <v>0.33345998759501494</v>
      </c>
      <c r="T22" s="309">
        <f t="shared" si="27"/>
        <v>0</v>
      </c>
      <c r="U22" s="309">
        <f t="shared" si="28"/>
        <v>8.2660488926138826E-4</v>
      </c>
      <c r="V22" s="235">
        <f t="shared" si="29"/>
        <v>2.1436087523708892E-2</v>
      </c>
      <c r="W22" s="235">
        <f t="shared" si="30"/>
        <v>6.8784982114871301E-2</v>
      </c>
      <c r="X22" s="309">
        <f t="shared" si="31"/>
        <v>5.1708534030156387E-5</v>
      </c>
      <c r="Y22" s="235">
        <f t="shared" si="32"/>
        <v>6.8375432309138754E-3</v>
      </c>
      <c r="Z22" s="235">
        <f t="shared" si="33"/>
        <v>1.0190067191647015E-2</v>
      </c>
      <c r="AA22" s="235">
        <f t="shared" si="34"/>
        <v>0.32329077835246178</v>
      </c>
      <c r="AB22" s="235">
        <f t="shared" si="35"/>
        <v>4.5761160853774966E-3</v>
      </c>
      <c r="AC22" s="235">
        <f t="shared" si="36"/>
        <v>1.4992206543252718E-2</v>
      </c>
      <c r="AD22" s="235">
        <f t="shared" si="37"/>
        <v>0.21555391793946066</v>
      </c>
      <c r="AE22" s="235">
        <f t="shared" si="38"/>
        <v>1.0000000000000002</v>
      </c>
      <c r="AF22" s="101">
        <f t="shared" si="3"/>
        <v>0</v>
      </c>
      <c r="AG22" s="101">
        <f t="shared" si="4"/>
        <v>3.0441119941807693</v>
      </c>
      <c r="AH22" s="101">
        <f t="shared" si="5"/>
        <v>202.36540051885214</v>
      </c>
      <c r="AI22" s="101">
        <f t="shared" si="6"/>
        <v>324.18516941331927</v>
      </c>
      <c r="AJ22" s="101">
        <f t="shared" si="7"/>
        <v>600.91313238902273</v>
      </c>
      <c r="AK22" s="101">
        <f t="shared" si="39"/>
        <v>1141.3060310884296</v>
      </c>
      <c r="AL22" s="235">
        <f t="shared" si="40"/>
        <v>0.19741117783086462</v>
      </c>
      <c r="AM22" s="235">
        <f t="shared" si="8"/>
        <v>5.0756172810415413E-4</v>
      </c>
      <c r="AN22" s="235">
        <f t="shared" si="9"/>
        <v>5.7459532771490983E-2</v>
      </c>
      <c r="AO22" s="235">
        <f t="shared" si="10"/>
        <v>4.2101249072423429E-3</v>
      </c>
      <c r="AP22" s="235">
        <f t="shared" si="11"/>
        <v>1.7908577117887133E-3</v>
      </c>
      <c r="AQ22" s="235">
        <f t="shared" si="12"/>
        <v>0.16991264728130803</v>
      </c>
      <c r="AR22" s="101">
        <f t="shared" si="41"/>
        <v>2271.8138454038044</v>
      </c>
      <c r="AS22" s="235">
        <f t="shared" si="42"/>
        <v>0.43129190223079883</v>
      </c>
      <c r="AT22" s="235">
        <f t="shared" si="13"/>
        <v>0.48884086394087711</v>
      </c>
      <c r="AV22" s="10">
        <v>16</v>
      </c>
      <c r="AW22" s="10">
        <f t="shared" si="43"/>
        <v>61</v>
      </c>
      <c r="AX22" s="309">
        <f t="shared" si="44"/>
        <v>0.4017394143317532</v>
      </c>
      <c r="AY22" s="309">
        <f t="shared" si="45"/>
        <v>4.2084797133957785E-5</v>
      </c>
      <c r="AZ22" s="309">
        <f t="shared" si="46"/>
        <v>4.2084797133957785E-5</v>
      </c>
      <c r="BA22" s="235">
        <f t="shared" si="47"/>
        <v>3.0415445422386556E-3</v>
      </c>
      <c r="BB22" s="235">
        <f t="shared" si="48"/>
        <v>4.8275943019041008E-3</v>
      </c>
      <c r="BC22" s="309">
        <f t="shared" si="49"/>
        <v>7.2305243548630221E-6</v>
      </c>
      <c r="BD22" s="235">
        <f t="shared" si="50"/>
        <v>4.684266782737305E-3</v>
      </c>
      <c r="BE22" s="235">
        <f t="shared" si="51"/>
        <v>1.1145432426194785E-2</v>
      </c>
      <c r="BF22" s="235">
        <f t="shared" si="52"/>
        <v>0.33417965930574439</v>
      </c>
      <c r="BG22" s="235">
        <f t="shared" si="53"/>
        <v>4.986182900934711E-3</v>
      </c>
      <c r="BH22" s="235">
        <f t="shared" si="54"/>
        <v>1.6065872987888776E-2</v>
      </c>
      <c r="BI22" s="235">
        <f t="shared" si="55"/>
        <v>0.21923863230198193</v>
      </c>
      <c r="BJ22" s="235">
        <f t="shared" si="56"/>
        <v>1.0000000000000007</v>
      </c>
      <c r="BK22" s="101">
        <f t="shared" si="14"/>
        <v>0.19545771621847691</v>
      </c>
      <c r="BL22" s="101">
        <f t="shared" si="15"/>
        <v>0.15498436725025744</v>
      </c>
      <c r="BM22" s="101">
        <f t="shared" si="16"/>
        <v>221.33807898063156</v>
      </c>
      <c r="BN22" s="101">
        <f t="shared" si="17"/>
        <v>353.23547705236371</v>
      </c>
      <c r="BO22" s="101">
        <f t="shared" si="18"/>
        <v>624.53617660735813</v>
      </c>
      <c r="BP22" s="101">
        <f t="shared" si="57"/>
        <v>1190.230659720552</v>
      </c>
      <c r="BQ22" s="235">
        <f t="shared" si="19"/>
        <v>0.23783318513353999</v>
      </c>
      <c r="BR22" s="235">
        <f t="shared" si="20"/>
        <v>4.8375840188184403E-5</v>
      </c>
      <c r="BS22" s="235">
        <f t="shared" si="21"/>
        <v>7.4317239932268379E-3</v>
      </c>
      <c r="BT22" s="235">
        <f t="shared" si="22"/>
        <v>4.6048433025027849E-3</v>
      </c>
      <c r="BU22" s="235">
        <f t="shared" si="23"/>
        <v>1.9513368834897732E-3</v>
      </c>
      <c r="BV22" s="235">
        <f t="shared" si="24"/>
        <v>0.17589070855068537</v>
      </c>
      <c r="BW22" s="101">
        <f t="shared" si="58"/>
        <v>2389.6908344443741</v>
      </c>
      <c r="BX22" s="235">
        <f t="shared" si="59"/>
        <v>0.42776017370363295</v>
      </c>
      <c r="BY22" s="235">
        <f t="shared" si="25"/>
        <v>0.48654467176968463</v>
      </c>
      <c r="CA22" s="23"/>
      <c r="CB22" s="141" t="s">
        <v>146</v>
      </c>
      <c r="CC22" s="11" t="s">
        <v>11</v>
      </c>
      <c r="CD22" s="264" t="s">
        <v>12</v>
      </c>
      <c r="CE22" s="265" t="s">
        <v>70</v>
      </c>
      <c r="CF22" s="264" t="s">
        <v>13</v>
      </c>
      <c r="CG22" s="265" t="s">
        <v>14</v>
      </c>
      <c r="CH22" s="11" t="s">
        <v>15</v>
      </c>
      <c r="CJ22" s="10">
        <v>14</v>
      </c>
      <c r="CK22" s="450">
        <v>0</v>
      </c>
      <c r="CL22" s="450">
        <v>0</v>
      </c>
      <c r="CM22" s="450">
        <v>0</v>
      </c>
      <c r="CN22" s="450">
        <v>0</v>
      </c>
      <c r="CO22" s="451">
        <v>0.36550335400683104</v>
      </c>
      <c r="CP22" s="451">
        <v>0.62338483660546773</v>
      </c>
      <c r="CQ22" s="451">
        <v>0.11611634610559164</v>
      </c>
      <c r="CR22" s="451">
        <v>0.13463810539131713</v>
      </c>
      <c r="CS22" s="451">
        <v>24.6807057726637</v>
      </c>
      <c r="CT22" s="451">
        <v>24.046265517622423</v>
      </c>
      <c r="CU22" s="234">
        <v>0.63444025504127666</v>
      </c>
      <c r="CX22" s="377">
        <v>14</v>
      </c>
      <c r="CY22" s="335">
        <f t="shared" si="60"/>
        <v>1.5699999999999999E-4</v>
      </c>
      <c r="CZ22" s="338">
        <v>1.5699999999999999E-4</v>
      </c>
      <c r="DA22" s="345">
        <f t="shared" si="61"/>
        <v>2.6321364267824943E-2</v>
      </c>
      <c r="DB22" s="387">
        <f t="shared" si="62"/>
        <v>5.3429977850098509E-2</v>
      </c>
      <c r="DC22" s="114">
        <f t="shared" si="91"/>
        <v>0</v>
      </c>
      <c r="DD22" s="378">
        <f t="shared" si="92"/>
        <v>0</v>
      </c>
      <c r="DE22" s="378">
        <f t="shared" si="63"/>
        <v>0</v>
      </c>
      <c r="DF22" s="340">
        <f t="shared" si="93"/>
        <v>0</v>
      </c>
      <c r="DG22" s="378">
        <f t="shared" si="94"/>
        <v>0</v>
      </c>
      <c r="DH22" s="378">
        <f t="shared" si="64"/>
        <v>0</v>
      </c>
      <c r="DI22" s="340">
        <f>DI21+(DI28-DI18)/10</f>
        <v>0</v>
      </c>
      <c r="DJ22" s="349">
        <f t="shared" ref="DJ22" si="131">DJ21+(DJ28-DJ18)/10</f>
        <v>0</v>
      </c>
      <c r="DK22" s="350">
        <f t="shared" si="65"/>
        <v>0</v>
      </c>
      <c r="DL22" s="345">
        <f t="shared" ref="DL22" si="132">DL21+(DL28-DL18)/10</f>
        <v>0</v>
      </c>
      <c r="DM22" s="349">
        <f t="shared" ref="DM22" si="133">DM21+(DM28-DM18)/10</f>
        <v>0</v>
      </c>
      <c r="DN22" s="396">
        <f t="shared" si="66"/>
        <v>0</v>
      </c>
      <c r="DO22" s="335">
        <f t="shared" si="103"/>
        <v>0</v>
      </c>
      <c r="DP22" s="350">
        <f t="shared" si="104"/>
        <v>0</v>
      </c>
      <c r="DQ22" s="349">
        <f t="shared" si="67"/>
        <v>0</v>
      </c>
      <c r="DR22" s="335">
        <f t="shared" si="105"/>
        <v>0</v>
      </c>
      <c r="DS22" s="350">
        <f t="shared" si="106"/>
        <v>0</v>
      </c>
      <c r="DT22" s="349">
        <f t="shared" si="68"/>
        <v>0</v>
      </c>
      <c r="DU22" s="335">
        <f>DU21+(DU23-DU18)/5</f>
        <v>0</v>
      </c>
      <c r="DV22" s="350">
        <f>DV21+(DV23-DV18)/5</f>
        <v>0</v>
      </c>
      <c r="DW22" s="350">
        <f t="shared" si="69"/>
        <v>0</v>
      </c>
      <c r="DX22" s="335">
        <f>DX21+(DX23-DX18)/5</f>
        <v>0</v>
      </c>
      <c r="DY22" s="350">
        <f>DY21+(DY23-DY18)/5</f>
        <v>0</v>
      </c>
      <c r="DZ22" s="396">
        <f t="shared" si="70"/>
        <v>0</v>
      </c>
      <c r="EA22" s="350">
        <f t="shared" si="71"/>
        <v>0</v>
      </c>
      <c r="EB22" s="350">
        <f t="shared" si="72"/>
        <v>0</v>
      </c>
      <c r="EC22" s="349">
        <f t="shared" si="73"/>
        <v>0</v>
      </c>
      <c r="ED22" s="335">
        <f t="shared" si="74"/>
        <v>0</v>
      </c>
      <c r="EE22" s="350">
        <f t="shared" si="75"/>
        <v>0</v>
      </c>
      <c r="EF22" s="387">
        <f t="shared" si="76"/>
        <v>0</v>
      </c>
      <c r="EG22" s="335">
        <f t="shared" si="77"/>
        <v>0</v>
      </c>
      <c r="EH22" s="350">
        <f t="shared" si="78"/>
        <v>0</v>
      </c>
      <c r="EI22" s="387">
        <f t="shared" si="79"/>
        <v>0</v>
      </c>
      <c r="EJ22" s="335">
        <f t="shared" si="80"/>
        <v>0</v>
      </c>
      <c r="EK22" s="350">
        <f t="shared" si="81"/>
        <v>0</v>
      </c>
      <c r="EL22" s="387">
        <f t="shared" si="82"/>
        <v>0</v>
      </c>
      <c r="EO22" s="318">
        <v>0</v>
      </c>
      <c r="EP22" s="315"/>
      <c r="EQ22" s="308">
        <v>0</v>
      </c>
      <c r="ER22" s="308">
        <v>0</v>
      </c>
      <c r="ES22" s="308">
        <v>0</v>
      </c>
      <c r="ET22" s="320" t="e">
        <f t="shared" ref="ET22" si="134">EQ22^2*(1-EQ22)/((ES22-ER22)/(2*z))^2-EQ22</f>
        <v>#DIV/0!</v>
      </c>
      <c r="EU22" s="320" t="e">
        <f t="shared" ref="EU22" si="135">(EQ22^2*(1-EQ22)/((ES22-ER22)/(2*z))^2-EQ22)*(1-EQ22)/EQ22</f>
        <v>#DIV/0!</v>
      </c>
      <c r="EV22" s="350" t="e">
        <f t="shared" ref="EV22" ca="1" si="136">_xlfn.BETA.INV(RAND(),ET22,EU22)</f>
        <v>#DIV/0!</v>
      </c>
      <c r="EW22" s="362">
        <f>IFERROR(IF(psa,EV22,EQ22),EQ22)</f>
        <v>0</v>
      </c>
      <c r="EY22" s="363">
        <v>70</v>
      </c>
      <c r="EZ22" s="346">
        <v>0</v>
      </c>
      <c r="FA22" s="347">
        <f t="shared" si="86"/>
        <v>0</v>
      </c>
      <c r="FB22" s="347">
        <f t="shared" si="87"/>
        <v>0</v>
      </c>
      <c r="FC22" s="33" t="e">
        <f t="shared" si="88"/>
        <v>#DIV/0!</v>
      </c>
      <c r="FD22" s="33" t="e">
        <f t="shared" si="89"/>
        <v>#DIV/0!</v>
      </c>
      <c r="FE22" s="308">
        <f t="shared" ca="1" si="100"/>
        <v>0</v>
      </c>
      <c r="FF22" s="364">
        <f t="shared" si="111"/>
        <v>0.46399999999999997</v>
      </c>
      <c r="FG22" s="234"/>
      <c r="FH22" s="324">
        <v>0</v>
      </c>
      <c r="FI22" s="406">
        <v>100000</v>
      </c>
      <c r="FJ22" s="347">
        <f t="shared" ref="FJ22:FJ42" si="137">FI22/100000</f>
        <v>1</v>
      </c>
      <c r="FK22" s="388">
        <f t="shared" ref="FK22:FK42" si="138">FJ22*VLOOKUP(FH22,boc_mort_bc,9,TRUE)</f>
        <v>0.88099999999999989</v>
      </c>
      <c r="FL22" s="347">
        <f>1-FK22</f>
        <v>0.11900000000000011</v>
      </c>
      <c r="FM22" s="396">
        <f>1-(1-FL22)^(1/5)</f>
        <v>2.5021179329242971E-2</v>
      </c>
      <c r="FN22" s="388">
        <f t="shared" ref="FN22:FN42" si="139">FJ22*VLOOKUP(FH22,boc_mort_oc,9,TRUE)</f>
        <v>0.76500000000000001</v>
      </c>
      <c r="FO22" s="347">
        <f>1-FN22</f>
        <v>0.23499999999999999</v>
      </c>
      <c r="FP22" s="396">
        <f>1-(1-FO22)^(1/5)</f>
        <v>5.2165991930157918E-2</v>
      </c>
    </row>
    <row r="23" spans="2:172" ht="15" customHeight="1" x14ac:dyDescent="0.2">
      <c r="Q23" s="10">
        <v>17</v>
      </c>
      <c r="R23" s="10">
        <f t="shared" si="2"/>
        <v>62</v>
      </c>
      <c r="S23" s="309">
        <f t="shared" si="26"/>
        <v>0.31742061026169416</v>
      </c>
      <c r="T23" s="309">
        <f t="shared" si="27"/>
        <v>0</v>
      </c>
      <c r="U23" s="309">
        <f t="shared" si="28"/>
        <v>7.8728672025819455E-4</v>
      </c>
      <c r="V23" s="235">
        <f t="shared" si="29"/>
        <v>2.096915844926199E-2</v>
      </c>
      <c r="W23" s="235">
        <f t="shared" si="30"/>
        <v>6.7895314892795031E-2</v>
      </c>
      <c r="X23" s="309">
        <f t="shared" si="31"/>
        <v>5.0609811280280486E-5</v>
      </c>
      <c r="Y23" s="235">
        <f t="shared" si="32"/>
        <v>6.8159509578775866E-3</v>
      </c>
      <c r="Z23" s="235">
        <f t="shared" si="33"/>
        <v>9.75469760164328E-3</v>
      </c>
      <c r="AA23" s="235">
        <f t="shared" si="34"/>
        <v>0.32078750561259983</v>
      </c>
      <c r="AB23" s="235">
        <f t="shared" si="35"/>
        <v>4.3766679672007655E-3</v>
      </c>
      <c r="AC23" s="235">
        <f t="shared" si="36"/>
        <v>1.6698452758688438E-2</v>
      </c>
      <c r="AD23" s="235">
        <f t="shared" si="37"/>
        <v>0.23444374496670067</v>
      </c>
      <c r="AE23" s="235">
        <f t="shared" si="38"/>
        <v>1.0000000000000002</v>
      </c>
      <c r="AF23" s="101">
        <f t="shared" si="3"/>
        <v>0</v>
      </c>
      <c r="AG23" s="101">
        <f t="shared" si="4"/>
        <v>2.814870098922539</v>
      </c>
      <c r="AH23" s="101">
        <f t="shared" si="5"/>
        <v>188.07704781710817</v>
      </c>
      <c r="AI23" s="101">
        <f t="shared" si="6"/>
        <v>301.02494515085084</v>
      </c>
      <c r="AJ23" s="101">
        <f t="shared" si="7"/>
        <v>589.41935948698938</v>
      </c>
      <c r="AK23" s="101">
        <f t="shared" si="39"/>
        <v>1132.0996165573958</v>
      </c>
      <c r="AL23" s="235">
        <f t="shared" si="40"/>
        <v>0.18244245498548806</v>
      </c>
      <c r="AM23" s="235">
        <f t="shared" si="8"/>
        <v>4.6893640240963728E-4</v>
      </c>
      <c r="AN23" s="235">
        <f t="shared" si="9"/>
        <v>5.499381873452281E-2</v>
      </c>
      <c r="AO23" s="235">
        <f t="shared" si="10"/>
        <v>3.9128618897559531E-3</v>
      </c>
      <c r="AP23" s="235">
        <f t="shared" si="11"/>
        <v>1.6629164296435171E-3</v>
      </c>
      <c r="AQ23" s="235">
        <f t="shared" si="12"/>
        <v>0.16448023412708859</v>
      </c>
      <c r="AR23" s="101">
        <f t="shared" si="41"/>
        <v>2213.4358391112664</v>
      </c>
      <c r="AS23" s="235">
        <f t="shared" si="42"/>
        <v>0.40796122256890854</v>
      </c>
      <c r="AT23" s="235">
        <f t="shared" si="13"/>
        <v>0.4631741245144802</v>
      </c>
      <c r="AV23" s="10">
        <v>17</v>
      </c>
      <c r="AW23" s="10">
        <f t="shared" si="43"/>
        <v>62</v>
      </c>
      <c r="AX23" s="309">
        <f t="shared" si="44"/>
        <v>0.38328395045845431</v>
      </c>
      <c r="AY23" s="309">
        <f t="shared" si="45"/>
        <v>4.0173941433175323E-5</v>
      </c>
      <c r="AZ23" s="309">
        <f t="shared" si="46"/>
        <v>4.0173941433175323E-5</v>
      </c>
      <c r="BA23" s="235">
        <f t="shared" si="47"/>
        <v>3.0173772503929541E-3</v>
      </c>
      <c r="BB23" s="235">
        <f t="shared" si="48"/>
        <v>4.7492245287166796E-3</v>
      </c>
      <c r="BC23" s="309">
        <f t="shared" si="49"/>
        <v>7.1809743785106545E-6</v>
      </c>
      <c r="BD23" s="235">
        <f t="shared" si="50"/>
        <v>4.6412803616055522E-3</v>
      </c>
      <c r="BE23" s="235">
        <f t="shared" si="51"/>
        <v>1.0641467119907483E-2</v>
      </c>
      <c r="BF23" s="235">
        <f t="shared" si="52"/>
        <v>0.33218092217976847</v>
      </c>
      <c r="BG23" s="235">
        <f t="shared" si="53"/>
        <v>4.7621508811138396E-3</v>
      </c>
      <c r="BH23" s="235">
        <f t="shared" si="54"/>
        <v>1.7964583240183185E-2</v>
      </c>
      <c r="BI23" s="235">
        <f t="shared" si="55"/>
        <v>0.23867151512261331</v>
      </c>
      <c r="BJ23" s="235">
        <f t="shared" si="56"/>
        <v>1.0000000000000007</v>
      </c>
      <c r="BK23" s="101">
        <f t="shared" si="14"/>
        <v>0.18114852385830119</v>
      </c>
      <c r="BL23" s="101">
        <f t="shared" si="15"/>
        <v>0.14363817347131669</v>
      </c>
      <c r="BM23" s="101">
        <f t="shared" si="16"/>
        <v>205.17455302949267</v>
      </c>
      <c r="BN23" s="101">
        <f t="shared" si="17"/>
        <v>327.53825936314422</v>
      </c>
      <c r="BO23" s="101">
        <f t="shared" si="18"/>
        <v>614.24138481248724</v>
      </c>
      <c r="BP23" s="101">
        <f t="shared" si="57"/>
        <v>1184.3544173064365</v>
      </c>
      <c r="BQ23" s="235">
        <f t="shared" si="19"/>
        <v>0.22029843878293151</v>
      </c>
      <c r="BR23" s="235">
        <f t="shared" si="20"/>
        <v>4.4832501551311869E-5</v>
      </c>
      <c r="BS23" s="235">
        <f t="shared" si="21"/>
        <v>7.1316241155744975E-3</v>
      </c>
      <c r="BT23" s="235">
        <f t="shared" si="22"/>
        <v>4.2685681140502583E-3</v>
      </c>
      <c r="BU23" s="235">
        <f t="shared" si="23"/>
        <v>1.8093807892195298E-3</v>
      </c>
      <c r="BV23" s="235">
        <f t="shared" si="24"/>
        <v>0.17061527111906197</v>
      </c>
      <c r="BW23" s="101">
        <f t="shared" si="58"/>
        <v>2331.6334012088901</v>
      </c>
      <c r="BX23" s="235">
        <f t="shared" si="59"/>
        <v>0.40416811542238906</v>
      </c>
      <c r="BY23" s="235">
        <f t="shared" si="25"/>
        <v>0.46061625404090156</v>
      </c>
      <c r="CA23" s="23"/>
      <c r="CJ23" s="10">
        <v>15</v>
      </c>
      <c r="CK23" s="450">
        <v>0</v>
      </c>
      <c r="CL23" s="450">
        <v>0</v>
      </c>
      <c r="CM23" s="450">
        <v>0</v>
      </c>
      <c r="CN23" s="450">
        <v>0</v>
      </c>
      <c r="CO23" s="451">
        <v>0.36557354412730347</v>
      </c>
      <c r="CP23" s="451">
        <v>0.62359849620909991</v>
      </c>
      <c r="CQ23" s="451">
        <v>0.11613864472537887</v>
      </c>
      <c r="CR23" s="451">
        <v>0.13466586175028436</v>
      </c>
      <c r="CS23" s="451">
        <v>24.500346483913493</v>
      </c>
      <c r="CT23" s="451">
        <v>23.844984191413428</v>
      </c>
      <c r="CU23" s="234">
        <v>0.65536229250006528</v>
      </c>
      <c r="CX23" s="377">
        <v>15</v>
      </c>
      <c r="CY23" s="335">
        <f t="shared" si="60"/>
        <v>1.92E-4</v>
      </c>
      <c r="CZ23" s="338">
        <v>1.92E-4</v>
      </c>
      <c r="DA23" s="345">
        <f t="shared" si="61"/>
        <v>2.6429209819322286E-2</v>
      </c>
      <c r="DB23" s="387">
        <f t="shared" si="62"/>
        <v>5.3534820826336649E-2</v>
      </c>
      <c r="DC23" s="114">
        <f t="shared" si="91"/>
        <v>0</v>
      </c>
      <c r="DD23" s="378">
        <f t="shared" si="92"/>
        <v>0</v>
      </c>
      <c r="DE23" s="378">
        <f t="shared" si="63"/>
        <v>0</v>
      </c>
      <c r="DF23" s="340">
        <f t="shared" si="93"/>
        <v>0</v>
      </c>
      <c r="DG23" s="378">
        <f t="shared" si="94"/>
        <v>0</v>
      </c>
      <c r="DH23" s="378">
        <f t="shared" si="64"/>
        <v>0</v>
      </c>
      <c r="DI23" s="340">
        <f>DI22+(DI28-DI18)/10</f>
        <v>0</v>
      </c>
      <c r="DJ23" s="349">
        <f t="shared" ref="DJ23" si="140">DJ22+(DJ28-DJ18)/10</f>
        <v>0</v>
      </c>
      <c r="DK23" s="350">
        <f t="shared" si="65"/>
        <v>0</v>
      </c>
      <c r="DL23" s="345">
        <f t="shared" ref="DL23" si="141">DL22+(DL28-DL18)/10</f>
        <v>0</v>
      </c>
      <c r="DM23" s="349">
        <f t="shared" ref="DM23" si="142">DM22+(DM28-DM18)/10</f>
        <v>0</v>
      </c>
      <c r="DN23" s="396">
        <f t="shared" si="66"/>
        <v>0</v>
      </c>
      <c r="DO23" s="335">
        <f t="shared" si="103"/>
        <v>0</v>
      </c>
      <c r="DP23" s="350">
        <f t="shared" si="104"/>
        <v>0</v>
      </c>
      <c r="DQ23" s="349">
        <f t="shared" si="67"/>
        <v>0</v>
      </c>
      <c r="DR23" s="335">
        <f t="shared" si="105"/>
        <v>0</v>
      </c>
      <c r="DS23" s="350">
        <f t="shared" si="106"/>
        <v>0</v>
      </c>
      <c r="DT23" s="349">
        <f t="shared" si="68"/>
        <v>0</v>
      </c>
      <c r="DU23" s="335">
        <f>VLOOKUP($CX23,$EY$8:$FF$28,8,FALSE)</f>
        <v>0</v>
      </c>
      <c r="DV23" s="350">
        <f>VLOOKUP($CX23,$EY$32:$FF$52,8,FALSE)</f>
        <v>0</v>
      </c>
      <c r="DW23" s="350">
        <f t="shared" si="69"/>
        <v>0</v>
      </c>
      <c r="DX23" s="335">
        <f>VLOOKUP($CX23,$EY$56:$FF$76,8,FALSE)</f>
        <v>0</v>
      </c>
      <c r="DY23" s="350">
        <f>VLOOKUP($CX23,$EY$80:$FF$100,8,FALSE)</f>
        <v>0</v>
      </c>
      <c r="DZ23" s="396">
        <f t="shared" si="70"/>
        <v>0</v>
      </c>
      <c r="EA23" s="350">
        <f t="shared" si="71"/>
        <v>0</v>
      </c>
      <c r="EB23" s="350">
        <f t="shared" si="72"/>
        <v>0</v>
      </c>
      <c r="EC23" s="349">
        <f t="shared" si="73"/>
        <v>0</v>
      </c>
      <c r="ED23" s="335">
        <f t="shared" si="74"/>
        <v>0</v>
      </c>
      <c r="EE23" s="350">
        <f t="shared" si="75"/>
        <v>0</v>
      </c>
      <c r="EF23" s="387">
        <f t="shared" si="76"/>
        <v>0</v>
      </c>
      <c r="EG23" s="335">
        <f t="shared" si="77"/>
        <v>0</v>
      </c>
      <c r="EH23" s="350">
        <f t="shared" si="78"/>
        <v>0</v>
      </c>
      <c r="EI23" s="387">
        <f t="shared" si="79"/>
        <v>0</v>
      </c>
      <c r="EJ23" s="335">
        <f t="shared" si="80"/>
        <v>0</v>
      </c>
      <c r="EK23" s="350">
        <f t="shared" si="81"/>
        <v>0</v>
      </c>
      <c r="EL23" s="387">
        <f t="shared" si="82"/>
        <v>0</v>
      </c>
      <c r="EO23" s="318">
        <v>10</v>
      </c>
      <c r="EP23" s="315"/>
      <c r="EQ23" s="308">
        <v>0</v>
      </c>
      <c r="ER23" s="308">
        <v>0</v>
      </c>
      <c r="ES23" s="308">
        <v>0</v>
      </c>
      <c r="ET23" s="320" t="e">
        <f t="shared" ref="ET23" si="143">EQ23^2*(1-EQ23)/((ES23-ER23)/(2*z))^2-EQ23</f>
        <v>#DIV/0!</v>
      </c>
      <c r="EU23" s="320" t="e">
        <f t="shared" ref="EU23" si="144">(EQ23^2*(1-EQ23)/((ES23-ER23)/(2*z))^2-EQ23)*(1-EQ23)/EQ23</f>
        <v>#DIV/0!</v>
      </c>
      <c r="EV23" s="350" t="e">
        <f t="shared" ref="EV23" ca="1" si="145">_xlfn.BETA.INV(RAND(),ET23,EU23)</f>
        <v>#DIV/0!</v>
      </c>
      <c r="EW23" s="362">
        <f t="shared" ref="EW23:EW32" si="146">MAX(EW22,IFERROR(IF(psa,EV23,EQ23),EQ23))</f>
        <v>0</v>
      </c>
      <c r="EY23" s="363">
        <v>75</v>
      </c>
      <c r="EZ23" s="346">
        <v>0</v>
      </c>
      <c r="FA23" s="347">
        <f t="shared" si="86"/>
        <v>0</v>
      </c>
      <c r="FB23" s="347">
        <f t="shared" si="87"/>
        <v>0</v>
      </c>
      <c r="FC23" s="33" t="e">
        <f t="shared" si="88"/>
        <v>#DIV/0!</v>
      </c>
      <c r="FD23" s="33" t="e">
        <f t="shared" si="89"/>
        <v>#DIV/0!</v>
      </c>
      <c r="FE23" s="308">
        <f t="shared" ca="1" si="100"/>
        <v>0</v>
      </c>
      <c r="FF23" s="364">
        <f t="shared" si="111"/>
        <v>0.46399999999999997</v>
      </c>
      <c r="FH23" s="324">
        <v>5</v>
      </c>
      <c r="FI23" s="406">
        <v>99384</v>
      </c>
      <c r="FJ23" s="347">
        <f t="shared" si="137"/>
        <v>0.99383999999999995</v>
      </c>
      <c r="FK23" s="388">
        <f t="shared" si="138"/>
        <v>0.8755730399999998</v>
      </c>
      <c r="FL23" s="347">
        <f t="shared" ref="FL23:FL42" si="147">1-FK23</f>
        <v>0.1244269600000002</v>
      </c>
      <c r="FM23" s="396">
        <f t="shared" ref="FM23:FM42" si="148">1-(1-FL23)^(1/5)</f>
        <v>2.6225323915230914E-2</v>
      </c>
      <c r="FN23" s="388">
        <f t="shared" si="139"/>
        <v>0.76028759999999995</v>
      </c>
      <c r="FO23" s="347">
        <f t="shared" ref="FO23:FO42" si="149">1-FN23</f>
        <v>0.23971240000000005</v>
      </c>
      <c r="FP23" s="396">
        <f t="shared" ref="FP23:FP42" si="150">1-(1-FO23)^(1/5)</f>
        <v>5.3336611399047773E-2</v>
      </c>
    </row>
    <row r="24" spans="2:172" ht="15" customHeight="1" x14ac:dyDescent="0.2">
      <c r="Q24" s="10">
        <v>18</v>
      </c>
      <c r="R24" s="10">
        <f t="shared" si="2"/>
        <v>63</v>
      </c>
      <c r="S24" s="309">
        <f t="shared" si="26"/>
        <v>0.30196195487917876</v>
      </c>
      <c r="T24" s="309">
        <f t="shared" si="27"/>
        <v>0</v>
      </c>
      <c r="U24" s="309">
        <f t="shared" si="28"/>
        <v>7.4941834250526944E-4</v>
      </c>
      <c r="V24" s="235">
        <f t="shared" si="29"/>
        <v>2.0499797738650866E-2</v>
      </c>
      <c r="W24" s="235">
        <f t="shared" si="30"/>
        <v>6.6947722737427801E-2</v>
      </c>
      <c r="X24" s="309">
        <f t="shared" si="31"/>
        <v>4.9507408973287804E-5</v>
      </c>
      <c r="Y24" s="235">
        <f t="shared" si="32"/>
        <v>6.7893950521336387E-3</v>
      </c>
      <c r="Z24" s="235">
        <f t="shared" si="33"/>
        <v>9.3199209463034668E-3</v>
      </c>
      <c r="AA24" s="235">
        <f t="shared" si="34"/>
        <v>0.31796071734130604</v>
      </c>
      <c r="AB24" s="235">
        <f t="shared" si="35"/>
        <v>4.1809085721648915E-3</v>
      </c>
      <c r="AC24" s="235">
        <f t="shared" si="36"/>
        <v>1.7984265412203652E-2</v>
      </c>
      <c r="AD24" s="235">
        <f t="shared" si="37"/>
        <v>0.25355639156915249</v>
      </c>
      <c r="AE24" s="235">
        <f t="shared" si="38"/>
        <v>1.0000000000000002</v>
      </c>
      <c r="AF24" s="101">
        <f t="shared" si="3"/>
        <v>0</v>
      </c>
      <c r="AG24" s="101">
        <f t="shared" si="4"/>
        <v>2.6014322844102882</v>
      </c>
      <c r="AH24" s="101">
        <f t="shared" si="5"/>
        <v>174.46045162003892</v>
      </c>
      <c r="AI24" s="101">
        <f t="shared" si="6"/>
        <v>279.18516100403184</v>
      </c>
      <c r="AJ24" s="101">
        <f t="shared" si="7"/>
        <v>575.24493986505263</v>
      </c>
      <c r="AK24" s="101">
        <f t="shared" si="39"/>
        <v>1114.3398580141136</v>
      </c>
      <c r="AL24" s="235">
        <f t="shared" si="40"/>
        <v>0.16850228280123583</v>
      </c>
      <c r="AM24" s="235">
        <f t="shared" si="8"/>
        <v>4.3298300362499311E-4</v>
      </c>
      <c r="AN24" s="235">
        <f t="shared" si="9"/>
        <v>5.2586543218679886E-2</v>
      </c>
      <c r="AO24" s="235">
        <f t="shared" si="10"/>
        <v>3.6295744767191477E-3</v>
      </c>
      <c r="AP24" s="235">
        <f t="shared" si="11"/>
        <v>1.5422694983421475E-3</v>
      </c>
      <c r="AQ24" s="235">
        <f t="shared" si="12"/>
        <v>0.15888839232612081</v>
      </c>
      <c r="AR24" s="101">
        <f t="shared" si="41"/>
        <v>2145.8318427876475</v>
      </c>
      <c r="AS24" s="235">
        <f t="shared" si="42"/>
        <v>0.38558204532472284</v>
      </c>
      <c r="AT24" s="235">
        <f t="shared" si="13"/>
        <v>0.43845695048192002</v>
      </c>
      <c r="AV24" s="10">
        <v>18</v>
      </c>
      <c r="AW24" s="10">
        <f t="shared" si="43"/>
        <v>63</v>
      </c>
      <c r="AX24" s="309">
        <f t="shared" si="44"/>
        <v>0.36544595650668033</v>
      </c>
      <c r="AY24" s="309">
        <f t="shared" si="45"/>
        <v>3.8328395045845431E-5</v>
      </c>
      <c r="AZ24" s="309">
        <f t="shared" si="46"/>
        <v>3.8328395045845431E-5</v>
      </c>
      <c r="BA24" s="235">
        <f t="shared" si="47"/>
        <v>2.9900120803327867E-3</v>
      </c>
      <c r="BB24" s="235">
        <f t="shared" si="48"/>
        <v>4.6680450406314505E-3</v>
      </c>
      <c r="BC24" s="309">
        <f t="shared" si="49"/>
        <v>7.1239162946549307E-6</v>
      </c>
      <c r="BD24" s="235">
        <f t="shared" si="50"/>
        <v>4.5959158101686473E-3</v>
      </c>
      <c r="BE24" s="235">
        <f t="shared" si="51"/>
        <v>1.0154650681821909E-2</v>
      </c>
      <c r="BF24" s="235">
        <f t="shared" si="52"/>
        <v>0.32977348054927125</v>
      </c>
      <c r="BG24" s="235">
        <f t="shared" si="53"/>
        <v>4.5456790485069922E-3</v>
      </c>
      <c r="BH24" s="235">
        <f t="shared" si="54"/>
        <v>1.9393654902669404E-2</v>
      </c>
      <c r="BI24" s="235">
        <f t="shared" si="55"/>
        <v>0.25834882467353154</v>
      </c>
      <c r="BJ24" s="235">
        <f t="shared" si="56"/>
        <v>1.0000000000000007</v>
      </c>
      <c r="BK24" s="101">
        <f t="shared" si="14"/>
        <v>0.16779297208423333</v>
      </c>
      <c r="BL24" s="101">
        <f t="shared" si="15"/>
        <v>0.13304815031424527</v>
      </c>
      <c r="BM24" s="101">
        <f t="shared" si="16"/>
        <v>190.08583379637409</v>
      </c>
      <c r="BN24" s="101">
        <f t="shared" si="17"/>
        <v>303.54314501858164</v>
      </c>
      <c r="BO24" s="101">
        <f t="shared" si="18"/>
        <v>600.77302728486336</v>
      </c>
      <c r="BP24" s="101">
        <f t="shared" si="57"/>
        <v>1168.6195030119113</v>
      </c>
      <c r="BQ24" s="235">
        <f t="shared" si="19"/>
        <v>0.2039279350158387</v>
      </c>
      <c r="BR24" s="235">
        <f t="shared" si="20"/>
        <v>4.1525395953568496E-5</v>
      </c>
      <c r="BS24" s="235">
        <f t="shared" si="21"/>
        <v>6.8380217405421828E-3</v>
      </c>
      <c r="BT24" s="235">
        <f t="shared" si="22"/>
        <v>3.9546538159594587E-3</v>
      </c>
      <c r="BU24" s="235">
        <f t="shared" si="23"/>
        <v>1.6768274227377184E-3</v>
      </c>
      <c r="BV24" s="235">
        <f t="shared" si="24"/>
        <v>0.16510484739418632</v>
      </c>
      <c r="BW24" s="101">
        <f t="shared" si="58"/>
        <v>2263.3223502341289</v>
      </c>
      <c r="BX24" s="235">
        <f t="shared" si="59"/>
        <v>0.38154381078521793</v>
      </c>
      <c r="BY24" s="235">
        <f t="shared" si="25"/>
        <v>0.43564190111904627</v>
      </c>
      <c r="CA24" s="23"/>
      <c r="CB24" s="21">
        <v>15</v>
      </c>
      <c r="CC24" t="str">
        <f>$M$64</f>
        <v>util_well</v>
      </c>
      <c r="CD24" s="235">
        <f>$F$64</f>
        <v>0.76</v>
      </c>
      <c r="CE24" s="235">
        <f>$G$64</f>
        <v>1</v>
      </c>
      <c r="CF24" s="447">
        <v>-43782.87992904034</v>
      </c>
      <c r="CG24" s="447">
        <v>-12652.170493529822</v>
      </c>
      <c r="CH24" s="266">
        <f t="shared" ref="CH24:CH58" si="151">ABS(CF24-CG24)</f>
        <v>31130.709435510518</v>
      </c>
      <c r="CJ24" s="10">
        <v>16</v>
      </c>
      <c r="CK24" s="450">
        <v>0</v>
      </c>
      <c r="CL24" s="450">
        <v>0</v>
      </c>
      <c r="CM24" s="450">
        <v>0</v>
      </c>
      <c r="CN24" s="450">
        <v>0</v>
      </c>
      <c r="CO24" s="451">
        <v>0.36840632352316738</v>
      </c>
      <c r="CP24" s="451">
        <v>0.62376422255238084</v>
      </c>
      <c r="CQ24" s="451">
        <v>0.11567570970519582</v>
      </c>
      <c r="CR24" s="451">
        <v>0.13470062322115817</v>
      </c>
      <c r="CS24" s="451">
        <v>24.309234319059293</v>
      </c>
      <c r="CT24" s="451">
        <v>23.638693420749433</v>
      </c>
      <c r="CU24" s="234">
        <v>0.6705408983098593</v>
      </c>
      <c r="CX24" s="377">
        <v>16</v>
      </c>
      <c r="CY24" s="335">
        <f t="shared" si="60"/>
        <v>2.2900000000000001E-4</v>
      </c>
      <c r="CZ24" s="338">
        <v>2.2900000000000001E-4</v>
      </c>
      <c r="DA24" s="345">
        <f t="shared" si="61"/>
        <v>2.6429209819322286E-2</v>
      </c>
      <c r="DB24" s="387">
        <f t="shared" si="62"/>
        <v>5.3534820826336649E-2</v>
      </c>
      <c r="DC24" s="114">
        <f t="shared" si="91"/>
        <v>0</v>
      </c>
      <c r="DD24" s="378">
        <f t="shared" si="92"/>
        <v>0</v>
      </c>
      <c r="DE24" s="378">
        <f t="shared" si="63"/>
        <v>0</v>
      </c>
      <c r="DF24" s="340">
        <f t="shared" si="93"/>
        <v>0</v>
      </c>
      <c r="DG24" s="378">
        <f t="shared" si="94"/>
        <v>0</v>
      </c>
      <c r="DH24" s="378">
        <f t="shared" si="64"/>
        <v>0</v>
      </c>
      <c r="DI24" s="340">
        <f>DI23+(DI28-DI18)/10</f>
        <v>0</v>
      </c>
      <c r="DJ24" s="349">
        <f t="shared" ref="DJ24" si="152">DJ23+(DJ28-DJ18)/10</f>
        <v>0</v>
      </c>
      <c r="DK24" s="350">
        <f t="shared" si="65"/>
        <v>0</v>
      </c>
      <c r="DL24" s="345">
        <f t="shared" ref="DL24" si="153">DL23+(DL28-DL18)/10</f>
        <v>0</v>
      </c>
      <c r="DM24" s="349">
        <f t="shared" ref="DM24" si="154">DM23+(DM28-DM18)/10</f>
        <v>0</v>
      </c>
      <c r="DN24" s="396">
        <f t="shared" si="66"/>
        <v>0</v>
      </c>
      <c r="DO24" s="335">
        <f t="shared" si="103"/>
        <v>1.0800000000000001E-2</v>
      </c>
      <c r="DP24" s="350">
        <f t="shared" si="104"/>
        <v>0</v>
      </c>
      <c r="DQ24" s="349">
        <f t="shared" si="67"/>
        <v>7.5730016159945889E-3</v>
      </c>
      <c r="DR24" s="335">
        <f t="shared" si="105"/>
        <v>0</v>
      </c>
      <c r="DS24" s="350">
        <f t="shared" si="106"/>
        <v>0</v>
      </c>
      <c r="DT24" s="349">
        <f t="shared" si="68"/>
        <v>0</v>
      </c>
      <c r="DU24" s="335">
        <f>DU23+(DU28-DU23)/5</f>
        <v>1.0800000000000001E-2</v>
      </c>
      <c r="DV24" s="350">
        <f>DV23+(DV28-DV23)/5</f>
        <v>0</v>
      </c>
      <c r="DW24" s="350">
        <f t="shared" si="69"/>
        <v>7.5730016159945889E-3</v>
      </c>
      <c r="DX24" s="335">
        <f>DX23+(DX28-DX23)/5</f>
        <v>0</v>
      </c>
      <c r="DY24" s="350">
        <f>DY23+(DY28-DY23)/5</f>
        <v>0</v>
      </c>
      <c r="DZ24" s="396">
        <f t="shared" si="70"/>
        <v>0</v>
      </c>
      <c r="EA24" s="350">
        <f t="shared" si="71"/>
        <v>0</v>
      </c>
      <c r="EB24" s="350">
        <f t="shared" si="72"/>
        <v>0</v>
      </c>
      <c r="EC24" s="349">
        <f t="shared" si="73"/>
        <v>0</v>
      </c>
      <c r="ED24" s="335">
        <f t="shared" si="74"/>
        <v>0</v>
      </c>
      <c r="EE24" s="350">
        <f t="shared" si="75"/>
        <v>0</v>
      </c>
      <c r="EF24" s="387">
        <f t="shared" si="76"/>
        <v>0</v>
      </c>
      <c r="EG24" s="335">
        <f t="shared" si="77"/>
        <v>0</v>
      </c>
      <c r="EH24" s="350">
        <f t="shared" si="78"/>
        <v>0</v>
      </c>
      <c r="EI24" s="387">
        <f t="shared" si="79"/>
        <v>0</v>
      </c>
      <c r="EJ24" s="335">
        <f t="shared" si="80"/>
        <v>0</v>
      </c>
      <c r="EK24" s="350">
        <f t="shared" si="81"/>
        <v>0</v>
      </c>
      <c r="EL24" s="387">
        <f t="shared" si="82"/>
        <v>0</v>
      </c>
      <c r="EN24" s="337"/>
      <c r="EO24" s="318">
        <v>20</v>
      </c>
      <c r="EP24" s="315" t="s">
        <v>196</v>
      </c>
      <c r="EQ24" s="308">
        <v>0</v>
      </c>
      <c r="ER24" s="308">
        <v>0</v>
      </c>
      <c r="ES24" s="308">
        <v>0</v>
      </c>
      <c r="ET24" s="320" t="e">
        <f t="shared" ref="ET24:ET30" si="155">EQ24^2*(1-EQ24)/((ES24-ER24)/(2*z))^2-EQ24</f>
        <v>#DIV/0!</v>
      </c>
      <c r="EU24" s="320" t="e">
        <f t="shared" ref="EU24:EU30" si="156">(EQ24^2*(1-EQ24)/((ES24-ER24)/(2*z))^2-EQ24)*(1-EQ24)/EQ24</f>
        <v>#DIV/0!</v>
      </c>
      <c r="EV24" s="350" t="e">
        <f t="shared" ref="EV24:EV30" ca="1" si="157">_xlfn.BETA.INV(RAND(),ET24,EU24)</f>
        <v>#DIV/0!</v>
      </c>
      <c r="EW24" s="362">
        <f t="shared" si="146"/>
        <v>0</v>
      </c>
      <c r="EY24" s="363">
        <v>80</v>
      </c>
      <c r="EZ24" s="346">
        <v>0</v>
      </c>
      <c r="FA24" s="347">
        <f t="shared" si="86"/>
        <v>0</v>
      </c>
      <c r="FB24" s="347">
        <f t="shared" si="87"/>
        <v>0</v>
      </c>
      <c r="FC24" s="33" t="e">
        <f t="shared" si="88"/>
        <v>#DIV/0!</v>
      </c>
      <c r="FD24" s="33" t="e">
        <f t="shared" si="89"/>
        <v>#DIV/0!</v>
      </c>
      <c r="FE24" s="308">
        <f t="shared" ca="1" si="100"/>
        <v>0</v>
      </c>
      <c r="FF24" s="364">
        <f t="shared" si="111"/>
        <v>0.46399999999999997</v>
      </c>
      <c r="FG24" s="234"/>
      <c r="FH24" s="324">
        <v>10</v>
      </c>
      <c r="FI24" s="406">
        <v>99335</v>
      </c>
      <c r="FJ24" s="347">
        <f t="shared" si="137"/>
        <v>0.99334999999999996</v>
      </c>
      <c r="FK24" s="388">
        <f t="shared" si="138"/>
        <v>0.87514134999999982</v>
      </c>
      <c r="FL24" s="347">
        <f t="shared" si="147"/>
        <v>0.12485865000000018</v>
      </c>
      <c r="FM24" s="396">
        <f t="shared" si="148"/>
        <v>2.6321364267824943E-2</v>
      </c>
      <c r="FN24" s="388">
        <f t="shared" si="139"/>
        <v>0.75991275000000003</v>
      </c>
      <c r="FO24" s="347">
        <f t="shared" si="149"/>
        <v>0.24008724999999997</v>
      </c>
      <c r="FP24" s="396">
        <f t="shared" si="150"/>
        <v>5.3429977850098509E-2</v>
      </c>
    </row>
    <row r="25" spans="2:172" ht="15" customHeight="1" x14ac:dyDescent="0.2">
      <c r="Q25" s="10">
        <v>19</v>
      </c>
      <c r="R25" s="10">
        <f t="shared" si="2"/>
        <v>64</v>
      </c>
      <c r="S25" s="309">
        <f t="shared" si="26"/>
        <v>0.28705474062009689</v>
      </c>
      <c r="T25" s="309">
        <f t="shared" si="27"/>
        <v>0</v>
      </c>
      <c r="U25" s="309">
        <f t="shared" si="28"/>
        <v>7.1292102783948987E-4</v>
      </c>
      <c r="V25" s="235">
        <f t="shared" si="29"/>
        <v>2.0027269543629846E-2</v>
      </c>
      <c r="W25" s="235">
        <f t="shared" si="30"/>
        <v>6.5941821196277603E-2</v>
      </c>
      <c r="X25" s="309">
        <f t="shared" si="31"/>
        <v>4.8399265663080918E-5</v>
      </c>
      <c r="Y25" s="235">
        <f t="shared" si="32"/>
        <v>6.7575088660941328E-3</v>
      </c>
      <c r="Z25" s="235">
        <f t="shared" si="33"/>
        <v>8.899603099923761E-3</v>
      </c>
      <c r="AA25" s="235">
        <f t="shared" si="34"/>
        <v>0.31482329793270031</v>
      </c>
      <c r="AB25" s="235">
        <f t="shared" si="35"/>
        <v>3.991723700030321E-3</v>
      </c>
      <c r="AC25" s="235">
        <f t="shared" si="36"/>
        <v>1.8914452592097154E-2</v>
      </c>
      <c r="AD25" s="235">
        <f t="shared" si="37"/>
        <v>0.27282826215564759</v>
      </c>
      <c r="AE25" s="235">
        <f t="shared" si="38"/>
        <v>1</v>
      </c>
      <c r="AF25" s="101">
        <f t="shared" si="3"/>
        <v>0</v>
      </c>
      <c r="AG25" s="101">
        <f t="shared" si="4"/>
        <v>2.4026604910070661</v>
      </c>
      <c r="AH25" s="101">
        <f t="shared" si="5"/>
        <v>161.74027519932389</v>
      </c>
      <c r="AI25" s="101">
        <f t="shared" si="6"/>
        <v>258.78846147723806</v>
      </c>
      <c r="AJ25" s="101">
        <f t="shared" si="7"/>
        <v>559.01002105221164</v>
      </c>
      <c r="AK25" s="101">
        <f t="shared" si="39"/>
        <v>1089.8942360289525</v>
      </c>
      <c r="AL25" s="235">
        <f t="shared" si="40"/>
        <v>0.1555181421304746</v>
      </c>
      <c r="AM25" s="235">
        <f t="shared" si="8"/>
        <v>3.9951088849766016E-4</v>
      </c>
      <c r="AN25" s="235">
        <f t="shared" si="9"/>
        <v>5.0236649865632511E-2</v>
      </c>
      <c r="AO25" s="235">
        <f t="shared" si="10"/>
        <v>3.3649366906348607E-3</v>
      </c>
      <c r="AP25" s="235">
        <f t="shared" si="11"/>
        <v>1.429594428385369E-3</v>
      </c>
      <c r="AQ25" s="235">
        <f t="shared" si="12"/>
        <v>0.15319324203096207</v>
      </c>
      <c r="AR25" s="101">
        <f t="shared" si="41"/>
        <v>2071.8356542487331</v>
      </c>
      <c r="AS25" s="235">
        <f t="shared" si="42"/>
        <v>0.36414207603458704</v>
      </c>
      <c r="AT25" s="235">
        <f t="shared" si="13"/>
        <v>0.41469588118517853</v>
      </c>
      <c r="AV25" s="10">
        <v>19</v>
      </c>
      <c r="AW25" s="10">
        <f t="shared" si="43"/>
        <v>64</v>
      </c>
      <c r="AX25" s="309">
        <f t="shared" si="44"/>
        <v>0.34819438842752315</v>
      </c>
      <c r="AY25" s="309">
        <f t="shared" si="45"/>
        <v>3.6544595650668032E-5</v>
      </c>
      <c r="AZ25" s="309">
        <f t="shared" si="46"/>
        <v>3.6544595650668032E-5</v>
      </c>
      <c r="BA25" s="235">
        <f t="shared" si="47"/>
        <v>2.9594195509176631E-3</v>
      </c>
      <c r="BB25" s="235">
        <f t="shared" si="48"/>
        <v>4.5839807396664605E-3</v>
      </c>
      <c r="BC25" s="309">
        <f t="shared" si="49"/>
        <v>7.0593081383919899E-6</v>
      </c>
      <c r="BD25" s="235">
        <f t="shared" si="50"/>
        <v>4.5479423124384398E-3</v>
      </c>
      <c r="BE25" s="235">
        <f t="shared" si="51"/>
        <v>9.6840445066303255E-3</v>
      </c>
      <c r="BF25" s="235">
        <f t="shared" si="52"/>
        <v>0.32698938713333614</v>
      </c>
      <c r="BG25" s="235">
        <f t="shared" si="53"/>
        <v>4.3363752422906961E-3</v>
      </c>
      <c r="BH25" s="235">
        <f t="shared" si="54"/>
        <v>2.0428416101097767E-2</v>
      </c>
      <c r="BI25" s="235">
        <f t="shared" si="55"/>
        <v>0.27819589748666024</v>
      </c>
      <c r="BJ25" s="235">
        <f t="shared" si="56"/>
        <v>1.0000000000000007</v>
      </c>
      <c r="BK25" s="101">
        <f t="shared" si="14"/>
        <v>0.15532417976426949</v>
      </c>
      <c r="BL25" s="101">
        <f t="shared" si="15"/>
        <v>0.12316126569555663</v>
      </c>
      <c r="BM25" s="101">
        <f t="shared" si="16"/>
        <v>175.99661534999322</v>
      </c>
      <c r="BN25" s="101">
        <f t="shared" si="17"/>
        <v>281.13265387879187</v>
      </c>
      <c r="BO25" s="101">
        <f t="shared" si="18"/>
        <v>584.87572941999997</v>
      </c>
      <c r="BP25" s="101">
        <f t="shared" si="57"/>
        <v>1145.2221772291616</v>
      </c>
      <c r="BQ25" s="235">
        <f t="shared" si="19"/>
        <v>0.18864187461781329</v>
      </c>
      <c r="BR25" s="235">
        <f t="shared" si="20"/>
        <v>3.8437955631910591E-5</v>
      </c>
      <c r="BS25" s="235">
        <f t="shared" si="21"/>
        <v>6.550747545304522E-3</v>
      </c>
      <c r="BT25" s="235">
        <f t="shared" si="22"/>
        <v>3.6615337007984659E-3</v>
      </c>
      <c r="BU25" s="235">
        <f t="shared" si="23"/>
        <v>1.5530278024302997E-3</v>
      </c>
      <c r="BV25" s="235">
        <f t="shared" si="24"/>
        <v>0.15943478648402487</v>
      </c>
      <c r="BW25" s="101">
        <f t="shared" si="58"/>
        <v>2187.5056613234065</v>
      </c>
      <c r="BX25" s="235">
        <f t="shared" si="59"/>
        <v>0.35988040810600336</v>
      </c>
      <c r="BY25" s="235">
        <f t="shared" si="25"/>
        <v>0.41163479375888035</v>
      </c>
      <c r="CA25" s="23"/>
      <c r="CB25" s="21">
        <v>18</v>
      </c>
      <c r="CC25" t="str">
        <f>$M$67</f>
        <v>boc_util_pc_bc</v>
      </c>
      <c r="CD25" s="235">
        <f>$F$67</f>
        <v>0.64800000000000013</v>
      </c>
      <c r="CE25" s="235">
        <f>$G$67</f>
        <v>0.97199999999999998</v>
      </c>
      <c r="CF25" s="447">
        <v>-12921.586553138548</v>
      </c>
      <c r="CG25" s="447">
        <v>-23412.718723976555</v>
      </c>
      <c r="CH25" s="266">
        <f t="shared" si="151"/>
        <v>10491.132170838007</v>
      </c>
      <c r="CJ25" s="10">
        <v>17</v>
      </c>
      <c r="CK25" s="450">
        <v>0</v>
      </c>
      <c r="CL25" s="450">
        <v>0</v>
      </c>
      <c r="CM25" s="450">
        <v>0</v>
      </c>
      <c r="CN25" s="450">
        <v>0</v>
      </c>
      <c r="CO25" s="451">
        <v>0.37127564255679157</v>
      </c>
      <c r="CP25" s="451">
        <v>0.62395409483634179</v>
      </c>
      <c r="CQ25" s="451">
        <v>0.11521332426209559</v>
      </c>
      <c r="CR25" s="451">
        <v>0.13474066852167507</v>
      </c>
      <c r="CS25" s="451">
        <v>24.113043173744359</v>
      </c>
      <c r="CT25" s="451">
        <v>23.427077416236322</v>
      </c>
      <c r="CU25" s="234">
        <v>0.68596575750803623</v>
      </c>
      <c r="CX25" s="377">
        <v>17</v>
      </c>
      <c r="CY25" s="335">
        <f t="shared" si="60"/>
        <v>2.6800000000000001E-4</v>
      </c>
      <c r="CZ25" s="338">
        <v>2.6800000000000001E-4</v>
      </c>
      <c r="DA25" s="345">
        <f t="shared" si="61"/>
        <v>2.6429209819322286E-2</v>
      </c>
      <c r="DB25" s="387">
        <f t="shared" si="62"/>
        <v>5.3534820826336649E-2</v>
      </c>
      <c r="DC25" s="114">
        <f t="shared" si="91"/>
        <v>0</v>
      </c>
      <c r="DD25" s="378">
        <f t="shared" si="92"/>
        <v>0</v>
      </c>
      <c r="DE25" s="378">
        <f t="shared" si="63"/>
        <v>0</v>
      </c>
      <c r="DF25" s="340">
        <f t="shared" si="93"/>
        <v>0</v>
      </c>
      <c r="DG25" s="378">
        <f t="shared" si="94"/>
        <v>0</v>
      </c>
      <c r="DH25" s="378">
        <f t="shared" si="64"/>
        <v>0</v>
      </c>
      <c r="DI25" s="340">
        <f>DI24+(DI28-DI18)/10</f>
        <v>0</v>
      </c>
      <c r="DJ25" s="349">
        <f t="shared" ref="DJ25" si="158">DJ24+(DJ28-DJ18)/10</f>
        <v>0</v>
      </c>
      <c r="DK25" s="350">
        <f t="shared" si="65"/>
        <v>0</v>
      </c>
      <c r="DL25" s="345">
        <f t="shared" ref="DL25" si="159">DL24+(DL28-DL18)/10</f>
        <v>0</v>
      </c>
      <c r="DM25" s="349">
        <f t="shared" ref="DM25" si="160">DM24+(DM28-DM18)/10</f>
        <v>0</v>
      </c>
      <c r="DN25" s="396">
        <f t="shared" si="66"/>
        <v>0</v>
      </c>
      <c r="DO25" s="335">
        <f t="shared" si="103"/>
        <v>1.0800000000000001E-2</v>
      </c>
      <c r="DP25" s="350">
        <f t="shared" si="104"/>
        <v>0</v>
      </c>
      <c r="DQ25" s="349">
        <f t="shared" si="67"/>
        <v>7.5730016159945889E-3</v>
      </c>
      <c r="DR25" s="335">
        <f t="shared" si="105"/>
        <v>0</v>
      </c>
      <c r="DS25" s="350">
        <f t="shared" si="106"/>
        <v>0</v>
      </c>
      <c r="DT25" s="349">
        <f t="shared" si="68"/>
        <v>0</v>
      </c>
      <c r="DU25" s="335">
        <f>DU24+(DU28-DU23)/5</f>
        <v>2.1600000000000001E-2</v>
      </c>
      <c r="DV25" s="350">
        <f>DV24+(DV28-DV23)/5</f>
        <v>0</v>
      </c>
      <c r="DW25" s="350">
        <f t="shared" si="69"/>
        <v>1.5146003231989178E-2</v>
      </c>
      <c r="DX25" s="335">
        <f>DX24+(DX28-DX23)/5</f>
        <v>0</v>
      </c>
      <c r="DY25" s="350">
        <f>DY24+(DY28-DY23)/5</f>
        <v>0</v>
      </c>
      <c r="DZ25" s="396">
        <f t="shared" si="70"/>
        <v>0</v>
      </c>
      <c r="EA25" s="350">
        <f t="shared" si="71"/>
        <v>0</v>
      </c>
      <c r="EB25" s="350">
        <f t="shared" si="72"/>
        <v>0</v>
      </c>
      <c r="EC25" s="349">
        <f t="shared" si="73"/>
        <v>0</v>
      </c>
      <c r="ED25" s="335">
        <f t="shared" si="74"/>
        <v>0</v>
      </c>
      <c r="EE25" s="350">
        <f t="shared" si="75"/>
        <v>0</v>
      </c>
      <c r="EF25" s="387">
        <f t="shared" si="76"/>
        <v>0</v>
      </c>
      <c r="EG25" s="335">
        <f t="shared" si="77"/>
        <v>0</v>
      </c>
      <c r="EH25" s="350">
        <f t="shared" si="78"/>
        <v>0</v>
      </c>
      <c r="EI25" s="387">
        <f t="shared" si="79"/>
        <v>0</v>
      </c>
      <c r="EJ25" s="335">
        <f t="shared" si="80"/>
        <v>0</v>
      </c>
      <c r="EK25" s="350">
        <f t="shared" si="81"/>
        <v>0</v>
      </c>
      <c r="EL25" s="387">
        <f t="shared" si="82"/>
        <v>0</v>
      </c>
      <c r="EN25" s="337"/>
      <c r="EO25" s="318">
        <v>30</v>
      </c>
      <c r="EP25" s="315" t="s">
        <v>197</v>
      </c>
      <c r="EQ25" s="308">
        <v>0.04</v>
      </c>
      <c r="ER25" s="308">
        <v>0.02</v>
      </c>
      <c r="ES25" s="308">
        <v>0.09</v>
      </c>
      <c r="ET25" s="320">
        <f t="shared" si="155"/>
        <v>4.7767189784376942</v>
      </c>
      <c r="EU25" s="320">
        <f t="shared" si="156"/>
        <v>114.64125548250465</v>
      </c>
      <c r="EV25" s="350">
        <f t="shared" ca="1" si="157"/>
        <v>4.623593606126164E-2</v>
      </c>
      <c r="EW25" s="362">
        <f t="shared" si="146"/>
        <v>0.04</v>
      </c>
      <c r="EY25" s="363">
        <v>85</v>
      </c>
      <c r="EZ25" s="346">
        <v>0</v>
      </c>
      <c r="FA25" s="347">
        <f t="shared" si="86"/>
        <v>0</v>
      </c>
      <c r="FB25" s="347">
        <f t="shared" si="87"/>
        <v>0</v>
      </c>
      <c r="FC25" s="33" t="e">
        <f t="shared" si="88"/>
        <v>#DIV/0!</v>
      </c>
      <c r="FD25" s="33" t="e">
        <f t="shared" si="89"/>
        <v>#DIV/0!</v>
      </c>
      <c r="FE25" s="308">
        <f t="shared" ca="1" si="100"/>
        <v>0</v>
      </c>
      <c r="FF25" s="364">
        <f t="shared" si="111"/>
        <v>0.46399999999999997</v>
      </c>
      <c r="FH25" s="324">
        <v>15</v>
      </c>
      <c r="FI25" s="406">
        <v>99280</v>
      </c>
      <c r="FJ25" s="347">
        <f t="shared" si="137"/>
        <v>0.99280000000000002</v>
      </c>
      <c r="FK25" s="388">
        <f t="shared" si="138"/>
        <v>0.8746567999999999</v>
      </c>
      <c r="FL25" s="347">
        <f t="shared" si="147"/>
        <v>0.1253432000000001</v>
      </c>
      <c r="FM25" s="396">
        <f t="shared" si="148"/>
        <v>2.6429209819322286E-2</v>
      </c>
      <c r="FN25" s="388">
        <f t="shared" si="139"/>
        <v>0.75949200000000006</v>
      </c>
      <c r="FO25" s="347">
        <f t="shared" si="149"/>
        <v>0.24050799999999994</v>
      </c>
      <c r="FP25" s="396">
        <f t="shared" si="150"/>
        <v>5.3534820826336649E-2</v>
      </c>
    </row>
    <row r="26" spans="2:172" ht="15" customHeight="1" x14ac:dyDescent="0.2">
      <c r="Q26" s="10">
        <v>20</v>
      </c>
      <c r="R26" s="10">
        <f t="shared" si="2"/>
        <v>65</v>
      </c>
      <c r="S26" s="309">
        <f t="shared" si="26"/>
        <v>0.27267420065969261</v>
      </c>
      <c r="T26" s="309">
        <f t="shared" si="27"/>
        <v>0</v>
      </c>
      <c r="U26" s="309">
        <f t="shared" si="28"/>
        <v>6.7772564530834648E-4</v>
      </c>
      <c r="V26" s="235">
        <f t="shared" si="29"/>
        <v>1.9551033425116965E-2</v>
      </c>
      <c r="W26" s="235">
        <f t="shared" si="30"/>
        <v>6.4877724748876667E-2</v>
      </c>
      <c r="X26" s="309">
        <f t="shared" si="31"/>
        <v>4.7283644039113558E-5</v>
      </c>
      <c r="Y26" s="235">
        <f t="shared" si="32"/>
        <v>6.7199705753085643E-3</v>
      </c>
      <c r="Z26" s="235">
        <f t="shared" si="33"/>
        <v>8.4929679940207326E-3</v>
      </c>
      <c r="AA26" s="235">
        <f t="shared" si="34"/>
        <v>0.30986131144153156</v>
      </c>
      <c r="AB26" s="235">
        <f t="shared" si="35"/>
        <v>3.8087600748794928E-3</v>
      </c>
      <c r="AC26" s="235">
        <f t="shared" si="36"/>
        <v>1.8462881559643065E-2</v>
      </c>
      <c r="AD26" s="235">
        <f t="shared" si="37"/>
        <v>0.29482614023158304</v>
      </c>
      <c r="AE26" s="235">
        <f t="shared" si="38"/>
        <v>1</v>
      </c>
      <c r="AF26" s="101">
        <f t="shared" si="3"/>
        <v>0</v>
      </c>
      <c r="AG26" s="101">
        <f t="shared" si="4"/>
        <v>2.217520674022242</v>
      </c>
      <c r="AH26" s="101">
        <f t="shared" si="5"/>
        <v>124.88032114948466</v>
      </c>
      <c r="AI26" s="101">
        <f t="shared" si="6"/>
        <v>199.78099218226089</v>
      </c>
      <c r="AJ26" s="101">
        <f t="shared" si="7"/>
        <v>533.362975003987</v>
      </c>
      <c r="AK26" s="101">
        <f t="shared" si="39"/>
        <v>978.59311680221469</v>
      </c>
      <c r="AL26" s="235">
        <f t="shared" si="40"/>
        <v>0.14342443901254076</v>
      </c>
      <c r="AM26" s="235">
        <f t="shared" si="8"/>
        <v>3.6834681031524017E-4</v>
      </c>
      <c r="AN26" s="235">
        <f t="shared" si="9"/>
        <v>4.7943499076725786E-2</v>
      </c>
      <c r="AO26" s="235">
        <f t="shared" si="10"/>
        <v>3.1176583545621996E-3</v>
      </c>
      <c r="AP26" s="235">
        <f t="shared" si="11"/>
        <v>1.3243377711794865E-3</v>
      </c>
      <c r="AQ26" s="235">
        <f t="shared" si="12"/>
        <v>0.14632594710533264</v>
      </c>
      <c r="AR26" s="101">
        <f t="shared" si="41"/>
        <v>1838.8349258119695</v>
      </c>
      <c r="AS26" s="235">
        <f t="shared" si="42"/>
        <v>0.34250422813065617</v>
      </c>
      <c r="AT26" s="235">
        <f t="shared" si="13"/>
        <v>0.39043766863976714</v>
      </c>
      <c r="AV26" s="10">
        <v>20</v>
      </c>
      <c r="AW26" s="10">
        <f t="shared" si="43"/>
        <v>65</v>
      </c>
      <c r="AX26" s="309">
        <f t="shared" si="44"/>
        <v>0.33150337956349329</v>
      </c>
      <c r="AY26" s="309">
        <f t="shared" si="45"/>
        <v>3.4819438842752319E-5</v>
      </c>
      <c r="AZ26" s="309">
        <f t="shared" si="46"/>
        <v>3.4819438842752319E-5</v>
      </c>
      <c r="BA26" s="235">
        <f t="shared" si="47"/>
        <v>2.9255909747832412E-3</v>
      </c>
      <c r="BB26" s="235">
        <f t="shared" si="48"/>
        <v>4.4969950212800534E-3</v>
      </c>
      <c r="BC26" s="309">
        <f t="shared" si="49"/>
        <v>6.987080305836941E-6</v>
      </c>
      <c r="BD26" s="235">
        <f t="shared" si="50"/>
        <v>4.4971638793403507E-3</v>
      </c>
      <c r="BE26" s="235">
        <f t="shared" si="51"/>
        <v>9.2288305247139497E-3</v>
      </c>
      <c r="BF26" s="235">
        <f t="shared" si="52"/>
        <v>0.3222573093306349</v>
      </c>
      <c r="BG26" s="235">
        <f t="shared" si="53"/>
        <v>4.1338751598422093E-3</v>
      </c>
      <c r="BH26" s="235">
        <f t="shared" si="54"/>
        <v>1.9960966142542017E-2</v>
      </c>
      <c r="BI26" s="235">
        <f t="shared" si="55"/>
        <v>0.30091926344537923</v>
      </c>
      <c r="BJ26" s="235">
        <f t="shared" si="56"/>
        <v>1.0000000000000007</v>
      </c>
      <c r="BK26" s="101">
        <f t="shared" si="14"/>
        <v>0.14368136686094671</v>
      </c>
      <c r="BL26" s="101">
        <f t="shared" si="15"/>
        <v>0.11392932527516593</v>
      </c>
      <c r="BM26" s="101">
        <f t="shared" si="16"/>
        <v>135.70041952022359</v>
      </c>
      <c r="BN26" s="101">
        <f t="shared" si="17"/>
        <v>216.83426226762498</v>
      </c>
      <c r="BO26" s="101">
        <f t="shared" si="18"/>
        <v>558.71470709685548</v>
      </c>
      <c r="BP26" s="101">
        <f t="shared" si="57"/>
        <v>1035.1604862330548</v>
      </c>
      <c r="BQ26" s="235">
        <f t="shared" si="19"/>
        <v>0.1743681145103792</v>
      </c>
      <c r="BR26" s="235">
        <f t="shared" si="20"/>
        <v>3.5555124650333398E-5</v>
      </c>
      <c r="BS26" s="235">
        <f t="shared" si="21"/>
        <v>6.2696926768777556E-3</v>
      </c>
      <c r="BT26" s="235">
        <f t="shared" si="22"/>
        <v>3.3877839417821381E-3</v>
      </c>
      <c r="BU26" s="235">
        <f t="shared" si="23"/>
        <v>1.4373830086141328E-3</v>
      </c>
      <c r="BV26" s="235">
        <f t="shared" si="24"/>
        <v>0.15248247776436274</v>
      </c>
      <c r="BW26" s="101">
        <f t="shared" si="58"/>
        <v>1946.667485809895</v>
      </c>
      <c r="BX26" s="235">
        <f t="shared" si="59"/>
        <v>0.33798100702666628</v>
      </c>
      <c r="BY26" s="235">
        <f t="shared" si="25"/>
        <v>0.38706405404901856</v>
      </c>
      <c r="CA26" s="23"/>
      <c r="CB26" s="21">
        <v>11</v>
      </c>
      <c r="CC26" t="str">
        <f>$M$56</f>
        <v>boc_hr_oc_ooph_1</v>
      </c>
      <c r="CD26" s="23">
        <f>$F$56</f>
        <v>0.12</v>
      </c>
      <c r="CE26" s="23">
        <f>$G$56</f>
        <v>0.82</v>
      </c>
      <c r="CF26" s="447">
        <v>-18361.699608876454</v>
      </c>
      <c r="CG26" s="447">
        <v>-10484.239000311896</v>
      </c>
      <c r="CH26" s="266">
        <f t="shared" si="151"/>
        <v>7877.4606085645573</v>
      </c>
      <c r="CJ26" s="10">
        <v>18</v>
      </c>
      <c r="CK26" s="450">
        <v>0</v>
      </c>
      <c r="CL26" s="450">
        <v>0</v>
      </c>
      <c r="CM26" s="450">
        <v>0</v>
      </c>
      <c r="CN26" s="450">
        <v>0</v>
      </c>
      <c r="CO26" s="451">
        <v>0.37418125846611372</v>
      </c>
      <c r="CP26" s="451">
        <v>0.62416688536335518</v>
      </c>
      <c r="CQ26" s="451">
        <v>0.11475117587047405</v>
      </c>
      <c r="CR26" s="451">
        <v>0.13478573308356398</v>
      </c>
      <c r="CS26" s="451">
        <v>23.91154701353766</v>
      </c>
      <c r="CT26" s="451">
        <v>23.209911779375979</v>
      </c>
      <c r="CU26" s="234">
        <v>0.70163523416168161</v>
      </c>
      <c r="CX26" s="377">
        <v>18</v>
      </c>
      <c r="CY26" s="335">
        <f t="shared" si="60"/>
        <v>3.0499999999999999E-4</v>
      </c>
      <c r="CZ26" s="338">
        <v>3.0499999999999999E-4</v>
      </c>
      <c r="DA26" s="345">
        <f t="shared" si="61"/>
        <v>2.6429209819322286E-2</v>
      </c>
      <c r="DB26" s="387">
        <f t="shared" si="62"/>
        <v>5.3534820826336649E-2</v>
      </c>
      <c r="DC26" s="114">
        <f t="shared" si="91"/>
        <v>0</v>
      </c>
      <c r="DD26" s="378">
        <f t="shared" si="92"/>
        <v>0</v>
      </c>
      <c r="DE26" s="378">
        <f t="shared" si="63"/>
        <v>0</v>
      </c>
      <c r="DF26" s="340">
        <f t="shared" si="93"/>
        <v>0</v>
      </c>
      <c r="DG26" s="378">
        <f t="shared" si="94"/>
        <v>0</v>
      </c>
      <c r="DH26" s="378">
        <f t="shared" si="64"/>
        <v>0</v>
      </c>
      <c r="DI26" s="340">
        <f>DI25+(DI28-DI18)/10</f>
        <v>0</v>
      </c>
      <c r="DJ26" s="349">
        <f t="shared" ref="DJ26" si="161">DJ25+(DJ28-DJ18)/10</f>
        <v>0</v>
      </c>
      <c r="DK26" s="350">
        <f t="shared" si="65"/>
        <v>0</v>
      </c>
      <c r="DL26" s="345">
        <f t="shared" ref="DL26" si="162">DL25+(DL28-DL18)/10</f>
        <v>0</v>
      </c>
      <c r="DM26" s="349">
        <f t="shared" ref="DM26" si="163">DM25+(DM28-DM18)/10</f>
        <v>0</v>
      </c>
      <c r="DN26" s="396">
        <f t="shared" si="66"/>
        <v>0</v>
      </c>
      <c r="DO26" s="335">
        <f t="shared" si="103"/>
        <v>1.0799999999999997E-2</v>
      </c>
      <c r="DP26" s="350">
        <f t="shared" si="104"/>
        <v>0</v>
      </c>
      <c r="DQ26" s="349">
        <f t="shared" si="67"/>
        <v>7.5730016159945871E-3</v>
      </c>
      <c r="DR26" s="335">
        <f t="shared" si="105"/>
        <v>0</v>
      </c>
      <c r="DS26" s="350">
        <f t="shared" si="106"/>
        <v>0</v>
      </c>
      <c r="DT26" s="349">
        <f t="shared" si="68"/>
        <v>0</v>
      </c>
      <c r="DU26" s="335">
        <f>DU25+(DU28-DU23)/5</f>
        <v>3.2399999999999998E-2</v>
      </c>
      <c r="DV26" s="350">
        <f>DV25+(DV28-DV23)/5</f>
        <v>0</v>
      </c>
      <c r="DW26" s="350">
        <f t="shared" si="69"/>
        <v>2.2719004847983764E-2</v>
      </c>
      <c r="DX26" s="335">
        <f>DX25+(DX28-DX23)/5</f>
        <v>0</v>
      </c>
      <c r="DY26" s="350">
        <f>DY25+(DY28-DY23)/5</f>
        <v>0</v>
      </c>
      <c r="DZ26" s="396">
        <f t="shared" si="70"/>
        <v>0</v>
      </c>
      <c r="EA26" s="350">
        <f t="shared" si="71"/>
        <v>0</v>
      </c>
      <c r="EB26" s="350">
        <f t="shared" si="72"/>
        <v>0</v>
      </c>
      <c r="EC26" s="349">
        <f t="shared" si="73"/>
        <v>0</v>
      </c>
      <c r="ED26" s="335">
        <f t="shared" si="74"/>
        <v>0</v>
      </c>
      <c r="EE26" s="350">
        <f t="shared" si="75"/>
        <v>0</v>
      </c>
      <c r="EF26" s="387">
        <f t="shared" si="76"/>
        <v>0</v>
      </c>
      <c r="EG26" s="335">
        <f t="shared" si="77"/>
        <v>0</v>
      </c>
      <c r="EH26" s="350">
        <f t="shared" si="78"/>
        <v>0</v>
      </c>
      <c r="EI26" s="387">
        <f t="shared" si="79"/>
        <v>0</v>
      </c>
      <c r="EJ26" s="335">
        <f t="shared" si="80"/>
        <v>0</v>
      </c>
      <c r="EK26" s="350">
        <f t="shared" si="81"/>
        <v>0</v>
      </c>
      <c r="EL26" s="387">
        <f t="shared" si="82"/>
        <v>0</v>
      </c>
      <c r="EN26" s="337"/>
      <c r="EO26" s="318">
        <v>40</v>
      </c>
      <c r="EP26" s="315" t="s">
        <v>198</v>
      </c>
      <c r="EQ26" s="308">
        <v>0.13</v>
      </c>
      <c r="ER26" s="308">
        <v>0.09</v>
      </c>
      <c r="ES26" s="308">
        <v>0.19</v>
      </c>
      <c r="ET26" s="320">
        <f t="shared" si="155"/>
        <v>22.46238761626628</v>
      </c>
      <c r="EU26" s="320">
        <f t="shared" si="156"/>
        <v>150.32520943193589</v>
      </c>
      <c r="EV26" s="350">
        <f t="shared" ca="1" si="157"/>
        <v>0.11517863548770625</v>
      </c>
      <c r="EW26" s="362">
        <f t="shared" si="146"/>
        <v>0.13</v>
      </c>
      <c r="EY26" s="363">
        <v>90</v>
      </c>
      <c r="EZ26" s="346">
        <v>0</v>
      </c>
      <c r="FA26" s="347">
        <f t="shared" si="86"/>
        <v>0</v>
      </c>
      <c r="FB26" s="347">
        <f t="shared" si="87"/>
        <v>0</v>
      </c>
      <c r="FC26" s="33" t="e">
        <f t="shared" si="88"/>
        <v>#DIV/0!</v>
      </c>
      <c r="FD26" s="33" t="e">
        <f t="shared" si="89"/>
        <v>#DIV/0!</v>
      </c>
      <c r="FE26" s="308">
        <f t="shared" ca="1" si="100"/>
        <v>0</v>
      </c>
      <c r="FF26" s="364">
        <f t="shared" si="111"/>
        <v>0.46399999999999997</v>
      </c>
      <c r="FG26" s="234"/>
      <c r="FH26" s="324">
        <v>20</v>
      </c>
      <c r="FI26" s="406">
        <v>99147</v>
      </c>
      <c r="FJ26" s="347">
        <f t="shared" si="137"/>
        <v>0.99146999999999996</v>
      </c>
      <c r="FK26" s="388">
        <f t="shared" si="138"/>
        <v>0.87348506999999986</v>
      </c>
      <c r="FL26" s="347">
        <f t="shared" si="147"/>
        <v>0.12651493000000014</v>
      </c>
      <c r="FM26" s="396">
        <f t="shared" si="148"/>
        <v>2.6690197644601121E-2</v>
      </c>
      <c r="FN26" s="388">
        <f t="shared" si="139"/>
        <v>0.75847454999999997</v>
      </c>
      <c r="FO26" s="347">
        <f t="shared" si="149"/>
        <v>0.24152545000000003</v>
      </c>
      <c r="FP26" s="396">
        <f t="shared" si="150"/>
        <v>5.378854237520192E-2</v>
      </c>
    </row>
    <row r="27" spans="2:172" ht="15" customHeight="1" x14ac:dyDescent="0.2">
      <c r="Q27" s="10">
        <v>21</v>
      </c>
      <c r="R27" s="10">
        <f t="shared" si="2"/>
        <v>66</v>
      </c>
      <c r="S27" s="309">
        <f t="shared" si="26"/>
        <v>0.2588865454796026</v>
      </c>
      <c r="T27" s="309">
        <f t="shared" si="27"/>
        <v>0</v>
      </c>
      <c r="U27" s="309">
        <f t="shared" si="28"/>
        <v>5.5180604687406871E-4</v>
      </c>
      <c r="V27" s="235">
        <f t="shared" si="29"/>
        <v>1.907697750705388E-2</v>
      </c>
      <c r="W27" s="235">
        <f t="shared" si="30"/>
        <v>6.375488190039387E-2</v>
      </c>
      <c r="X27" s="309">
        <f t="shared" si="31"/>
        <v>3.956508698115106E-5</v>
      </c>
      <c r="Y27" s="235">
        <f t="shared" si="32"/>
        <v>6.67638447389642E-3</v>
      </c>
      <c r="Z27" s="235">
        <f t="shared" si="33"/>
        <v>8.0993654575123083E-3</v>
      </c>
      <c r="AA27" s="235">
        <f t="shared" si="34"/>
        <v>0.3047225704893296</v>
      </c>
      <c r="AB27" s="235">
        <f t="shared" si="35"/>
        <v>3.6317211222806549E-3</v>
      </c>
      <c r="AC27" s="235">
        <f t="shared" si="36"/>
        <v>1.7951432678806736E-2</v>
      </c>
      <c r="AD27" s="235">
        <f t="shared" si="37"/>
        <v>0.31660874975726888</v>
      </c>
      <c r="AE27" s="235">
        <f t="shared" si="38"/>
        <v>1.0000000000000002</v>
      </c>
      <c r="AF27" s="101">
        <f t="shared" si="3"/>
        <v>0</v>
      </c>
      <c r="AG27" s="101">
        <f t="shared" si="4"/>
        <v>1.7529236009568225</v>
      </c>
      <c r="AH27" s="101">
        <f t="shared" si="5"/>
        <v>115.6240800388379</v>
      </c>
      <c r="AI27" s="101">
        <f t="shared" si="6"/>
        <v>184.94637218890296</v>
      </c>
      <c r="AJ27" s="101">
        <f t="shared" si="7"/>
        <v>508.18707488821065</v>
      </c>
      <c r="AK27" s="101">
        <f t="shared" si="39"/>
        <v>796.52012278083203</v>
      </c>
      <c r="AL27" s="235">
        <f t="shared" si="40"/>
        <v>0.13220606131190116</v>
      </c>
      <c r="AM27" s="235">
        <f t="shared" si="8"/>
        <v>2.9085756009873654E-4</v>
      </c>
      <c r="AN27" s="235">
        <f t="shared" si="9"/>
        <v>4.5709337101992965E-2</v>
      </c>
      <c r="AO27" s="235">
        <f t="shared" si="10"/>
        <v>2.8865747285367147E-3</v>
      </c>
      <c r="AP27" s="235">
        <f t="shared" si="11"/>
        <v>1.2259998494197669E-3</v>
      </c>
      <c r="AQ27" s="235">
        <f t="shared" si="12"/>
        <v>0.13962859300632338</v>
      </c>
      <c r="AR27" s="101">
        <f t="shared" si="41"/>
        <v>1607.0305734977403</v>
      </c>
      <c r="AS27" s="235">
        <f t="shared" si="42"/>
        <v>0.32194742355827266</v>
      </c>
      <c r="AT27" s="235">
        <f t="shared" si="13"/>
        <v>0.36735647173056957</v>
      </c>
      <c r="AV27" s="10">
        <v>21</v>
      </c>
      <c r="AW27" s="10">
        <f t="shared" si="43"/>
        <v>66</v>
      </c>
      <c r="AX27" s="309">
        <f t="shared" si="44"/>
        <v>0.31534560888991237</v>
      </c>
      <c r="AY27" s="309">
        <f t="shared" si="45"/>
        <v>3.3150337956349333E-5</v>
      </c>
      <c r="AZ27" s="309">
        <f t="shared" si="46"/>
        <v>3.3150337956349333E-5</v>
      </c>
      <c r="BA27" s="235">
        <f t="shared" si="47"/>
        <v>2.88947330839624E-3</v>
      </c>
      <c r="BB27" s="235">
        <f t="shared" si="48"/>
        <v>4.4070081790241042E-3</v>
      </c>
      <c r="BC27" s="309">
        <f t="shared" si="49"/>
        <v>5.9204676740956967E-6</v>
      </c>
      <c r="BD27" s="235">
        <f t="shared" si="50"/>
        <v>4.4433387682253217E-3</v>
      </c>
      <c r="BE27" s="235">
        <f t="shared" si="51"/>
        <v>8.7883274701076614E-3</v>
      </c>
      <c r="BF27" s="235">
        <f t="shared" si="52"/>
        <v>0.31729213377436644</v>
      </c>
      <c r="BG27" s="235">
        <f t="shared" si="53"/>
        <v>3.9378755077736655E-3</v>
      </c>
      <c r="BH27" s="235">
        <f t="shared" si="54"/>
        <v>1.9420971684270497E-2</v>
      </c>
      <c r="BI27" s="235">
        <f t="shared" si="55"/>
        <v>0.3234030412743375</v>
      </c>
      <c r="BJ27" s="235">
        <f t="shared" si="56"/>
        <v>1.0000000000000007</v>
      </c>
      <c r="BK27" s="101">
        <f t="shared" si="14"/>
        <v>0.13280958472542442</v>
      </c>
      <c r="BL27" s="101">
        <f t="shared" si="15"/>
        <v>0.10530875859836522</v>
      </c>
      <c r="BM27" s="101">
        <f t="shared" si="16"/>
        <v>125.45949236909117</v>
      </c>
      <c r="BN27" s="101">
        <f t="shared" si="17"/>
        <v>200.53736638151253</v>
      </c>
      <c r="BO27" s="101">
        <f t="shared" si="18"/>
        <v>532.89089348126549</v>
      </c>
      <c r="BP27" s="101">
        <f t="shared" si="57"/>
        <v>840.19860641119601</v>
      </c>
      <c r="BQ27" s="235">
        <f t="shared" si="19"/>
        <v>0.16103811353388126</v>
      </c>
      <c r="BR27" s="235">
        <f t="shared" si="20"/>
        <v>3.2863291126019552E-5</v>
      </c>
      <c r="BS27" s="235">
        <f t="shared" si="21"/>
        <v>5.9951952838386358E-3</v>
      </c>
      <c r="BT27" s="235">
        <f t="shared" si="22"/>
        <v>3.1321174620893722E-3</v>
      </c>
      <c r="BU27" s="235">
        <f t="shared" si="23"/>
        <v>1.3293517362733265E-3</v>
      </c>
      <c r="BV27" s="235">
        <f t="shared" si="24"/>
        <v>0.14567033204901994</v>
      </c>
      <c r="BW27" s="101">
        <f t="shared" si="58"/>
        <v>1699.3244769863891</v>
      </c>
      <c r="BX27" s="235">
        <f t="shared" si="59"/>
        <v>0.31719797335622857</v>
      </c>
      <c r="BY27" s="235">
        <f t="shared" si="25"/>
        <v>0.36370420524525454</v>
      </c>
      <c r="CA27" s="23"/>
      <c r="CB27" s="21">
        <v>1</v>
      </c>
      <c r="CC27" t="str">
        <f>$M$36</f>
        <v>boc_mut_brca1</v>
      </c>
      <c r="CD27" s="23">
        <f>$F$36</f>
        <v>0.56096308266626582</v>
      </c>
      <c r="CE27" s="23">
        <f>$G$36</f>
        <v>0.84144462399939879</v>
      </c>
      <c r="CF27" s="447">
        <v>-19093.094292450136</v>
      </c>
      <c r="CG27" s="447">
        <v>-14392.502420795381</v>
      </c>
      <c r="CH27" s="266">
        <f t="shared" si="151"/>
        <v>4700.5918716547549</v>
      </c>
      <c r="CJ27" s="10">
        <v>19</v>
      </c>
      <c r="CK27" s="450">
        <v>0</v>
      </c>
      <c r="CL27" s="450">
        <v>0</v>
      </c>
      <c r="CM27" s="450">
        <v>0</v>
      </c>
      <c r="CN27" s="450">
        <v>0</v>
      </c>
      <c r="CO27" s="451">
        <v>0.37712329319874111</v>
      </c>
      <c r="CP27" s="451">
        <v>0.62440199187643852</v>
      </c>
      <c r="CQ27" s="451">
        <v>0.11428906748593698</v>
      </c>
      <c r="CR27" s="451">
        <v>0.13483568738943644</v>
      </c>
      <c r="CS27" s="451">
        <v>23.704536831621027</v>
      </c>
      <c r="CT27" s="451">
        <v>22.986988978678898</v>
      </c>
      <c r="CU27" s="234">
        <v>0.71754785294212908</v>
      </c>
      <c r="CX27" s="377">
        <v>19</v>
      </c>
      <c r="CY27" s="335">
        <f t="shared" si="60"/>
        <v>3.4099999999999999E-4</v>
      </c>
      <c r="CZ27" s="338">
        <v>3.4099999999999999E-4</v>
      </c>
      <c r="DA27" s="345">
        <f t="shared" si="61"/>
        <v>2.6429209819322286E-2</v>
      </c>
      <c r="DB27" s="387">
        <f t="shared" si="62"/>
        <v>5.3534820826336649E-2</v>
      </c>
      <c r="DC27" s="114">
        <f t="shared" si="91"/>
        <v>0</v>
      </c>
      <c r="DD27" s="378">
        <f t="shared" si="92"/>
        <v>0</v>
      </c>
      <c r="DE27" s="378">
        <f t="shared" si="63"/>
        <v>0</v>
      </c>
      <c r="DF27" s="340">
        <f t="shared" si="93"/>
        <v>0</v>
      </c>
      <c r="DG27" s="378">
        <f t="shared" si="94"/>
        <v>0</v>
      </c>
      <c r="DH27" s="378">
        <f t="shared" si="64"/>
        <v>0</v>
      </c>
      <c r="DI27" s="340">
        <f>DI26+(DI28-DI18)/10</f>
        <v>0</v>
      </c>
      <c r="DJ27" s="349">
        <f t="shared" ref="DJ27" si="164">DJ26+(DJ28-DJ18)/10</f>
        <v>0</v>
      </c>
      <c r="DK27" s="350">
        <f t="shared" si="65"/>
        <v>0</v>
      </c>
      <c r="DL27" s="345">
        <f t="shared" ref="DL27" si="165">DL26+(DL28-DL18)/10</f>
        <v>0</v>
      </c>
      <c r="DM27" s="349">
        <f t="shared" ref="DM27" si="166">DM26+(DM28-DM18)/10</f>
        <v>0</v>
      </c>
      <c r="DN27" s="396">
        <f t="shared" si="66"/>
        <v>0</v>
      </c>
      <c r="DO27" s="335">
        <f t="shared" si="103"/>
        <v>1.0800000000000004E-2</v>
      </c>
      <c r="DP27" s="350">
        <f t="shared" si="104"/>
        <v>0</v>
      </c>
      <c r="DQ27" s="349">
        <f t="shared" si="67"/>
        <v>7.5730016159945915E-3</v>
      </c>
      <c r="DR27" s="335">
        <f t="shared" si="105"/>
        <v>0</v>
      </c>
      <c r="DS27" s="350">
        <f t="shared" si="106"/>
        <v>0</v>
      </c>
      <c r="DT27" s="349">
        <f t="shared" si="68"/>
        <v>0</v>
      </c>
      <c r="DU27" s="335">
        <f>DU26+(DU28-DU23)/5</f>
        <v>4.3200000000000002E-2</v>
      </c>
      <c r="DV27" s="350">
        <f>DV26+(DV28-DV23)/5</f>
        <v>0</v>
      </c>
      <c r="DW27" s="350">
        <f t="shared" si="69"/>
        <v>3.0292006463978356E-2</v>
      </c>
      <c r="DX27" s="335">
        <f>DX26+(DX28-DX23)/5</f>
        <v>0</v>
      </c>
      <c r="DY27" s="350">
        <f>DY26+(DY28-DY23)/5</f>
        <v>0</v>
      </c>
      <c r="DZ27" s="396">
        <f t="shared" si="70"/>
        <v>0</v>
      </c>
      <c r="EA27" s="350">
        <f t="shared" si="71"/>
        <v>0</v>
      </c>
      <c r="EB27" s="350">
        <f t="shared" si="72"/>
        <v>0</v>
      </c>
      <c r="EC27" s="349">
        <f t="shared" si="73"/>
        <v>0</v>
      </c>
      <c r="ED27" s="335">
        <f t="shared" si="74"/>
        <v>0</v>
      </c>
      <c r="EE27" s="350">
        <f t="shared" si="75"/>
        <v>0</v>
      </c>
      <c r="EF27" s="387">
        <f t="shared" si="76"/>
        <v>0</v>
      </c>
      <c r="EG27" s="335">
        <f t="shared" si="77"/>
        <v>0</v>
      </c>
      <c r="EH27" s="350">
        <f t="shared" si="78"/>
        <v>0</v>
      </c>
      <c r="EI27" s="387">
        <f t="shared" si="79"/>
        <v>0</v>
      </c>
      <c r="EJ27" s="335">
        <f t="shared" si="80"/>
        <v>0</v>
      </c>
      <c r="EK27" s="350">
        <f t="shared" si="81"/>
        <v>0</v>
      </c>
      <c r="EL27" s="387">
        <f t="shared" si="82"/>
        <v>0</v>
      </c>
      <c r="EN27" s="337"/>
      <c r="EO27" s="318">
        <v>50</v>
      </c>
      <c r="EP27" s="315" t="s">
        <v>199</v>
      </c>
      <c r="EQ27" s="308">
        <v>0.35</v>
      </c>
      <c r="ER27" s="308">
        <v>0.28999999999999998</v>
      </c>
      <c r="ES27" s="308">
        <v>0.41</v>
      </c>
      <c r="ET27" s="320">
        <f t="shared" si="155"/>
        <v>84.615599610491543</v>
      </c>
      <c r="EU27" s="320">
        <f t="shared" si="156"/>
        <v>157.14325641948432</v>
      </c>
      <c r="EV27" s="350">
        <f t="shared" ca="1" si="157"/>
        <v>0.33987467737162314</v>
      </c>
      <c r="EW27" s="362">
        <f t="shared" si="146"/>
        <v>0.35</v>
      </c>
      <c r="EY27" s="363">
        <v>95</v>
      </c>
      <c r="EZ27" s="346">
        <v>0</v>
      </c>
      <c r="FA27" s="347">
        <f t="shared" si="86"/>
        <v>0</v>
      </c>
      <c r="FB27" s="347">
        <f t="shared" si="87"/>
        <v>0</v>
      </c>
      <c r="FC27" s="33" t="e">
        <f t="shared" si="88"/>
        <v>#DIV/0!</v>
      </c>
      <c r="FD27" s="33" t="e">
        <f t="shared" si="89"/>
        <v>#DIV/0!</v>
      </c>
      <c r="FE27" s="308">
        <f t="shared" ca="1" si="100"/>
        <v>0</v>
      </c>
      <c r="FF27" s="364">
        <f t="shared" si="111"/>
        <v>0.46399999999999997</v>
      </c>
      <c r="FH27" s="324">
        <v>25</v>
      </c>
      <c r="FI27" s="406">
        <v>98929</v>
      </c>
      <c r="FJ27" s="347">
        <f t="shared" si="137"/>
        <v>0.98929</v>
      </c>
      <c r="FK27" s="388">
        <f t="shared" si="138"/>
        <v>0.87156448999999991</v>
      </c>
      <c r="FL27" s="347">
        <f t="shared" si="147"/>
        <v>0.12843551000000009</v>
      </c>
      <c r="FM27" s="396">
        <f t="shared" si="148"/>
        <v>2.7118588614782557E-2</v>
      </c>
      <c r="FN27" s="388">
        <f t="shared" si="139"/>
        <v>0.75680685000000003</v>
      </c>
      <c r="FO27" s="347">
        <f t="shared" si="149"/>
        <v>0.24319314999999997</v>
      </c>
      <c r="FP27" s="396">
        <f t="shared" si="150"/>
        <v>5.4205006324653415E-2</v>
      </c>
    </row>
    <row r="28" spans="2:172" ht="15" customHeight="1" x14ac:dyDescent="0.2">
      <c r="Q28" s="10">
        <v>22</v>
      </c>
      <c r="R28" s="10">
        <f t="shared" si="2"/>
        <v>67</v>
      </c>
      <c r="S28" s="309">
        <f t="shared" si="26"/>
        <v>0.24556047047312962</v>
      </c>
      <c r="T28" s="309">
        <f t="shared" si="27"/>
        <v>0</v>
      </c>
      <c r="U28" s="309">
        <f t="shared" si="28"/>
        <v>5.2390420840830402E-4</v>
      </c>
      <c r="V28" s="235">
        <f t="shared" si="29"/>
        <v>1.8597056022055979E-2</v>
      </c>
      <c r="W28" s="235">
        <f t="shared" si="30"/>
        <v>6.2479265062721293E-2</v>
      </c>
      <c r="X28" s="309">
        <f t="shared" si="31"/>
        <v>3.8605748248294122E-5</v>
      </c>
      <c r="Y28" s="235">
        <f t="shared" si="32"/>
        <v>6.619593691757901E-3</v>
      </c>
      <c r="Z28" s="235">
        <f t="shared" si="33"/>
        <v>7.7205301346541105E-3</v>
      </c>
      <c r="AA28" s="235">
        <f t="shared" si="34"/>
        <v>0.29942711810308009</v>
      </c>
      <c r="AB28" s="235">
        <f t="shared" si="35"/>
        <v>3.461447158326629E-3</v>
      </c>
      <c r="AC28" s="235">
        <f t="shared" si="36"/>
        <v>1.7396496352382957E-2</v>
      </c>
      <c r="AD28" s="235">
        <f t="shared" si="37"/>
        <v>0.33817551304523502</v>
      </c>
      <c r="AE28" s="235">
        <f t="shared" si="38"/>
        <v>1.0000000000000002</v>
      </c>
      <c r="AF28" s="101">
        <f t="shared" si="3"/>
        <v>0</v>
      </c>
      <c r="AG28" s="101">
        <f t="shared" si="4"/>
        <v>1.6158133624835906</v>
      </c>
      <c r="AH28" s="101">
        <f t="shared" si="5"/>
        <v>107.00576901948746</v>
      </c>
      <c r="AI28" s="101">
        <f t="shared" si="6"/>
        <v>171.14089796760948</v>
      </c>
      <c r="AJ28" s="101">
        <f t="shared" si="7"/>
        <v>483.60084657902206</v>
      </c>
      <c r="AK28" s="101">
        <f t="shared" si="39"/>
        <v>756.37990516174295</v>
      </c>
      <c r="AL28" s="235">
        <f t="shared" si="40"/>
        <v>0.12174835965046962</v>
      </c>
      <c r="AM28" s="235">
        <f t="shared" si="8"/>
        <v>2.6777593240902552E-4</v>
      </c>
      <c r="AN28" s="235">
        <f t="shared" si="9"/>
        <v>4.3479448265916432E-2</v>
      </c>
      <c r="AO28" s="235">
        <f t="shared" si="10"/>
        <v>2.6714171352155811E-3</v>
      </c>
      <c r="AP28" s="235">
        <f t="shared" si="11"/>
        <v>1.1344840812748981E-3</v>
      </c>
      <c r="AQ28" s="235">
        <f t="shared" si="12"/>
        <v>0.13311465438541098</v>
      </c>
      <c r="AR28" s="101">
        <f t="shared" si="41"/>
        <v>1519.7432320903456</v>
      </c>
      <c r="AS28" s="235">
        <f t="shared" si="42"/>
        <v>0.30241613945069656</v>
      </c>
      <c r="AT28" s="235">
        <f t="shared" si="13"/>
        <v>0.34540123664215655</v>
      </c>
      <c r="AV28" s="10">
        <v>22</v>
      </c>
      <c r="AW28" s="10">
        <f t="shared" si="43"/>
        <v>67</v>
      </c>
      <c r="AX28" s="309">
        <f t="shared" si="44"/>
        <v>0.29968841787991735</v>
      </c>
      <c r="AY28" s="309">
        <f t="shared" si="45"/>
        <v>3.1534560888991238E-5</v>
      </c>
      <c r="AZ28" s="309">
        <f t="shared" si="46"/>
        <v>3.1534560888991238E-5</v>
      </c>
      <c r="BA28" s="235">
        <f t="shared" si="47"/>
        <v>2.8499328691833775E-3</v>
      </c>
      <c r="BB28" s="235">
        <f t="shared" si="48"/>
        <v>4.3138392868497313E-3</v>
      </c>
      <c r="BC28" s="309">
        <f t="shared" si="49"/>
        <v>5.8473769795484671E-6</v>
      </c>
      <c r="BD28" s="235">
        <f t="shared" si="50"/>
        <v>4.3851314478010189E-3</v>
      </c>
      <c r="BE28" s="235">
        <f t="shared" si="51"/>
        <v>8.361815188197997E-3</v>
      </c>
      <c r="BF28" s="235">
        <f t="shared" si="52"/>
        <v>0.31211792256393289</v>
      </c>
      <c r="BG28" s="235">
        <f t="shared" si="53"/>
        <v>3.7480668944417776E-3</v>
      </c>
      <c r="BH28" s="235">
        <f t="shared" si="54"/>
        <v>1.8827744254493243E-2</v>
      </c>
      <c r="BI28" s="235">
        <f t="shared" si="55"/>
        <v>0.34563821311642562</v>
      </c>
      <c r="BJ28" s="235">
        <f t="shared" si="56"/>
        <v>1.0000000000000007</v>
      </c>
      <c r="BK28" s="101">
        <f t="shared" si="14"/>
        <v>0.12265662815392453</v>
      </c>
      <c r="BL28" s="101">
        <f t="shared" si="15"/>
        <v>9.725817057146742E-2</v>
      </c>
      <c r="BM28" s="101">
        <f t="shared" si="16"/>
        <v>115.89391518540371</v>
      </c>
      <c r="BN28" s="101">
        <f t="shared" si="17"/>
        <v>185.31195324314319</v>
      </c>
      <c r="BO28" s="101">
        <f t="shared" si="18"/>
        <v>507.55506890322437</v>
      </c>
      <c r="BP28" s="101">
        <f t="shared" si="57"/>
        <v>798.439079167557</v>
      </c>
      <c r="BQ28" s="235">
        <f t="shared" si="19"/>
        <v>0.14858488099825065</v>
      </c>
      <c r="BR28" s="235">
        <f t="shared" si="20"/>
        <v>3.0349519125296359E-5</v>
      </c>
      <c r="BS28" s="235">
        <f t="shared" si="21"/>
        <v>5.725921875044053E-3</v>
      </c>
      <c r="BT28" s="235">
        <f t="shared" si="22"/>
        <v>2.8933112086426426E-3</v>
      </c>
      <c r="BU28" s="235">
        <f t="shared" si="23"/>
        <v>1.2284232671496995E-3</v>
      </c>
      <c r="BV28" s="235">
        <f t="shared" si="24"/>
        <v>0.13901728471867392</v>
      </c>
      <c r="BW28" s="101">
        <f t="shared" si="58"/>
        <v>1607.4199312980536</v>
      </c>
      <c r="BX28" s="235">
        <f t="shared" si="59"/>
        <v>0.29748017158688622</v>
      </c>
      <c r="BY28" s="235">
        <f t="shared" si="25"/>
        <v>0.34150650943866645</v>
      </c>
      <c r="CA28" s="23"/>
      <c r="CB28" s="21">
        <v>21</v>
      </c>
      <c r="CC28" t="str">
        <f>$M$71</f>
        <v>boc_disutil_know</v>
      </c>
      <c r="CD28" s="235">
        <f>$F$71</f>
        <v>4.0000000000000008E-2</v>
      </c>
      <c r="CE28" s="235">
        <f>$G$71</f>
        <v>0.06</v>
      </c>
      <c r="CF28" s="447">
        <v>-15872.893412480213</v>
      </c>
      <c r="CG28" s="447">
        <v>-18203.715385975749</v>
      </c>
      <c r="CH28" s="266">
        <f t="shared" si="151"/>
        <v>2330.8219734955364</v>
      </c>
      <c r="CJ28" s="10">
        <v>20</v>
      </c>
      <c r="CK28" s="450">
        <v>0</v>
      </c>
      <c r="CL28" s="450">
        <v>0</v>
      </c>
      <c r="CM28" s="450">
        <v>0</v>
      </c>
      <c r="CN28" s="450">
        <v>0</v>
      </c>
      <c r="CO28" s="451">
        <v>0.38010224787980845</v>
      </c>
      <c r="CP28" s="451">
        <v>0.6246593994727373</v>
      </c>
      <c r="CQ28" s="451">
        <v>0.11382369127924703</v>
      </c>
      <c r="CR28" s="451">
        <v>0.13489049503993891</v>
      </c>
      <c r="CS28" s="451">
        <v>23.491809048346418</v>
      </c>
      <c r="CT28" s="451">
        <v>22.758115753700061</v>
      </c>
      <c r="CU28" s="234">
        <v>0.73369329464635769</v>
      </c>
      <c r="CW28" s="253"/>
      <c r="CX28" s="377">
        <v>20</v>
      </c>
      <c r="CY28" s="335">
        <f t="shared" si="60"/>
        <v>3.77E-4</v>
      </c>
      <c r="CZ28" s="338">
        <v>3.77E-4</v>
      </c>
      <c r="DA28" s="345">
        <f t="shared" si="61"/>
        <v>2.6690197644601121E-2</v>
      </c>
      <c r="DB28" s="387">
        <f t="shared" si="62"/>
        <v>5.378854237520192E-2</v>
      </c>
      <c r="DC28" s="114">
        <f t="shared" si="91"/>
        <v>0</v>
      </c>
      <c r="DD28" s="378">
        <f t="shared" si="92"/>
        <v>0</v>
      </c>
      <c r="DE28" s="378">
        <f t="shared" si="63"/>
        <v>0</v>
      </c>
      <c r="DF28" s="340">
        <f t="shared" si="93"/>
        <v>0</v>
      </c>
      <c r="DG28" s="378">
        <f t="shared" si="94"/>
        <v>0</v>
      </c>
      <c r="DH28" s="378">
        <f t="shared" si="64"/>
        <v>0</v>
      </c>
      <c r="DI28" s="340">
        <f>VLOOKUP($CX28,$EO$8:$EW$18,9,FALSE)</f>
        <v>0</v>
      </c>
      <c r="DJ28" s="349">
        <f>VLOOKUP($CX28,$EO$22:$EW$32,9,FALSE)</f>
        <v>0</v>
      </c>
      <c r="DK28" s="350">
        <f t="shared" si="65"/>
        <v>0</v>
      </c>
      <c r="DL28" s="345">
        <f>VLOOKUP($CX28,$EO$36:$EW$46,9,FALSE)</f>
        <v>0</v>
      </c>
      <c r="DM28" s="349">
        <f>VLOOKUP($CX28,$EO$50:$EW$60,9,FALSE)</f>
        <v>0</v>
      </c>
      <c r="DN28" s="396">
        <f t="shared" si="66"/>
        <v>0</v>
      </c>
      <c r="DO28" s="335">
        <f t="shared" si="103"/>
        <v>1.0799999999999997E-2</v>
      </c>
      <c r="DP28" s="350">
        <f t="shared" si="104"/>
        <v>0</v>
      </c>
      <c r="DQ28" s="349">
        <f t="shared" si="67"/>
        <v>7.5730016159945871E-3</v>
      </c>
      <c r="DR28" s="335">
        <f t="shared" si="105"/>
        <v>0</v>
      </c>
      <c r="DS28" s="350">
        <f t="shared" si="106"/>
        <v>0</v>
      </c>
      <c r="DT28" s="349">
        <f t="shared" si="68"/>
        <v>0</v>
      </c>
      <c r="DU28" s="335">
        <f>VLOOKUP($CX28,$EY$8:$FF$28,8,FALSE)</f>
        <v>5.3999999999999999E-2</v>
      </c>
      <c r="DV28" s="350">
        <f>VLOOKUP($CX28,$EY$32:$FF$52,8,FALSE)</f>
        <v>0</v>
      </c>
      <c r="DW28" s="350">
        <f t="shared" si="69"/>
        <v>3.7865008079972944E-2</v>
      </c>
      <c r="DX28" s="335">
        <f>VLOOKUP($CX28,$EY$56:$FF$76,8,FALSE)</f>
        <v>0</v>
      </c>
      <c r="DY28" s="350">
        <f>VLOOKUP($CX28,$EY$80:$FF$100,8,FALSE)</f>
        <v>0</v>
      </c>
      <c r="DZ28" s="396">
        <f t="shared" si="70"/>
        <v>0</v>
      </c>
      <c r="EA28" s="350">
        <f t="shared" si="71"/>
        <v>0</v>
      </c>
      <c r="EB28" s="350">
        <f t="shared" si="72"/>
        <v>0</v>
      </c>
      <c r="EC28" s="349">
        <f t="shared" si="73"/>
        <v>0</v>
      </c>
      <c r="ED28" s="335">
        <f t="shared" si="74"/>
        <v>0</v>
      </c>
      <c r="EE28" s="350">
        <f t="shared" si="75"/>
        <v>0</v>
      </c>
      <c r="EF28" s="387">
        <f t="shared" si="76"/>
        <v>0</v>
      </c>
      <c r="EG28" s="335">
        <f t="shared" si="77"/>
        <v>0</v>
      </c>
      <c r="EH28" s="350">
        <f t="shared" si="78"/>
        <v>0</v>
      </c>
      <c r="EI28" s="387">
        <f t="shared" si="79"/>
        <v>0</v>
      </c>
      <c r="EJ28" s="335">
        <f t="shared" si="80"/>
        <v>0</v>
      </c>
      <c r="EK28" s="350">
        <f t="shared" si="81"/>
        <v>0</v>
      </c>
      <c r="EL28" s="387">
        <f t="shared" si="82"/>
        <v>0</v>
      </c>
      <c r="EN28" s="337"/>
      <c r="EO28" s="318">
        <v>60</v>
      </c>
      <c r="EP28" s="315" t="s">
        <v>200</v>
      </c>
      <c r="EQ28" s="308">
        <v>0.53</v>
      </c>
      <c r="ER28" s="308">
        <v>0.46</v>
      </c>
      <c r="ES28" s="308">
        <v>0.59</v>
      </c>
      <c r="ET28" s="320">
        <f t="shared" si="155"/>
        <v>119.50808707325461</v>
      </c>
      <c r="EU28" s="320">
        <f t="shared" si="156"/>
        <v>105.97886966873521</v>
      </c>
      <c r="EV28" s="350">
        <f t="shared" ca="1" si="157"/>
        <v>0.58101712007727946</v>
      </c>
      <c r="EW28" s="362">
        <f t="shared" si="146"/>
        <v>0.53</v>
      </c>
      <c r="EY28" s="363">
        <v>100</v>
      </c>
      <c r="EZ28" s="346">
        <v>0</v>
      </c>
      <c r="FA28" s="347">
        <f t="shared" si="86"/>
        <v>0</v>
      </c>
      <c r="FB28" s="347">
        <f t="shared" si="87"/>
        <v>0</v>
      </c>
      <c r="FC28" s="33" t="e">
        <f t="shared" si="88"/>
        <v>#DIV/0!</v>
      </c>
      <c r="FD28" s="33" t="e">
        <f t="shared" si="89"/>
        <v>#DIV/0!</v>
      </c>
      <c r="FE28" s="308">
        <f t="shared" ca="1" si="100"/>
        <v>0</v>
      </c>
      <c r="FF28" s="364">
        <f t="shared" si="111"/>
        <v>0.46399999999999997</v>
      </c>
      <c r="FG28" s="234"/>
      <c r="FH28" s="324">
        <v>30</v>
      </c>
      <c r="FI28" s="406">
        <v>98641</v>
      </c>
      <c r="FJ28" s="347">
        <f t="shared" si="137"/>
        <v>0.98641000000000001</v>
      </c>
      <c r="FK28" s="388">
        <f t="shared" si="138"/>
        <v>0.86902720999999994</v>
      </c>
      <c r="FL28" s="347">
        <f t="shared" si="147"/>
        <v>0.13097279000000006</v>
      </c>
      <c r="FM28" s="396">
        <f t="shared" si="148"/>
        <v>2.7685695713073999E-2</v>
      </c>
      <c r="FN28" s="388">
        <f t="shared" si="139"/>
        <v>0.75460365000000007</v>
      </c>
      <c r="FO28" s="347">
        <f t="shared" si="149"/>
        <v>0.24539634999999993</v>
      </c>
      <c r="FP28" s="396">
        <f t="shared" si="150"/>
        <v>5.4756324345703988E-2</v>
      </c>
    </row>
    <row r="29" spans="2:172" ht="15" customHeight="1" x14ac:dyDescent="0.2">
      <c r="Q29" s="10">
        <v>23</v>
      </c>
      <c r="R29" s="10">
        <f t="shared" si="2"/>
        <v>68</v>
      </c>
      <c r="S29" s="309">
        <f t="shared" si="26"/>
        <v>0.23266521219060038</v>
      </c>
      <c r="T29" s="309">
        <f t="shared" si="27"/>
        <v>0</v>
      </c>
      <c r="U29" s="309">
        <f t="shared" si="28"/>
        <v>4.9693646172791124E-4</v>
      </c>
      <c r="V29" s="235">
        <f t="shared" si="29"/>
        <v>1.8109885630003791E-2</v>
      </c>
      <c r="W29" s="235">
        <f t="shared" si="30"/>
        <v>6.1147393769829743E-2</v>
      </c>
      <c r="X29" s="309">
        <f t="shared" si="31"/>
        <v>3.763453946944403E-5</v>
      </c>
      <c r="Y29" s="235">
        <f t="shared" si="32"/>
        <v>6.5557854370741769E-3</v>
      </c>
      <c r="Z29" s="235">
        <f t="shared" si="33"/>
        <v>7.3516683210476099E-3</v>
      </c>
      <c r="AA29" s="235">
        <f t="shared" si="34"/>
        <v>0.29399579944928028</v>
      </c>
      <c r="AB29" s="235">
        <f t="shared" si="35"/>
        <v>3.296005681423042E-3</v>
      </c>
      <c r="AC29" s="235">
        <f t="shared" si="36"/>
        <v>1.681196091851914E-2</v>
      </c>
      <c r="AD29" s="235">
        <f t="shared" si="37"/>
        <v>0.35953171760102476</v>
      </c>
      <c r="AE29" s="235">
        <f t="shared" si="38"/>
        <v>1.0000000000000004</v>
      </c>
      <c r="AF29" s="101">
        <f t="shared" si="3"/>
        <v>0</v>
      </c>
      <c r="AG29" s="101">
        <f t="shared" si="4"/>
        <v>1.4880000540941754</v>
      </c>
      <c r="AH29" s="101">
        <f t="shared" si="5"/>
        <v>98.925613091372099</v>
      </c>
      <c r="AI29" s="101">
        <f t="shared" si="6"/>
        <v>158.2146982029422</v>
      </c>
      <c r="AJ29" s="101">
        <f t="shared" si="7"/>
        <v>459.69767039620518</v>
      </c>
      <c r="AK29" s="101">
        <f t="shared" si="39"/>
        <v>717.2653070467253</v>
      </c>
      <c r="AL29" s="235">
        <f t="shared" si="40"/>
        <v>0.11199506600544015</v>
      </c>
      <c r="AM29" s="235">
        <f t="shared" si="8"/>
        <v>2.4627587810672482E-4</v>
      </c>
      <c r="AN29" s="235">
        <f t="shared" si="9"/>
        <v>4.1306733267307341E-2</v>
      </c>
      <c r="AO29" s="235">
        <f t="shared" si="10"/>
        <v>2.4696946748344957E-3</v>
      </c>
      <c r="AP29" s="235">
        <f t="shared" si="11"/>
        <v>1.0487969776161936E-3</v>
      </c>
      <c r="AQ29" s="235">
        <f t="shared" si="12"/>
        <v>0.12679515592777482</v>
      </c>
      <c r="AR29" s="101">
        <f t="shared" si="41"/>
        <v>1435.5912887913391</v>
      </c>
      <c r="AS29" s="235">
        <f t="shared" si="42"/>
        <v>0.28386172273107974</v>
      </c>
      <c r="AT29" s="235">
        <f t="shared" si="13"/>
        <v>0.32451999382250035</v>
      </c>
      <c r="AV29" s="10">
        <v>23</v>
      </c>
      <c r="AW29" s="10">
        <f t="shared" si="43"/>
        <v>68</v>
      </c>
      <c r="AX29" s="309">
        <f t="shared" si="44"/>
        <v>0.28449724411553823</v>
      </c>
      <c r="AY29" s="309">
        <f t="shared" si="45"/>
        <v>2.9968841787991738E-5</v>
      </c>
      <c r="AZ29" s="309">
        <f t="shared" si="46"/>
        <v>2.9968841787991738E-5</v>
      </c>
      <c r="BA29" s="235">
        <f t="shared" si="47"/>
        <v>2.8068102955476435E-3</v>
      </c>
      <c r="BB29" s="235">
        <f t="shared" si="48"/>
        <v>4.2172430629568583E-3</v>
      </c>
      <c r="BC29" s="309">
        <f t="shared" si="49"/>
        <v>5.7673596790450554E-6</v>
      </c>
      <c r="BD29" s="235">
        <f t="shared" si="50"/>
        <v>4.3231349531073623E-3</v>
      </c>
      <c r="BE29" s="235">
        <f t="shared" si="51"/>
        <v>7.9484316143562089E-3</v>
      </c>
      <c r="BF29" s="235">
        <f t="shared" si="52"/>
        <v>0.30675701815827278</v>
      </c>
      <c r="BG29" s="235">
        <f t="shared" si="53"/>
        <v>3.5640496002734283E-3</v>
      </c>
      <c r="BH29" s="235">
        <f t="shared" si="54"/>
        <v>1.8196599992942077E-2</v>
      </c>
      <c r="BI29" s="235">
        <f t="shared" si="55"/>
        <v>0.36762376316375095</v>
      </c>
      <c r="BJ29" s="235">
        <f t="shared" si="56"/>
        <v>1.0000000000000007</v>
      </c>
      <c r="BK29" s="101">
        <f t="shared" si="14"/>
        <v>0.11317147287659429</v>
      </c>
      <c r="BL29" s="101">
        <f t="shared" si="15"/>
        <v>8.9737102499208354E-2</v>
      </c>
      <c r="BM29" s="101">
        <f t="shared" si="16"/>
        <v>106.95578693530948</v>
      </c>
      <c r="BN29" s="101">
        <f t="shared" si="17"/>
        <v>171.08132885381477</v>
      </c>
      <c r="BO29" s="101">
        <f t="shared" si="18"/>
        <v>482.81935495732819</v>
      </c>
      <c r="BP29" s="101">
        <f t="shared" si="57"/>
        <v>757.56272597754025</v>
      </c>
      <c r="BQ29" s="235">
        <f t="shared" si="19"/>
        <v>0.13694478574211513</v>
      </c>
      <c r="BR29" s="235">
        <f t="shared" si="20"/>
        <v>2.8001168178353173E-5</v>
      </c>
      <c r="BS29" s="235">
        <f t="shared" si="21"/>
        <v>5.462050351103029E-3</v>
      </c>
      <c r="BT29" s="235">
        <f t="shared" si="22"/>
        <v>2.6701693240241812E-3</v>
      </c>
      <c r="BU29" s="235">
        <f t="shared" si="23"/>
        <v>1.1340892007282942E-3</v>
      </c>
      <c r="BV29" s="235">
        <f t="shared" si="24"/>
        <v>0.13253776068514053</v>
      </c>
      <c r="BW29" s="101">
        <f t="shared" si="58"/>
        <v>1518.6221052993685</v>
      </c>
      <c r="BX29" s="235">
        <f t="shared" si="59"/>
        <v>0.27877685647128952</v>
      </c>
      <c r="BY29" s="235">
        <f t="shared" si="25"/>
        <v>0.32041982110795003</v>
      </c>
      <c r="CA29" s="23"/>
      <c r="CB29" s="21">
        <v>32</v>
      </c>
      <c r="CC29" t="str">
        <f>$M$88</f>
        <v>boc_cost_bc_last_65</v>
      </c>
      <c r="CD29" s="101">
        <f>$F$88</f>
        <v>57866.400000000001</v>
      </c>
      <c r="CE29" s="101">
        <f>$G$88</f>
        <v>86799.599999999991</v>
      </c>
      <c r="CF29" s="447">
        <v>-15952.037073405754</v>
      </c>
      <c r="CG29" s="447">
        <v>-17965.144737927112</v>
      </c>
      <c r="CH29" s="266">
        <f t="shared" si="151"/>
        <v>2013.1076645213579</v>
      </c>
      <c r="CJ29" s="10">
        <v>21</v>
      </c>
      <c r="CK29" s="450">
        <v>4.0000000000000001E-3</v>
      </c>
      <c r="CL29" s="450">
        <v>0</v>
      </c>
      <c r="CM29" s="450">
        <v>4.0000000000000001E-3</v>
      </c>
      <c r="CN29" s="450">
        <v>0</v>
      </c>
      <c r="CO29" s="451">
        <v>0.38186531893655745</v>
      </c>
      <c r="CP29" s="451">
        <v>0.62080065591736344</v>
      </c>
      <c r="CQ29" s="451">
        <v>0.1131334312347526</v>
      </c>
      <c r="CR29" s="451">
        <v>0.13496454783462764</v>
      </c>
      <c r="CS29" s="451">
        <v>23.266520949078455</v>
      </c>
      <c r="CT29" s="451">
        <v>22.52507458726949</v>
      </c>
      <c r="CU29" s="234">
        <v>0.74144636180896484</v>
      </c>
      <c r="CX29" s="377">
        <v>21</v>
      </c>
      <c r="CY29" s="335">
        <f t="shared" si="60"/>
        <v>4.1199999999999999E-4</v>
      </c>
      <c r="CZ29" s="338">
        <v>4.1199999999999999E-4</v>
      </c>
      <c r="DA29" s="345">
        <f t="shared" si="61"/>
        <v>2.6690197644601121E-2</v>
      </c>
      <c r="DB29" s="387">
        <f t="shared" si="62"/>
        <v>5.378854237520192E-2</v>
      </c>
      <c r="DC29" s="114">
        <f t="shared" si="91"/>
        <v>5.8826291794038532E-3</v>
      </c>
      <c r="DD29" s="378">
        <f t="shared" si="92"/>
        <v>0</v>
      </c>
      <c r="DE29" s="378">
        <f t="shared" si="63"/>
        <v>4.1249222483261388E-3</v>
      </c>
      <c r="DF29" s="340">
        <f t="shared" si="93"/>
        <v>0</v>
      </c>
      <c r="DG29" s="378">
        <f t="shared" si="94"/>
        <v>0</v>
      </c>
      <c r="DH29" s="378">
        <f t="shared" si="64"/>
        <v>0</v>
      </c>
      <c r="DI29" s="340">
        <f>DI28+(DI38-DI28)/10</f>
        <v>4.0000000000000001E-3</v>
      </c>
      <c r="DJ29" s="349">
        <f t="shared" ref="DJ29" si="167">DJ28+(DJ38-DJ28)/10</f>
        <v>4.0000000000000001E-3</v>
      </c>
      <c r="DK29" s="350">
        <f t="shared" si="65"/>
        <v>4.0000000000000001E-3</v>
      </c>
      <c r="DL29" s="345">
        <f t="shared" ref="DL29" si="168">DL28+(DL38-DL28)/10</f>
        <v>0</v>
      </c>
      <c r="DM29" s="349">
        <f t="shared" ref="DM29" si="169">DM28+(DM38-DM28)/10</f>
        <v>0</v>
      </c>
      <c r="DN29" s="396">
        <f t="shared" si="66"/>
        <v>0</v>
      </c>
      <c r="DO29" s="335">
        <f t="shared" si="103"/>
        <v>1.6800000000000002E-2</v>
      </c>
      <c r="DP29" s="350">
        <f t="shared" si="104"/>
        <v>8.4000000000000012E-3</v>
      </c>
      <c r="DQ29" s="349">
        <f t="shared" si="67"/>
        <v>1.4290112367995794E-2</v>
      </c>
      <c r="DR29" s="335">
        <f t="shared" si="105"/>
        <v>7.000000000000001E-3</v>
      </c>
      <c r="DS29" s="350">
        <f t="shared" si="106"/>
        <v>0</v>
      </c>
      <c r="DT29" s="349">
        <f t="shared" si="68"/>
        <v>4.9084269733298269E-3</v>
      </c>
      <c r="DU29" s="335">
        <f>DU28+(DU33-DU28)/5</f>
        <v>7.0800000000000002E-2</v>
      </c>
      <c r="DV29" s="350">
        <f>DV28+(DV33-DV28)/5</f>
        <v>8.4000000000000012E-3</v>
      </c>
      <c r="DW29" s="350">
        <f t="shared" si="69"/>
        <v>5.2155120447968738E-2</v>
      </c>
      <c r="DX29" s="335">
        <f>DX28+(DX33-DX28)/5</f>
        <v>7.000000000000001E-3</v>
      </c>
      <c r="DY29" s="350">
        <f>DY28+(DY33-DY28)/5</f>
        <v>0</v>
      </c>
      <c r="DZ29" s="396">
        <f t="shared" si="70"/>
        <v>4.9084269733298269E-3</v>
      </c>
      <c r="EA29" s="350">
        <f t="shared" si="71"/>
        <v>0</v>
      </c>
      <c r="EB29" s="350">
        <f t="shared" si="72"/>
        <v>0</v>
      </c>
      <c r="EC29" s="349">
        <f t="shared" si="73"/>
        <v>0</v>
      </c>
      <c r="ED29" s="335">
        <f t="shared" si="74"/>
        <v>3.7101005066195736E-3</v>
      </c>
      <c r="EE29" s="350">
        <f t="shared" si="75"/>
        <v>0</v>
      </c>
      <c r="EF29" s="387">
        <f t="shared" si="76"/>
        <v>2.6015367714937385E-3</v>
      </c>
      <c r="EG29" s="335">
        <f t="shared" si="77"/>
        <v>0</v>
      </c>
      <c r="EH29" s="350">
        <f t="shared" si="78"/>
        <v>0</v>
      </c>
      <c r="EI29" s="387">
        <f t="shared" si="79"/>
        <v>0</v>
      </c>
      <c r="EJ29" s="335">
        <f t="shared" si="80"/>
        <v>0</v>
      </c>
      <c r="EK29" s="350">
        <f t="shared" si="81"/>
        <v>0</v>
      </c>
      <c r="EL29" s="387">
        <f t="shared" si="82"/>
        <v>0</v>
      </c>
      <c r="EN29" s="337"/>
      <c r="EO29" s="318">
        <v>70</v>
      </c>
      <c r="EP29" s="321" t="s">
        <v>201</v>
      </c>
      <c r="EQ29" s="113">
        <v>0.61</v>
      </c>
      <c r="ER29" s="113">
        <v>0.55000000000000004</v>
      </c>
      <c r="ES29" s="113">
        <v>0.68</v>
      </c>
      <c r="ET29" s="353">
        <f t="shared" si="155"/>
        <v>131.33524558587231</v>
      </c>
      <c r="EU29" s="320">
        <f t="shared" si="156"/>
        <v>83.96843570244296</v>
      </c>
      <c r="EV29" s="350">
        <f t="shared" ca="1" si="157"/>
        <v>0.5629761613786759</v>
      </c>
      <c r="EW29" s="362">
        <f t="shared" si="146"/>
        <v>0.61</v>
      </c>
      <c r="EY29" s="361"/>
      <c r="EZ29" s="346"/>
      <c r="FA29" s="347"/>
      <c r="FB29" s="347"/>
      <c r="FC29" s="347"/>
      <c r="FD29" s="347"/>
      <c r="FE29" s="347"/>
      <c r="FF29" s="362"/>
      <c r="FH29" s="324">
        <v>35</v>
      </c>
      <c r="FI29" s="406">
        <v>98266</v>
      </c>
      <c r="FJ29" s="347">
        <f t="shared" si="137"/>
        <v>0.98265999999999998</v>
      </c>
      <c r="FK29" s="388">
        <f t="shared" si="138"/>
        <v>0.86572345999999989</v>
      </c>
      <c r="FL29" s="347">
        <f t="shared" si="147"/>
        <v>0.13427654000000011</v>
      </c>
      <c r="FM29" s="396">
        <f t="shared" si="148"/>
        <v>2.8426105064446872E-2</v>
      </c>
      <c r="FN29" s="388">
        <f t="shared" si="139"/>
        <v>0.75173489999999998</v>
      </c>
      <c r="FO29" s="347">
        <f t="shared" si="149"/>
        <v>0.24826510000000002</v>
      </c>
      <c r="FP29" s="396">
        <f t="shared" si="150"/>
        <v>5.5476119635863519E-2</v>
      </c>
    </row>
    <row r="30" spans="2:172" ht="15" customHeight="1" x14ac:dyDescent="0.2">
      <c r="Q30" s="10">
        <v>24</v>
      </c>
      <c r="R30" s="10">
        <f t="shared" si="2"/>
        <v>69</v>
      </c>
      <c r="S30" s="309">
        <f t="shared" si="26"/>
        <v>0.22016327846737732</v>
      </c>
      <c r="T30" s="309">
        <f t="shared" si="27"/>
        <v>0</v>
      </c>
      <c r="U30" s="309">
        <f t="shared" si="28"/>
        <v>4.7084055137376965E-4</v>
      </c>
      <c r="V30" s="235">
        <f t="shared" si="29"/>
        <v>1.7613383143173202E-2</v>
      </c>
      <c r="W30" s="235">
        <f t="shared" si="30"/>
        <v>5.9753514499968241E-2</v>
      </c>
      <c r="X30" s="309">
        <f t="shared" si="31"/>
        <v>3.6648661203212637E-5</v>
      </c>
      <c r="Y30" s="235">
        <f t="shared" si="32"/>
        <v>6.483995114757452E-3</v>
      </c>
      <c r="Z30" s="235">
        <f t="shared" si="33"/>
        <v>6.9933439621443997E-3</v>
      </c>
      <c r="AA30" s="235">
        <f t="shared" si="34"/>
        <v>0.28844397867757976</v>
      </c>
      <c r="AB30" s="235">
        <f t="shared" si="35"/>
        <v>3.1353281899850322E-3</v>
      </c>
      <c r="AC30" s="235">
        <f t="shared" si="36"/>
        <v>1.6207463044261336E-2</v>
      </c>
      <c r="AD30" s="235">
        <f t="shared" si="37"/>
        <v>0.38069822568817652</v>
      </c>
      <c r="AE30" s="235">
        <f t="shared" si="38"/>
        <v>1.0000000000000002</v>
      </c>
      <c r="AF30" s="101">
        <f t="shared" si="3"/>
        <v>0</v>
      </c>
      <c r="AG30" s="101">
        <f t="shared" si="4"/>
        <v>1.368795971894911</v>
      </c>
      <c r="AH30" s="101">
        <f t="shared" si="5"/>
        <v>91.363033281347541</v>
      </c>
      <c r="AI30" s="101">
        <f t="shared" si="6"/>
        <v>146.11831589949958</v>
      </c>
      <c r="AJ30" s="101">
        <f t="shared" si="7"/>
        <v>436.53233384750638</v>
      </c>
      <c r="AK30" s="101">
        <f t="shared" si="39"/>
        <v>679.32455858065634</v>
      </c>
      <c r="AL30" s="235">
        <f t="shared" si="40"/>
        <v>0.10289045697215216</v>
      </c>
      <c r="AM30" s="235">
        <f t="shared" si="8"/>
        <v>2.2623996034754006E-4</v>
      </c>
      <c r="AN30" s="235">
        <f t="shared" si="9"/>
        <v>3.9186628821306878E-2</v>
      </c>
      <c r="AO30" s="235">
        <f t="shared" si="10"/>
        <v>2.2808935898457438E-3</v>
      </c>
      <c r="AP30" s="235">
        <f t="shared" si="11"/>
        <v>9.6861069060215496E-4</v>
      </c>
      <c r="AQ30" s="235">
        <f t="shared" si="12"/>
        <v>0.12067577101935401</v>
      </c>
      <c r="AR30" s="101">
        <f t="shared" si="41"/>
        <v>1354.7070375809049</v>
      </c>
      <c r="AS30" s="235">
        <f t="shared" si="42"/>
        <v>0.26622860105360846</v>
      </c>
      <c r="AT30" s="235">
        <f t="shared" si="13"/>
        <v>0.30465543575890308</v>
      </c>
      <c r="AV30" s="10">
        <v>24</v>
      </c>
      <c r="AW30" s="10">
        <f t="shared" si="43"/>
        <v>69</v>
      </c>
      <c r="AX30" s="309">
        <f t="shared" si="44"/>
        <v>0.26972902268238508</v>
      </c>
      <c r="AY30" s="309">
        <f t="shared" si="45"/>
        <v>2.8449724411553823E-5</v>
      </c>
      <c r="AZ30" s="309">
        <f t="shared" si="46"/>
        <v>2.8449724411553823E-5</v>
      </c>
      <c r="BA30" s="235">
        <f t="shared" si="47"/>
        <v>2.7598273376239764E-3</v>
      </c>
      <c r="BB30" s="235">
        <f t="shared" si="48"/>
        <v>4.1168052097777536E-3</v>
      </c>
      <c r="BC30" s="309">
        <f t="shared" si="49"/>
        <v>5.6800932752877467E-6</v>
      </c>
      <c r="BD30" s="235">
        <f t="shared" si="50"/>
        <v>4.2567433854896874E-3</v>
      </c>
      <c r="BE30" s="235">
        <f t="shared" si="51"/>
        <v>7.5472636625100826E-3</v>
      </c>
      <c r="BF30" s="235">
        <f t="shared" si="52"/>
        <v>0.30122998117614336</v>
      </c>
      <c r="BG30" s="235">
        <f t="shared" si="53"/>
        <v>3.3854186151330333E-3</v>
      </c>
      <c r="BH30" s="235">
        <f t="shared" si="54"/>
        <v>1.7539561862121598E-2</v>
      </c>
      <c r="BI30" s="235">
        <f t="shared" si="55"/>
        <v>0.38937279652671758</v>
      </c>
      <c r="BJ30" s="235">
        <f t="shared" si="56"/>
        <v>1.0000000000000007</v>
      </c>
      <c r="BK30" s="101">
        <f t="shared" si="14"/>
        <v>0.10430565344927166</v>
      </c>
      <c r="BL30" s="101">
        <f t="shared" si="15"/>
        <v>8.2707124657030187E-2</v>
      </c>
      <c r="BM30" s="101">
        <f t="shared" si="16"/>
        <v>98.599597690827238</v>
      </c>
      <c r="BN30" s="101">
        <f t="shared" si="17"/>
        <v>157.77348866959173</v>
      </c>
      <c r="BO30" s="101">
        <f t="shared" si="18"/>
        <v>458.76478405819569</v>
      </c>
      <c r="BP30" s="101">
        <f t="shared" si="57"/>
        <v>717.77395527062015</v>
      </c>
      <c r="BQ30" s="235">
        <f t="shared" si="19"/>
        <v>0.12605436563098246</v>
      </c>
      <c r="BR30" s="235">
        <f t="shared" si="20"/>
        <v>2.5806229718494254E-5</v>
      </c>
      <c r="BS30" s="235">
        <f t="shared" si="21"/>
        <v>5.2030390597026643E-3</v>
      </c>
      <c r="BT30" s="235">
        <f t="shared" si="22"/>
        <v>2.4615556451789912E-3</v>
      </c>
      <c r="BU30" s="235">
        <f t="shared" si="23"/>
        <v>1.0458722226450727E-3</v>
      </c>
      <c r="BV30" s="235">
        <f t="shared" si="24"/>
        <v>0.12624238159576867</v>
      </c>
      <c r="BW30" s="101">
        <f t="shared" si="58"/>
        <v>1433.098838467341</v>
      </c>
      <c r="BX30" s="235">
        <f t="shared" si="59"/>
        <v>0.26103302038399634</v>
      </c>
      <c r="BY30" s="235">
        <f t="shared" si="25"/>
        <v>0.300388121715158</v>
      </c>
      <c r="CA30" s="23"/>
      <c r="CB30" s="21">
        <v>23</v>
      </c>
      <c r="CC30" t="str">
        <f>$M$75</f>
        <v>boc_cost_ooph</v>
      </c>
      <c r="CD30" s="101">
        <f>$F$75</f>
        <v>4727.6818048000005</v>
      </c>
      <c r="CE30" s="101">
        <f>$G$75</f>
        <v>7091.5227071999998</v>
      </c>
      <c r="CF30" s="447">
        <v>-17778.455065846374</v>
      </c>
      <c r="CG30" s="447">
        <v>-16138.72674548565</v>
      </c>
      <c r="CH30" s="266">
        <f t="shared" si="151"/>
        <v>1639.728320360724</v>
      </c>
      <c r="CJ30" s="10">
        <v>22</v>
      </c>
      <c r="CK30" s="450">
        <v>8.0000000000000002E-3</v>
      </c>
      <c r="CL30" s="450">
        <v>0</v>
      </c>
      <c r="CM30" s="450">
        <v>8.0000000000000002E-3</v>
      </c>
      <c r="CN30" s="450">
        <v>0</v>
      </c>
      <c r="CO30" s="451">
        <v>0.38367898968340702</v>
      </c>
      <c r="CP30" s="451">
        <v>0.61696705688255649</v>
      </c>
      <c r="CQ30" s="451">
        <v>0.11243651938902097</v>
      </c>
      <c r="CR30" s="451">
        <v>0.13504053399267674</v>
      </c>
      <c r="CS30" s="451">
        <v>23.036476493126159</v>
      </c>
      <c r="CT30" s="451">
        <v>22.28721385340938</v>
      </c>
      <c r="CU30" s="234">
        <v>0.74926263971677898</v>
      </c>
      <c r="CX30" s="377">
        <v>22</v>
      </c>
      <c r="CY30" s="335">
        <f t="shared" si="60"/>
        <v>4.4299999999999998E-4</v>
      </c>
      <c r="CZ30" s="338">
        <v>4.4299999999999998E-4</v>
      </c>
      <c r="DA30" s="345">
        <f t="shared" si="61"/>
        <v>2.6690197644601121E-2</v>
      </c>
      <c r="DB30" s="387">
        <f t="shared" si="62"/>
        <v>5.378854237520192E-2</v>
      </c>
      <c r="DC30" s="114">
        <f t="shared" si="91"/>
        <v>5.8826291794038532E-3</v>
      </c>
      <c r="DD30" s="378">
        <f t="shared" si="92"/>
        <v>0</v>
      </c>
      <c r="DE30" s="378">
        <f t="shared" si="63"/>
        <v>4.1249222483261388E-3</v>
      </c>
      <c r="DF30" s="340">
        <f t="shared" si="93"/>
        <v>0</v>
      </c>
      <c r="DG30" s="378">
        <f t="shared" si="94"/>
        <v>0</v>
      </c>
      <c r="DH30" s="378">
        <f t="shared" si="64"/>
        <v>0</v>
      </c>
      <c r="DI30" s="340">
        <f>DI29+(DI38-DI28)/10</f>
        <v>8.0000000000000002E-3</v>
      </c>
      <c r="DJ30" s="349">
        <f t="shared" ref="DJ30" si="170">DJ29+(DJ38-DJ28)/10</f>
        <v>8.0000000000000002E-3</v>
      </c>
      <c r="DK30" s="350">
        <f t="shared" si="65"/>
        <v>8.0000000000000002E-3</v>
      </c>
      <c r="DL30" s="345">
        <f t="shared" ref="DL30" si="171">DL29+(DL38-DL28)/10</f>
        <v>0</v>
      </c>
      <c r="DM30" s="349">
        <f t="shared" ref="DM30" si="172">DM29+(DM38-DM28)/10</f>
        <v>0</v>
      </c>
      <c r="DN30" s="396">
        <f t="shared" si="66"/>
        <v>0</v>
      </c>
      <c r="DO30" s="335">
        <f t="shared" si="103"/>
        <v>1.6800000000000009E-2</v>
      </c>
      <c r="DP30" s="350">
        <f t="shared" si="104"/>
        <v>8.4000000000000012E-3</v>
      </c>
      <c r="DQ30" s="349">
        <f t="shared" si="67"/>
        <v>1.4290112367995799E-2</v>
      </c>
      <c r="DR30" s="335">
        <f t="shared" si="105"/>
        <v>7.000000000000001E-3</v>
      </c>
      <c r="DS30" s="350">
        <f t="shared" si="106"/>
        <v>0</v>
      </c>
      <c r="DT30" s="349">
        <f t="shared" si="68"/>
        <v>4.9084269733298269E-3</v>
      </c>
      <c r="DU30" s="335">
        <f>DU29+(DU33-DU28)/5</f>
        <v>8.7600000000000011E-2</v>
      </c>
      <c r="DV30" s="350">
        <f>DV29+(DV33-DV28)/5</f>
        <v>1.6800000000000002E-2</v>
      </c>
      <c r="DW30" s="350">
        <f t="shared" si="69"/>
        <v>6.6445232815964539E-2</v>
      </c>
      <c r="DX30" s="335">
        <f>DX29+(DX33-DX28)/5</f>
        <v>1.4000000000000002E-2</v>
      </c>
      <c r="DY30" s="350">
        <f>DY29+(DY33-DY28)/5</f>
        <v>0</v>
      </c>
      <c r="DZ30" s="396">
        <f t="shared" si="70"/>
        <v>9.8168539466596538E-3</v>
      </c>
      <c r="EA30" s="350">
        <f t="shared" si="71"/>
        <v>0</v>
      </c>
      <c r="EB30" s="350">
        <f t="shared" si="72"/>
        <v>0</v>
      </c>
      <c r="EC30" s="349">
        <f t="shared" si="73"/>
        <v>0</v>
      </c>
      <c r="ED30" s="335">
        <f t="shared" si="74"/>
        <v>3.7101005066195736E-3</v>
      </c>
      <c r="EE30" s="350">
        <f t="shared" si="75"/>
        <v>0</v>
      </c>
      <c r="EF30" s="387">
        <f t="shared" si="76"/>
        <v>2.6015367714937385E-3</v>
      </c>
      <c r="EG30" s="335">
        <f t="shared" si="77"/>
        <v>0</v>
      </c>
      <c r="EH30" s="350">
        <f t="shared" si="78"/>
        <v>0</v>
      </c>
      <c r="EI30" s="387">
        <f t="shared" si="79"/>
        <v>0</v>
      </c>
      <c r="EJ30" s="335">
        <f t="shared" si="80"/>
        <v>0</v>
      </c>
      <c r="EK30" s="350">
        <f t="shared" si="81"/>
        <v>0</v>
      </c>
      <c r="EL30" s="387">
        <f t="shared" si="82"/>
        <v>0</v>
      </c>
      <c r="EN30" s="337"/>
      <c r="EO30" s="318">
        <v>80</v>
      </c>
      <c r="EP30" s="315" t="s">
        <v>202</v>
      </c>
      <c r="EQ30" s="308">
        <v>0.69</v>
      </c>
      <c r="ER30" s="308">
        <v>0.61</v>
      </c>
      <c r="ES30" s="308">
        <v>0.77</v>
      </c>
      <c r="ET30" s="320">
        <f t="shared" si="155"/>
        <v>87.898242000791598</v>
      </c>
      <c r="EU30" s="320">
        <f t="shared" si="156"/>
        <v>39.490514522094792</v>
      </c>
      <c r="EV30" s="350">
        <f t="shared" ca="1" si="157"/>
        <v>0.67835768980075251</v>
      </c>
      <c r="EW30" s="362">
        <f t="shared" si="146"/>
        <v>0.69</v>
      </c>
      <c r="EY30" s="359" t="s">
        <v>240</v>
      </c>
      <c r="EZ30" s="20"/>
      <c r="FA30" s="20"/>
      <c r="FB30" s="20"/>
      <c r="FC30" s="20"/>
      <c r="FD30" s="20"/>
      <c r="FE30" s="20"/>
      <c r="FF30" s="360"/>
      <c r="FG30" s="234"/>
      <c r="FH30" s="324">
        <v>40</v>
      </c>
      <c r="FI30" s="406">
        <v>97734</v>
      </c>
      <c r="FJ30" s="347">
        <f t="shared" si="137"/>
        <v>0.97733999999999999</v>
      </c>
      <c r="FK30" s="388">
        <f t="shared" si="138"/>
        <v>0.86103653999999985</v>
      </c>
      <c r="FL30" s="347">
        <f t="shared" si="147"/>
        <v>0.13896346000000015</v>
      </c>
      <c r="FM30" s="396">
        <f t="shared" si="148"/>
        <v>2.9480386882917764E-2</v>
      </c>
      <c r="FN30" s="388">
        <f t="shared" si="139"/>
        <v>0.74766509999999997</v>
      </c>
      <c r="FO30" s="347">
        <f t="shared" si="149"/>
        <v>0.25233490000000003</v>
      </c>
      <c r="FP30" s="396">
        <f t="shared" si="150"/>
        <v>5.6501048732219616E-2</v>
      </c>
    </row>
    <row r="31" spans="2:172" ht="15" customHeight="1" x14ac:dyDescent="0.2">
      <c r="Q31" s="10">
        <v>25</v>
      </c>
      <c r="R31" s="10">
        <f t="shared" si="2"/>
        <v>70</v>
      </c>
      <c r="S31" s="309">
        <f t="shared" si="26"/>
        <v>0.20563163503018378</v>
      </c>
      <c r="T31" s="309">
        <f t="shared" si="27"/>
        <v>0</v>
      </c>
      <c r="U31" s="309">
        <f t="shared" si="28"/>
        <v>4.4554060510303172E-4</v>
      </c>
      <c r="V31" s="235">
        <f t="shared" si="29"/>
        <v>1.6874916112500336E-2</v>
      </c>
      <c r="W31" s="235">
        <f t="shared" si="30"/>
        <v>5.8138280303843805E-2</v>
      </c>
      <c r="X31" s="309">
        <f t="shared" si="31"/>
        <v>3.5643897738758133E-5</v>
      </c>
      <c r="Y31" s="235">
        <f t="shared" si="32"/>
        <v>6.3812330994015044E-3</v>
      </c>
      <c r="Z31" s="235">
        <f t="shared" si="33"/>
        <v>6.102303834213626E-3</v>
      </c>
      <c r="AA31" s="235">
        <f t="shared" si="34"/>
        <v>0.27951377469422845</v>
      </c>
      <c r="AB31" s="235">
        <f t="shared" si="35"/>
        <v>6.3096370166888819E-3</v>
      </c>
      <c r="AC31" s="235">
        <f t="shared" si="36"/>
        <v>1.5410259591550214E-2</v>
      </c>
      <c r="AD31" s="235">
        <f t="shared" si="37"/>
        <v>0.40515677581454784</v>
      </c>
      <c r="AE31" s="235">
        <f t="shared" si="38"/>
        <v>1.0000000000000002</v>
      </c>
      <c r="AF31" s="101">
        <f t="shared" si="3"/>
        <v>0</v>
      </c>
      <c r="AG31" s="101">
        <f t="shared" si="4"/>
        <v>1.2575200682774006</v>
      </c>
      <c r="AH31" s="101">
        <f t="shared" si="5"/>
        <v>77.400225033404183</v>
      </c>
      <c r="AI31" s="101">
        <f t="shared" si="6"/>
        <v>285.48862032935648</v>
      </c>
      <c r="AJ31" s="101">
        <f t="shared" si="7"/>
        <v>409.34939847485043</v>
      </c>
      <c r="AK31" s="101">
        <f t="shared" si="39"/>
        <v>765.62659502004919</v>
      </c>
      <c r="AL31" s="235">
        <f t="shared" si="40"/>
        <v>9.3300273401456912E-2</v>
      </c>
      <c r="AM31" s="235">
        <f t="shared" si="8"/>
        <v>2.0752133944886204E-4</v>
      </c>
      <c r="AN31" s="235">
        <f t="shared" si="9"/>
        <v>3.6930711201415944E-2</v>
      </c>
      <c r="AO31" s="235">
        <f t="shared" si="10"/>
        <v>1.9323097186107986E-3</v>
      </c>
      <c r="AP31" s="235">
        <f t="shared" si="11"/>
        <v>1.8924891653314038E-3</v>
      </c>
      <c r="AQ31" s="235">
        <f t="shared" si="12"/>
        <v>0.11343206031762139</v>
      </c>
      <c r="AR31" s="101">
        <f t="shared" si="41"/>
        <v>1539.1223589259375</v>
      </c>
      <c r="AS31" s="235">
        <f t="shared" si="42"/>
        <v>0.24769536514388529</v>
      </c>
      <c r="AT31" s="235">
        <f t="shared" si="13"/>
        <v>0.28410043670853402</v>
      </c>
      <c r="AV31" s="10">
        <v>25</v>
      </c>
      <c r="AW31" s="10">
        <f t="shared" si="43"/>
        <v>70</v>
      </c>
      <c r="AX31" s="309">
        <f t="shared" si="44"/>
        <v>0.25241774506142434</v>
      </c>
      <c r="AY31" s="309">
        <f t="shared" si="45"/>
        <v>2.6972902268238508E-5</v>
      </c>
      <c r="AZ31" s="309">
        <f t="shared" si="46"/>
        <v>2.6972902268238508E-5</v>
      </c>
      <c r="BA31" s="235">
        <f t="shared" si="47"/>
        <v>2.6725672360118509E-3</v>
      </c>
      <c r="BB31" s="235">
        <f t="shared" si="48"/>
        <v>4.0015317831687764E-3</v>
      </c>
      <c r="BC31" s="309">
        <f t="shared" si="49"/>
        <v>5.5850146788537838E-6</v>
      </c>
      <c r="BD31" s="235">
        <f t="shared" si="50"/>
        <v>4.170900356861444E-3</v>
      </c>
      <c r="BE31" s="235">
        <f t="shared" si="51"/>
        <v>6.5496000064646943E-3</v>
      </c>
      <c r="BF31" s="235">
        <f t="shared" si="52"/>
        <v>0.29213469873535602</v>
      </c>
      <c r="BG31" s="235">
        <f t="shared" si="53"/>
        <v>6.8011270415917887E-3</v>
      </c>
      <c r="BH31" s="235">
        <f t="shared" si="54"/>
        <v>1.6670778131115876E-2</v>
      </c>
      <c r="BI31" s="235">
        <f t="shared" si="55"/>
        <v>0.41452152082879046</v>
      </c>
      <c r="BJ31" s="235">
        <f t="shared" si="56"/>
        <v>1.0000000000000004</v>
      </c>
      <c r="BK31" s="101">
        <f t="shared" si="14"/>
        <v>9.6010833169163368E-2</v>
      </c>
      <c r="BL31" s="101">
        <f t="shared" si="15"/>
        <v>7.6129909403321719E-2</v>
      </c>
      <c r="BM31" s="101">
        <f t="shared" si="16"/>
        <v>83.073627297431969</v>
      </c>
      <c r="BN31" s="101">
        <f t="shared" si="17"/>
        <v>307.72679484621722</v>
      </c>
      <c r="BO31" s="101">
        <f t="shared" si="18"/>
        <v>430.40765729840155</v>
      </c>
      <c r="BP31" s="101">
        <f t="shared" si="57"/>
        <v>808.09465432961099</v>
      </c>
      <c r="BQ31" s="235">
        <f t="shared" si="19"/>
        <v>0.11452831478071575</v>
      </c>
      <c r="BR31" s="235">
        <f t="shared" si="20"/>
        <v>2.3752600118646609E-5</v>
      </c>
      <c r="BS31" s="235">
        <f t="shared" si="21"/>
        <v>4.9206504956050704E-3</v>
      </c>
      <c r="BT31" s="235">
        <f t="shared" si="22"/>
        <v>2.0739471664042398E-3</v>
      </c>
      <c r="BU31" s="235">
        <f t="shared" si="23"/>
        <v>2.0399048636571566E-3</v>
      </c>
      <c r="BV31" s="235">
        <f t="shared" si="24"/>
        <v>0.11874805952850179</v>
      </c>
      <c r="BW31" s="101">
        <f t="shared" si="58"/>
        <v>1629.4748745142342</v>
      </c>
      <c r="BX31" s="235">
        <f t="shared" si="59"/>
        <v>0.24233462943500267</v>
      </c>
      <c r="BY31" s="235">
        <f t="shared" si="25"/>
        <v>0.27962778233501651</v>
      </c>
      <c r="CA31" s="23"/>
      <c r="CB31" s="21">
        <v>24</v>
      </c>
      <c r="CC31" t="str">
        <f>$M$79</f>
        <v>boc_cost_bc_initial_64</v>
      </c>
      <c r="CD31" s="101">
        <f>$F$79</f>
        <v>25494.400000000001</v>
      </c>
      <c r="CE31" s="101">
        <f>$G$79</f>
        <v>38241.599999999999</v>
      </c>
      <c r="CF31" s="447">
        <v>-16183.043202078337</v>
      </c>
      <c r="CG31" s="447">
        <v>-17734.138609254107</v>
      </c>
      <c r="CH31" s="266">
        <f t="shared" si="151"/>
        <v>1551.0954071757697</v>
      </c>
      <c r="CJ31" s="10">
        <v>23</v>
      </c>
      <c r="CK31" s="450">
        <v>1.2E-2</v>
      </c>
      <c r="CL31" s="450">
        <v>0</v>
      </c>
      <c r="CM31" s="450">
        <v>1.2E-2</v>
      </c>
      <c r="CN31" s="450">
        <v>0</v>
      </c>
      <c r="CO31" s="451">
        <v>0.38554250390219291</v>
      </c>
      <c r="CP31" s="451">
        <v>0.61315594796201289</v>
      </c>
      <c r="CQ31" s="451">
        <v>0.11173228796159976</v>
      </c>
      <c r="CR31" s="451">
        <v>0.13511789723329665</v>
      </c>
      <c r="CS31" s="451">
        <v>22.801397682884886</v>
      </c>
      <c r="CT31" s="451">
        <v>22.044275162744572</v>
      </c>
      <c r="CU31" s="234">
        <v>0.75712252014031378</v>
      </c>
      <c r="CX31" s="377">
        <v>23</v>
      </c>
      <c r="CY31" s="335">
        <f t="shared" si="60"/>
        <v>4.6999999999999999E-4</v>
      </c>
      <c r="CZ31" s="338">
        <v>4.6999999999999999E-4</v>
      </c>
      <c r="DA31" s="345">
        <f t="shared" si="61"/>
        <v>2.6690197644601121E-2</v>
      </c>
      <c r="DB31" s="387">
        <f t="shared" si="62"/>
        <v>5.378854237520192E-2</v>
      </c>
      <c r="DC31" s="114">
        <f t="shared" si="91"/>
        <v>5.8826291794038532E-3</v>
      </c>
      <c r="DD31" s="378">
        <f t="shared" si="92"/>
        <v>0</v>
      </c>
      <c r="DE31" s="378">
        <f t="shared" si="63"/>
        <v>4.1249222483261388E-3</v>
      </c>
      <c r="DF31" s="340">
        <f t="shared" si="93"/>
        <v>0</v>
      </c>
      <c r="DG31" s="378">
        <f t="shared" si="94"/>
        <v>0</v>
      </c>
      <c r="DH31" s="378">
        <f t="shared" si="64"/>
        <v>0</v>
      </c>
      <c r="DI31" s="340">
        <f>DI30+(DI38-DI28)/10</f>
        <v>1.2E-2</v>
      </c>
      <c r="DJ31" s="349">
        <f t="shared" ref="DJ31" si="173">DJ30+(DJ38-DJ28)/10</f>
        <v>1.2E-2</v>
      </c>
      <c r="DK31" s="350">
        <f t="shared" si="65"/>
        <v>1.2E-2</v>
      </c>
      <c r="DL31" s="345">
        <f t="shared" ref="DL31" si="174">DL30+(DL38-DL28)/10</f>
        <v>0</v>
      </c>
      <c r="DM31" s="349">
        <f t="shared" ref="DM31" si="175">DM30+(DM38-DM28)/10</f>
        <v>0</v>
      </c>
      <c r="DN31" s="396">
        <f t="shared" si="66"/>
        <v>0</v>
      </c>
      <c r="DO31" s="335">
        <f t="shared" si="103"/>
        <v>1.6800000000000009E-2</v>
      </c>
      <c r="DP31" s="350">
        <f t="shared" si="104"/>
        <v>8.4000000000000012E-3</v>
      </c>
      <c r="DQ31" s="349">
        <f t="shared" si="67"/>
        <v>1.4290112367995799E-2</v>
      </c>
      <c r="DR31" s="335">
        <f t="shared" si="105"/>
        <v>7.0000000000000027E-3</v>
      </c>
      <c r="DS31" s="350">
        <f t="shared" si="106"/>
        <v>0</v>
      </c>
      <c r="DT31" s="349">
        <f t="shared" si="68"/>
        <v>4.9084269733298278E-3</v>
      </c>
      <c r="DU31" s="335">
        <f>DU30+(DU33-DU28)/5</f>
        <v>0.10440000000000002</v>
      </c>
      <c r="DV31" s="350">
        <f>DV30+(DV33-DV28)/5</f>
        <v>2.5200000000000004E-2</v>
      </c>
      <c r="DW31" s="350">
        <f t="shared" si="69"/>
        <v>8.0735345183960333E-2</v>
      </c>
      <c r="DX31" s="335">
        <f>DX30+(DX33-DX28)/5</f>
        <v>2.1000000000000005E-2</v>
      </c>
      <c r="DY31" s="350">
        <f>DY30+(DY33-DY28)/5</f>
        <v>0</v>
      </c>
      <c r="DZ31" s="396">
        <f t="shared" si="70"/>
        <v>1.4725280919989482E-2</v>
      </c>
      <c r="EA31" s="350">
        <f t="shared" si="71"/>
        <v>0</v>
      </c>
      <c r="EB31" s="350">
        <f t="shared" si="72"/>
        <v>0</v>
      </c>
      <c r="EC31" s="349">
        <f t="shared" si="73"/>
        <v>0</v>
      </c>
      <c r="ED31" s="335">
        <f t="shared" si="74"/>
        <v>3.7101005066195736E-3</v>
      </c>
      <c r="EE31" s="350">
        <f t="shared" si="75"/>
        <v>0</v>
      </c>
      <c r="EF31" s="387">
        <f t="shared" si="76"/>
        <v>2.6015367714937385E-3</v>
      </c>
      <c r="EG31" s="335">
        <f t="shared" si="77"/>
        <v>0</v>
      </c>
      <c r="EH31" s="350">
        <f t="shared" si="78"/>
        <v>0</v>
      </c>
      <c r="EI31" s="387">
        <f t="shared" si="79"/>
        <v>0</v>
      </c>
      <c r="EJ31" s="335">
        <f t="shared" si="80"/>
        <v>0</v>
      </c>
      <c r="EK31" s="350">
        <f t="shared" si="81"/>
        <v>0</v>
      </c>
      <c r="EL31" s="387">
        <f t="shared" si="82"/>
        <v>0</v>
      </c>
      <c r="EN31" s="337"/>
      <c r="EO31" s="318">
        <v>90</v>
      </c>
      <c r="EP31" s="315"/>
      <c r="EQ31" s="308">
        <v>0.69</v>
      </c>
      <c r="ER31" s="308">
        <v>0.61</v>
      </c>
      <c r="ES31" s="308">
        <v>0.77</v>
      </c>
      <c r="ET31" s="320">
        <f t="shared" ref="ET31:ET32" si="176">EQ31^2*(1-EQ31)/((ES31-ER31)/(2*z))^2-EQ31</f>
        <v>87.898242000791598</v>
      </c>
      <c r="EU31" s="320">
        <f t="shared" ref="EU31:EU32" si="177">(EQ31^2*(1-EQ31)/((ES31-ER31)/(2*z))^2-EQ31)*(1-EQ31)/EQ31</f>
        <v>39.490514522094792</v>
      </c>
      <c r="EV31" s="350">
        <f t="shared" ref="EV31:EV32" ca="1" si="178">_xlfn.BETA.INV(RAND(),ET31,EU31)</f>
        <v>0.62167041551214308</v>
      </c>
      <c r="EW31" s="362">
        <f t="shared" si="146"/>
        <v>0.69</v>
      </c>
      <c r="EY31" s="361"/>
      <c r="EZ31" s="346" t="s">
        <v>244</v>
      </c>
      <c r="FA31" s="315" t="s">
        <v>79</v>
      </c>
      <c r="FB31" s="315" t="s">
        <v>81</v>
      </c>
      <c r="FC31" s="315" t="s">
        <v>162</v>
      </c>
      <c r="FD31" s="315" t="s">
        <v>21</v>
      </c>
      <c r="FE31" s="315" t="s">
        <v>163</v>
      </c>
      <c r="FF31" s="316" t="s">
        <v>247</v>
      </c>
      <c r="FH31" s="324">
        <v>45</v>
      </c>
      <c r="FI31" s="406">
        <v>96961</v>
      </c>
      <c r="FJ31" s="347">
        <f t="shared" si="137"/>
        <v>0.96960999999999997</v>
      </c>
      <c r="FK31" s="388">
        <f t="shared" si="138"/>
        <v>0.87846665999999984</v>
      </c>
      <c r="FL31" s="347">
        <f t="shared" si="147"/>
        <v>0.12153334000000016</v>
      </c>
      <c r="FM31" s="396">
        <f t="shared" si="148"/>
        <v>2.5582541128165159E-2</v>
      </c>
      <c r="FN31" s="388">
        <f t="shared" si="139"/>
        <v>0.57303950999999997</v>
      </c>
      <c r="FO31" s="347">
        <f t="shared" si="149"/>
        <v>0.42696049000000003</v>
      </c>
      <c r="FP31" s="396">
        <f t="shared" si="150"/>
        <v>0.10538348049452495</v>
      </c>
    </row>
    <row r="32" spans="2:172" ht="15" customHeight="1" x14ac:dyDescent="0.2">
      <c r="B32" s="6" t="s">
        <v>291</v>
      </c>
      <c r="C32" s="5"/>
      <c r="D32" s="5"/>
      <c r="E32" s="5"/>
      <c r="F32" s="5"/>
      <c r="G32" s="5"/>
      <c r="H32" s="5"/>
      <c r="I32" s="5"/>
      <c r="J32" s="5"/>
      <c r="K32" s="5"/>
      <c r="L32" s="5"/>
      <c r="M32" s="5"/>
      <c r="N32" s="5"/>
      <c r="Q32" s="10">
        <v>26</v>
      </c>
      <c r="R32" s="10">
        <f t="shared" si="2"/>
        <v>71</v>
      </c>
      <c r="S32" s="309">
        <f t="shared" si="26"/>
        <v>0.19315298187369956</v>
      </c>
      <c r="T32" s="309">
        <f t="shared" si="27"/>
        <v>0</v>
      </c>
      <c r="U32" s="309">
        <f t="shared" si="28"/>
        <v>1.9022883054436765E-4</v>
      </c>
      <c r="V32" s="235">
        <f t="shared" si="29"/>
        <v>1.6158662231994164E-2</v>
      </c>
      <c r="W32" s="235">
        <f t="shared" si="30"/>
        <v>5.6675597701105015E-2</v>
      </c>
      <c r="X32" s="309">
        <f t="shared" si="31"/>
        <v>1.5610903240369846E-5</v>
      </c>
      <c r="Y32" s="235">
        <f t="shared" si="32"/>
        <v>6.2693573257708917E-3</v>
      </c>
      <c r="Z32" s="235">
        <f t="shared" si="33"/>
        <v>4.3148396815549713E-3</v>
      </c>
      <c r="AA32" s="235">
        <f t="shared" si="34"/>
        <v>0.27022187822965898</v>
      </c>
      <c r="AB32" s="235">
        <f t="shared" si="35"/>
        <v>5.9205617633302518E-3</v>
      </c>
      <c r="AC32" s="235">
        <f t="shared" si="36"/>
        <v>1.7304081969410575E-2</v>
      </c>
      <c r="AD32" s="235">
        <f t="shared" si="37"/>
        <v>0.42977619948969104</v>
      </c>
      <c r="AE32" s="235">
        <f t="shared" si="38"/>
        <v>1</v>
      </c>
      <c r="AF32" s="101">
        <f t="shared" si="3"/>
        <v>0</v>
      </c>
      <c r="AG32" s="101">
        <f t="shared" si="4"/>
        <v>0.52127482062077102</v>
      </c>
      <c r="AH32" s="101">
        <f t="shared" si="5"/>
        <v>53.134406666480636</v>
      </c>
      <c r="AI32" s="101">
        <f t="shared" si="6"/>
        <v>260.08189296326765</v>
      </c>
      <c r="AJ32" s="101">
        <f t="shared" si="7"/>
        <v>394.86649792250694</v>
      </c>
      <c r="AK32" s="101">
        <f t="shared" si="39"/>
        <v>751.28700954450812</v>
      </c>
      <c r="AL32" s="235">
        <f t="shared" si="40"/>
        <v>8.5085818319666523E-2</v>
      </c>
      <c r="AM32" s="235">
        <f t="shared" si="8"/>
        <v>8.5900603287044426E-5</v>
      </c>
      <c r="AN32" s="235">
        <f t="shared" si="9"/>
        <v>3.4845933732038953E-2</v>
      </c>
      <c r="AO32" s="235">
        <f t="shared" si="10"/>
        <v>1.3265094558826925E-3</v>
      </c>
      <c r="AP32" s="235">
        <f t="shared" si="11"/>
        <v>1.7240692955257984E-3</v>
      </c>
      <c r="AQ32" s="235">
        <f t="shared" si="12"/>
        <v>0.10727051707274736</v>
      </c>
      <c r="AR32" s="101">
        <f t="shared" si="41"/>
        <v>1459.8910819173841</v>
      </c>
      <c r="AS32" s="235">
        <f t="shared" si="42"/>
        <v>0.23033874847914837</v>
      </c>
      <c r="AT32" s="235">
        <f t="shared" si="13"/>
        <v>0.26440976975657593</v>
      </c>
      <c r="AV32" s="10">
        <v>26</v>
      </c>
      <c r="AW32" s="10">
        <f t="shared" si="43"/>
        <v>71</v>
      </c>
      <c r="AX32" s="309">
        <f t="shared" si="44"/>
        <v>0.23728292705066262</v>
      </c>
      <c r="AY32" s="309">
        <f t="shared" si="45"/>
        <v>2.5241774506142435E-5</v>
      </c>
      <c r="AZ32" s="309">
        <f t="shared" si="46"/>
        <v>2.5241774506142435E-5</v>
      </c>
      <c r="BA32" s="235">
        <f t="shared" si="47"/>
        <v>2.5861033282274966E-3</v>
      </c>
      <c r="BB32" s="235">
        <f t="shared" si="48"/>
        <v>3.8971658192776992E-3</v>
      </c>
      <c r="BC32" s="309">
        <f t="shared" si="49"/>
        <v>2.4723790178641611E-6</v>
      </c>
      <c r="BD32" s="235">
        <f t="shared" si="50"/>
        <v>4.0800635921797689E-3</v>
      </c>
      <c r="BE32" s="235">
        <f t="shared" si="51"/>
        <v>4.6428351396025688E-3</v>
      </c>
      <c r="BF32" s="235">
        <f t="shared" si="52"/>
        <v>0.28258574454058982</v>
      </c>
      <c r="BG32" s="235">
        <f t="shared" si="53"/>
        <v>6.3689938529072525E-3</v>
      </c>
      <c r="BH32" s="235">
        <f t="shared" si="54"/>
        <v>1.8699894314077689E-2</v>
      </c>
      <c r="BI32" s="235">
        <f t="shared" si="55"/>
        <v>0.43980331643444553</v>
      </c>
      <c r="BJ32" s="235">
        <f t="shared" si="56"/>
        <v>1.0000000000000007</v>
      </c>
      <c r="BK32" s="101">
        <f t="shared" si="14"/>
        <v>8.7231877043805167E-2</v>
      </c>
      <c r="BL32" s="101">
        <f t="shared" si="15"/>
        <v>6.9168808114869279E-2</v>
      </c>
      <c r="BM32" s="101">
        <f t="shared" si="16"/>
        <v>57.17345454285018</v>
      </c>
      <c r="BN32" s="101">
        <f t="shared" si="17"/>
        <v>279.78087954339532</v>
      </c>
      <c r="BO32" s="101">
        <f t="shared" si="18"/>
        <v>415.60758203866618</v>
      </c>
      <c r="BP32" s="101">
        <f t="shared" si="57"/>
        <v>793.86401160959235</v>
      </c>
      <c r="BQ32" s="235">
        <f t="shared" si="19"/>
        <v>0.10452550007533916</v>
      </c>
      <c r="BR32" s="235">
        <f t="shared" si="20"/>
        <v>2.15795713695903E-5</v>
      </c>
      <c r="BS32" s="235">
        <f t="shared" si="21"/>
        <v>4.6532536107919279E-3</v>
      </c>
      <c r="BT32" s="235">
        <f t="shared" si="22"/>
        <v>1.4273449697597496E-3</v>
      </c>
      <c r="BU32" s="235">
        <f t="shared" si="23"/>
        <v>1.8546528495318809E-3</v>
      </c>
      <c r="BV32" s="235">
        <f t="shared" si="24"/>
        <v>0.11238030155804056</v>
      </c>
      <c r="BW32" s="101">
        <f t="shared" si="58"/>
        <v>1546.5823284196626</v>
      </c>
      <c r="BX32" s="235">
        <f t="shared" si="59"/>
        <v>0.22486263263483286</v>
      </c>
      <c r="BY32" s="235">
        <f t="shared" si="25"/>
        <v>0.25976024849788421</v>
      </c>
      <c r="CA32" s="23"/>
      <c r="CB32" s="21">
        <v>7</v>
      </c>
      <c r="CC32" t="str">
        <f>$M$50</f>
        <v>boc_hr_bc_ooph_1</v>
      </c>
      <c r="CD32" s="23">
        <f>$F$50</f>
        <v>0.41</v>
      </c>
      <c r="CE32" s="23">
        <f>$G$50</f>
        <v>0.96</v>
      </c>
      <c r="CF32" s="447">
        <v>-17406.396885559192</v>
      </c>
      <c r="CG32" s="447">
        <v>-16131.559295632791</v>
      </c>
      <c r="CH32" s="266">
        <f t="shared" si="151"/>
        <v>1274.8375899264011</v>
      </c>
      <c r="CJ32" s="10">
        <v>24</v>
      </c>
      <c r="CK32" s="450">
        <v>1.6E-2</v>
      </c>
      <c r="CL32" s="450">
        <v>0</v>
      </c>
      <c r="CM32" s="450">
        <v>1.6E-2</v>
      </c>
      <c r="CN32" s="450">
        <v>0</v>
      </c>
      <c r="CO32" s="451">
        <v>0.38745625423962909</v>
      </c>
      <c r="CP32" s="451">
        <v>0.60936655744487556</v>
      </c>
      <c r="CQ32" s="451">
        <v>0.11102040316191553</v>
      </c>
      <c r="CR32" s="451">
        <v>0.13519648720881011</v>
      </c>
      <c r="CS32" s="451">
        <v>22.561066214373525</v>
      </c>
      <c r="CT32" s="451">
        <v>21.79605971572046</v>
      </c>
      <c r="CU32" s="234">
        <v>0.76500649865306514</v>
      </c>
      <c r="CX32" s="377">
        <v>24</v>
      </c>
      <c r="CY32" s="335">
        <f t="shared" si="60"/>
        <v>4.9600000000000002E-4</v>
      </c>
      <c r="CZ32" s="338">
        <v>4.9600000000000002E-4</v>
      </c>
      <c r="DA32" s="345">
        <f t="shared" si="61"/>
        <v>2.6690197644601121E-2</v>
      </c>
      <c r="DB32" s="387">
        <f t="shared" si="62"/>
        <v>5.378854237520192E-2</v>
      </c>
      <c r="DC32" s="114">
        <f t="shared" si="91"/>
        <v>5.8826291794038532E-3</v>
      </c>
      <c r="DD32" s="378">
        <f t="shared" si="92"/>
        <v>0</v>
      </c>
      <c r="DE32" s="378">
        <f t="shared" si="63"/>
        <v>4.1249222483261388E-3</v>
      </c>
      <c r="DF32" s="340">
        <f t="shared" si="93"/>
        <v>0</v>
      </c>
      <c r="DG32" s="378">
        <f t="shared" si="94"/>
        <v>0</v>
      </c>
      <c r="DH32" s="378">
        <f t="shared" si="64"/>
        <v>0</v>
      </c>
      <c r="DI32" s="340">
        <f>DI31+(DI38-DI28)/10</f>
        <v>1.6E-2</v>
      </c>
      <c r="DJ32" s="349">
        <f t="shared" ref="DJ32" si="179">DJ31+(DJ38-DJ28)/10</f>
        <v>1.6E-2</v>
      </c>
      <c r="DK32" s="350">
        <f t="shared" si="65"/>
        <v>1.6E-2</v>
      </c>
      <c r="DL32" s="345">
        <f t="shared" ref="DL32" si="180">DL31+(DL38-DL28)/10</f>
        <v>0</v>
      </c>
      <c r="DM32" s="349">
        <f t="shared" ref="DM32" si="181">DM31+(DM38-DM28)/10</f>
        <v>0</v>
      </c>
      <c r="DN32" s="396">
        <f t="shared" si="66"/>
        <v>0</v>
      </c>
      <c r="DO32" s="335">
        <f t="shared" si="103"/>
        <v>1.6800000000000009E-2</v>
      </c>
      <c r="DP32" s="350">
        <f t="shared" si="104"/>
        <v>8.4000000000000012E-3</v>
      </c>
      <c r="DQ32" s="349">
        <f t="shared" si="67"/>
        <v>1.4290112367995799E-2</v>
      </c>
      <c r="DR32" s="335">
        <f t="shared" si="105"/>
        <v>6.9999999999999993E-3</v>
      </c>
      <c r="DS32" s="350">
        <f t="shared" si="106"/>
        <v>0</v>
      </c>
      <c r="DT32" s="349">
        <f t="shared" si="68"/>
        <v>4.908426973329826E-3</v>
      </c>
      <c r="DU32" s="335">
        <f>DU31+(DU33-DU28)/5</f>
        <v>0.12120000000000003</v>
      </c>
      <c r="DV32" s="350">
        <f>DV31+(DV33-DV28)/5</f>
        <v>3.3600000000000005E-2</v>
      </c>
      <c r="DW32" s="350">
        <f t="shared" si="69"/>
        <v>9.5025457551956127E-2</v>
      </c>
      <c r="DX32" s="335">
        <f>DX31+(DX33-DX28)/5</f>
        <v>2.8000000000000004E-2</v>
      </c>
      <c r="DY32" s="350">
        <f>DY31+(DY33-DY28)/5</f>
        <v>0</v>
      </c>
      <c r="DZ32" s="396">
        <f t="shared" si="70"/>
        <v>1.9633707893319308E-2</v>
      </c>
      <c r="EA32" s="350">
        <f t="shared" si="71"/>
        <v>0</v>
      </c>
      <c r="EB32" s="350">
        <f t="shared" si="72"/>
        <v>0</v>
      </c>
      <c r="EC32" s="349">
        <f t="shared" si="73"/>
        <v>0</v>
      </c>
      <c r="ED32" s="335">
        <f t="shared" si="74"/>
        <v>3.7101005066195736E-3</v>
      </c>
      <c r="EE32" s="350">
        <f t="shared" si="75"/>
        <v>0</v>
      </c>
      <c r="EF32" s="387">
        <f t="shared" si="76"/>
        <v>2.6015367714937385E-3</v>
      </c>
      <c r="EG32" s="335">
        <f t="shared" si="77"/>
        <v>0</v>
      </c>
      <c r="EH32" s="350">
        <f t="shared" si="78"/>
        <v>0</v>
      </c>
      <c r="EI32" s="387">
        <f t="shared" si="79"/>
        <v>0</v>
      </c>
      <c r="EJ32" s="335">
        <f t="shared" si="80"/>
        <v>0</v>
      </c>
      <c r="EK32" s="350">
        <f t="shared" si="81"/>
        <v>0</v>
      </c>
      <c r="EL32" s="387">
        <f t="shared" si="82"/>
        <v>0</v>
      </c>
      <c r="EN32" s="337"/>
      <c r="EO32" s="318">
        <v>100</v>
      </c>
      <c r="EP32" s="315"/>
      <c r="EQ32" s="308">
        <v>0.69</v>
      </c>
      <c r="ER32" s="308">
        <v>0.61</v>
      </c>
      <c r="ES32" s="308">
        <v>0.77</v>
      </c>
      <c r="ET32" s="320">
        <f t="shared" si="176"/>
        <v>87.898242000791598</v>
      </c>
      <c r="EU32" s="320">
        <f t="shared" si="177"/>
        <v>39.490514522094792</v>
      </c>
      <c r="EV32" s="350">
        <f t="shared" ca="1" si="178"/>
        <v>0.64835929192039821</v>
      </c>
      <c r="EW32" s="362">
        <f t="shared" si="146"/>
        <v>0.69</v>
      </c>
      <c r="EY32" s="363">
        <v>0</v>
      </c>
      <c r="EZ32" s="346">
        <v>0</v>
      </c>
      <c r="FA32" s="347">
        <f t="shared" ref="FA32:FA52" si="182">EZ32*(1-owsa_boc)</f>
        <v>0</v>
      </c>
      <c r="FB32" s="347">
        <f t="shared" ref="FB32:FB52" si="183">EZ32*(1+owsa_boc)</f>
        <v>0</v>
      </c>
      <c r="FC32" s="33" t="e">
        <f t="shared" ref="FC32:FC52" si="184">EZ32^2*(1-EZ32)/((FB32-FA32)/(2*z))^2-EZ32</f>
        <v>#DIV/0!</v>
      </c>
      <c r="FD32" s="33" t="e">
        <f t="shared" ref="FD32:FD52" si="185">(EZ32^2*(1-EZ32)/((FB32-FA32)/(2*z))^2-EZ32)*(1-EZ32)/EZ32</f>
        <v>#DIV/0!</v>
      </c>
      <c r="FE32" s="308">
        <f ca="1">IFERROR(_xlfn.BETA.INV(RAND(),FC32,FD32),0)</f>
        <v>0</v>
      </c>
      <c r="FF32" s="364">
        <v>0</v>
      </c>
      <c r="FG32" s="234"/>
      <c r="FH32" s="324">
        <v>50</v>
      </c>
      <c r="FI32" s="406">
        <v>95788</v>
      </c>
      <c r="FJ32" s="347">
        <f t="shared" si="137"/>
        <v>0.95787999999999995</v>
      </c>
      <c r="FK32" s="388">
        <f t="shared" si="138"/>
        <v>0.86783927999999988</v>
      </c>
      <c r="FL32" s="347">
        <f t="shared" si="147"/>
        <v>0.13216072000000012</v>
      </c>
      <c r="FM32" s="396">
        <f t="shared" si="148"/>
        <v>2.7951665155049654E-2</v>
      </c>
      <c r="FN32" s="388">
        <f t="shared" si="139"/>
        <v>0.56610707999999998</v>
      </c>
      <c r="FO32" s="347">
        <f t="shared" si="149"/>
        <v>0.43389292000000002</v>
      </c>
      <c r="FP32" s="396">
        <f t="shared" si="150"/>
        <v>0.1075585826254557</v>
      </c>
    </row>
    <row r="33" spans="2:172" ht="15" customHeight="1" x14ac:dyDescent="0.2">
      <c r="B33" s="7" t="s">
        <v>11</v>
      </c>
      <c r="C33" s="11" t="s">
        <v>16</v>
      </c>
      <c r="D33" s="11" t="s">
        <v>17</v>
      </c>
      <c r="E33" s="11" t="s">
        <v>18</v>
      </c>
      <c r="F33" s="14" t="s">
        <v>20</v>
      </c>
      <c r="G33" s="14"/>
      <c r="H33" s="11" t="s">
        <v>25</v>
      </c>
      <c r="I33" s="11" t="s">
        <v>21</v>
      </c>
      <c r="J33" s="11" t="s">
        <v>19</v>
      </c>
      <c r="K33" s="11" t="s">
        <v>23</v>
      </c>
      <c r="L33" s="11" t="s">
        <v>287</v>
      </c>
      <c r="M33" s="11" t="s">
        <v>132</v>
      </c>
      <c r="N33" s="11" t="s">
        <v>24</v>
      </c>
      <c r="Q33" s="10">
        <v>27</v>
      </c>
      <c r="R33" s="10">
        <f t="shared" si="2"/>
        <v>72</v>
      </c>
      <c r="S33" s="309">
        <f t="shared" si="26"/>
        <v>0.18109859381610668</v>
      </c>
      <c r="T33" s="309">
        <f t="shared" si="27"/>
        <v>0</v>
      </c>
      <c r="U33" s="309">
        <f t="shared" si="28"/>
        <v>1.78684888891721E-4</v>
      </c>
      <c r="V33" s="235">
        <f t="shared" si="29"/>
        <v>1.5444952131674426E-2</v>
      </c>
      <c r="W33" s="235">
        <f t="shared" si="30"/>
        <v>5.4907902977410869E-2</v>
      </c>
      <c r="X33" s="309">
        <f t="shared" si="31"/>
        <v>1.4948300241363618E-5</v>
      </c>
      <c r="Y33" s="235">
        <f t="shared" si="32"/>
        <v>6.1292265003735453E-3</v>
      </c>
      <c r="Z33" s="235">
        <f t="shared" si="33"/>
        <v>4.0730393734052421E-3</v>
      </c>
      <c r="AA33" s="235">
        <f t="shared" si="34"/>
        <v>0.25973967550845267</v>
      </c>
      <c r="AB33" s="235">
        <f t="shared" si="35"/>
        <v>5.5837889262805983E-3</v>
      </c>
      <c r="AC33" s="235">
        <f t="shared" si="36"/>
        <v>1.8502902942422742E-2</v>
      </c>
      <c r="AD33" s="235">
        <f t="shared" si="37"/>
        <v>0.45432628463474023</v>
      </c>
      <c r="AE33" s="235">
        <f t="shared" si="38"/>
        <v>1</v>
      </c>
      <c r="AF33" s="101">
        <f t="shared" si="3"/>
        <v>0</v>
      </c>
      <c r="AG33" s="101">
        <f t="shared" si="4"/>
        <v>0.47538011481607417</v>
      </c>
      <c r="AH33" s="101">
        <f t="shared" si="5"/>
        <v>48.695917716370623</v>
      </c>
      <c r="AI33" s="101">
        <f t="shared" si="6"/>
        <v>238.14363029467202</v>
      </c>
      <c r="AJ33" s="101">
        <f t="shared" si="7"/>
        <v>376.53181917591047</v>
      </c>
      <c r="AK33" s="101">
        <f t="shared" si="39"/>
        <v>725.76305830737294</v>
      </c>
      <c r="AL33" s="235">
        <f t="shared" si="40"/>
        <v>7.7452174703012841E-2</v>
      </c>
      <c r="AM33" s="235">
        <f t="shared" si="8"/>
        <v>7.8202555800385148E-5</v>
      </c>
      <c r="AN33" s="235">
        <f t="shared" si="9"/>
        <v>3.2709826297607866E-2</v>
      </c>
      <c r="AO33" s="235">
        <f t="shared" si="10"/>
        <v>1.2157018279908771E-3</v>
      </c>
      <c r="AP33" s="235">
        <f t="shared" si="11"/>
        <v>1.5786416971906563E-3</v>
      </c>
      <c r="AQ33" s="235">
        <f t="shared" si="12"/>
        <v>0.10071234617350899</v>
      </c>
      <c r="AR33" s="101">
        <f t="shared" si="41"/>
        <v>1389.6098056091423</v>
      </c>
      <c r="AS33" s="235">
        <f t="shared" si="42"/>
        <v>0.21374689325511165</v>
      </c>
      <c r="AT33" s="235">
        <f t="shared" si="13"/>
        <v>0.2456563346763595</v>
      </c>
      <c r="AV33" s="10">
        <v>27</v>
      </c>
      <c r="AW33" s="10">
        <f t="shared" si="43"/>
        <v>72</v>
      </c>
      <c r="AX33" s="309">
        <f t="shared" si="44"/>
        <v>0.22264650796869198</v>
      </c>
      <c r="AY33" s="309">
        <f t="shared" si="45"/>
        <v>2.3728292705066264E-5</v>
      </c>
      <c r="AZ33" s="309">
        <f t="shared" si="46"/>
        <v>2.3728292705066264E-5</v>
      </c>
      <c r="BA33" s="235">
        <f t="shared" si="47"/>
        <v>2.4971198012002042E-3</v>
      </c>
      <c r="BB33" s="235">
        <f t="shared" si="48"/>
        <v>3.7877755288062845E-3</v>
      </c>
      <c r="BC33" s="309">
        <f t="shared" si="49"/>
        <v>2.3923916751593317E-6</v>
      </c>
      <c r="BD33" s="235">
        <f t="shared" si="50"/>
        <v>3.9811801026804795E-3</v>
      </c>
      <c r="BE33" s="235">
        <f t="shared" si="51"/>
        <v>4.3657690671645563E-3</v>
      </c>
      <c r="BF33" s="235">
        <f t="shared" si="52"/>
        <v>0.27174746842793651</v>
      </c>
      <c r="BG33" s="235">
        <f t="shared" si="53"/>
        <v>5.9908153918232969E-3</v>
      </c>
      <c r="BH33" s="235">
        <f t="shared" si="54"/>
        <v>1.9972198926533628E-2</v>
      </c>
      <c r="BI33" s="235">
        <f t="shared" si="55"/>
        <v>0.46496131580807837</v>
      </c>
      <c r="BJ33" s="235">
        <f t="shared" si="56"/>
        <v>1.0000000000000007</v>
      </c>
      <c r="BK33" s="101">
        <f t="shared" si="14"/>
        <v>7.9613112163329544E-2</v>
      </c>
      <c r="BL33" s="101">
        <f t="shared" si="15"/>
        <v>6.3127657747036547E-2</v>
      </c>
      <c r="BM33" s="101">
        <f t="shared" si="16"/>
        <v>52.195697554866101</v>
      </c>
      <c r="BN33" s="101">
        <f t="shared" si="17"/>
        <v>255.50294695403468</v>
      </c>
      <c r="BO33" s="101">
        <f t="shared" si="18"/>
        <v>396.57746054186424</v>
      </c>
      <c r="BP33" s="101">
        <f t="shared" si="57"/>
        <v>767.4081173532079</v>
      </c>
      <c r="BQ33" s="235">
        <f t="shared" si="19"/>
        <v>9.522137013232386E-2</v>
      </c>
      <c r="BR33" s="235">
        <f t="shared" si="20"/>
        <v>1.9693718173274752E-5</v>
      </c>
      <c r="BS33" s="235">
        <f t="shared" si="21"/>
        <v>4.3905910651861804E-3</v>
      </c>
      <c r="BT33" s="235">
        <f t="shared" si="22"/>
        <v>1.3030744240266681E-3</v>
      </c>
      <c r="BU33" s="235">
        <f t="shared" si="23"/>
        <v>1.6937157013926466E-3</v>
      </c>
      <c r="BV33" s="235">
        <f t="shared" si="24"/>
        <v>0.10556727740771536</v>
      </c>
      <c r="BW33" s="101">
        <f t="shared" si="58"/>
        <v>1471.8269631738833</v>
      </c>
      <c r="BX33" s="235">
        <f t="shared" si="59"/>
        <v>0.20819572244881798</v>
      </c>
      <c r="BY33" s="235">
        <f t="shared" si="25"/>
        <v>0.24086856003439755</v>
      </c>
      <c r="CA33" s="23"/>
      <c r="CB33" s="21">
        <v>35</v>
      </c>
      <c r="CC33" t="str">
        <f>$M$91</f>
        <v>boc_cost_oc_last_65</v>
      </c>
      <c r="CD33" s="101">
        <f>$F$91</f>
        <v>91799.200000000012</v>
      </c>
      <c r="CE33" s="101">
        <f>$G$91</f>
        <v>137698.79999999999</v>
      </c>
      <c r="CF33" s="447">
        <v>-16326.544803815203</v>
      </c>
      <c r="CG33" s="447">
        <v>-17590.63700751682</v>
      </c>
      <c r="CH33" s="266">
        <f t="shared" si="151"/>
        <v>1264.0922037016171</v>
      </c>
      <c r="CJ33" s="10">
        <v>25</v>
      </c>
      <c r="CK33" s="450">
        <v>2.0000000000000004E-2</v>
      </c>
      <c r="CL33" s="450">
        <v>0</v>
      </c>
      <c r="CM33" s="450">
        <v>2.0000000000000004E-2</v>
      </c>
      <c r="CN33" s="450">
        <v>0</v>
      </c>
      <c r="CO33" s="451">
        <v>0.3894102891085558</v>
      </c>
      <c r="CP33" s="451">
        <v>0.60559912025100404</v>
      </c>
      <c r="CQ33" s="451">
        <v>0.11027826446499923</v>
      </c>
      <c r="CR33" s="451">
        <v>0.13527628260302116</v>
      </c>
      <c r="CS33" s="451">
        <v>22.315349642746906</v>
      </c>
      <c r="CT33" s="451">
        <v>21.542506213242554</v>
      </c>
      <c r="CU33" s="234">
        <v>0.77284342950435203</v>
      </c>
      <c r="CX33" s="377">
        <v>25</v>
      </c>
      <c r="CY33" s="335">
        <f t="shared" si="60"/>
        <v>5.2300000000000003E-4</v>
      </c>
      <c r="CZ33" s="338">
        <v>5.2300000000000003E-4</v>
      </c>
      <c r="DA33" s="345">
        <f t="shared" si="61"/>
        <v>2.7118588614782557E-2</v>
      </c>
      <c r="DB33" s="387">
        <f t="shared" si="62"/>
        <v>5.4205006324653415E-2</v>
      </c>
      <c r="DC33" s="114">
        <f t="shared" si="91"/>
        <v>5.8826291794038532E-3</v>
      </c>
      <c r="DD33" s="378">
        <f t="shared" si="92"/>
        <v>0</v>
      </c>
      <c r="DE33" s="378">
        <f t="shared" si="63"/>
        <v>4.1249222483261388E-3</v>
      </c>
      <c r="DF33" s="340">
        <f t="shared" si="93"/>
        <v>0</v>
      </c>
      <c r="DG33" s="378">
        <f t="shared" si="94"/>
        <v>0</v>
      </c>
      <c r="DH33" s="378">
        <f t="shared" si="64"/>
        <v>0</v>
      </c>
      <c r="DI33" s="340">
        <f>DI32+(DI38-DI28)/10</f>
        <v>0.02</v>
      </c>
      <c r="DJ33" s="349">
        <f t="shared" ref="DJ33" si="186">DJ32+(DJ38-DJ28)/10</f>
        <v>0.02</v>
      </c>
      <c r="DK33" s="350">
        <f t="shared" si="65"/>
        <v>2.0000000000000004E-2</v>
      </c>
      <c r="DL33" s="345">
        <f t="shared" ref="DL33" si="187">DL32+(DL38-DL28)/10</f>
        <v>0</v>
      </c>
      <c r="DM33" s="349">
        <f t="shared" ref="DM33" si="188">DM32+(DM38-DM28)/10</f>
        <v>0</v>
      </c>
      <c r="DN33" s="396">
        <f t="shared" si="66"/>
        <v>0</v>
      </c>
      <c r="DO33" s="335">
        <f t="shared" si="103"/>
        <v>1.6799999999999982E-2</v>
      </c>
      <c r="DP33" s="350">
        <f t="shared" si="104"/>
        <v>8.3999999999999977E-3</v>
      </c>
      <c r="DQ33" s="349">
        <f t="shared" si="67"/>
        <v>1.4290112367995779E-2</v>
      </c>
      <c r="DR33" s="335">
        <f t="shared" si="105"/>
        <v>6.9999999999999993E-3</v>
      </c>
      <c r="DS33" s="350">
        <f t="shared" si="106"/>
        <v>0</v>
      </c>
      <c r="DT33" s="349">
        <f t="shared" si="68"/>
        <v>4.908426973329826E-3</v>
      </c>
      <c r="DU33" s="335">
        <f>VLOOKUP($CX33,$EY$8:$FF$28,8,FALSE)</f>
        <v>0.13800000000000001</v>
      </c>
      <c r="DV33" s="350">
        <f>VLOOKUP($CX33,$EY$32:$FF$52,8,FALSE)</f>
        <v>4.2000000000000003E-2</v>
      </c>
      <c r="DW33" s="350">
        <f t="shared" si="69"/>
        <v>0.10931556991995191</v>
      </c>
      <c r="DX33" s="335">
        <f>VLOOKUP($CX33,$EY$56:$FF$76,8,FALSE)</f>
        <v>3.5000000000000003E-2</v>
      </c>
      <c r="DY33" s="350">
        <f>VLOOKUP($CX33,$EY$80:$FF$100,8,FALSE)</f>
        <v>0</v>
      </c>
      <c r="DZ33" s="396">
        <f t="shared" si="70"/>
        <v>2.4542134866649135E-2</v>
      </c>
      <c r="EA33" s="350">
        <f t="shared" si="71"/>
        <v>0</v>
      </c>
      <c r="EB33" s="350">
        <f t="shared" si="72"/>
        <v>0</v>
      </c>
      <c r="EC33" s="349">
        <f t="shared" si="73"/>
        <v>0</v>
      </c>
      <c r="ED33" s="335">
        <f t="shared" si="74"/>
        <v>3.7101005066195736E-3</v>
      </c>
      <c r="EE33" s="350">
        <f t="shared" si="75"/>
        <v>0</v>
      </c>
      <c r="EF33" s="387">
        <f t="shared" si="76"/>
        <v>2.6015367714937385E-3</v>
      </c>
      <c r="EG33" s="335">
        <f t="shared" si="77"/>
        <v>0</v>
      </c>
      <c r="EH33" s="350">
        <f t="shared" si="78"/>
        <v>0</v>
      </c>
      <c r="EI33" s="387">
        <f t="shared" si="79"/>
        <v>0</v>
      </c>
      <c r="EJ33" s="335">
        <f t="shared" si="80"/>
        <v>0</v>
      </c>
      <c r="EK33" s="350">
        <f t="shared" si="81"/>
        <v>0</v>
      </c>
      <c r="EL33" s="387">
        <f t="shared" si="82"/>
        <v>0</v>
      </c>
      <c r="EN33" s="337"/>
      <c r="EO33" s="267"/>
      <c r="EP33" s="64"/>
      <c r="EQ33" s="64"/>
      <c r="ER33" s="64"/>
      <c r="ES33" s="64"/>
      <c r="ET33" s="64"/>
      <c r="EU33" s="64"/>
      <c r="EV33" s="64"/>
      <c r="EW33" s="268"/>
      <c r="EY33" s="363">
        <v>5</v>
      </c>
      <c r="EZ33" s="346">
        <v>0</v>
      </c>
      <c r="FA33" s="347">
        <f t="shared" si="182"/>
        <v>0</v>
      </c>
      <c r="FB33" s="347">
        <f t="shared" si="183"/>
        <v>0</v>
      </c>
      <c r="FC33" s="33" t="e">
        <f t="shared" si="184"/>
        <v>#DIV/0!</v>
      </c>
      <c r="FD33" s="33" t="e">
        <f t="shared" si="185"/>
        <v>#DIV/0!</v>
      </c>
      <c r="FE33" s="308">
        <f t="shared" ref="FE33:FE52" ca="1" si="189">IFERROR(_xlfn.BETA.INV(RAND(),FC33,FD33),0)</f>
        <v>0</v>
      </c>
      <c r="FF33" s="364">
        <f t="shared" ref="FF33:FF52" si="190">MIN(1,FF32+IF(psa,FE33,EZ33))</f>
        <v>0</v>
      </c>
      <c r="FH33" s="324">
        <v>55</v>
      </c>
      <c r="FI33" s="406">
        <v>93982</v>
      </c>
      <c r="FJ33" s="347">
        <f t="shared" si="137"/>
        <v>0.93981999999999999</v>
      </c>
      <c r="FK33" s="388">
        <f t="shared" si="138"/>
        <v>0.8467778199999999</v>
      </c>
      <c r="FL33" s="347">
        <f t="shared" si="147"/>
        <v>0.1532221800000001</v>
      </c>
      <c r="FM33" s="396">
        <f t="shared" si="148"/>
        <v>3.2716243504585907E-2</v>
      </c>
      <c r="FN33" s="388">
        <f t="shared" si="139"/>
        <v>0.46521089999999998</v>
      </c>
      <c r="FO33" s="347">
        <f t="shared" si="149"/>
        <v>0.53478910000000002</v>
      </c>
      <c r="FP33" s="396">
        <f t="shared" si="150"/>
        <v>0.1419156596645651</v>
      </c>
    </row>
    <row r="34" spans="2:172" ht="15" customHeight="1" x14ac:dyDescent="0.2">
      <c r="Q34" s="10">
        <v>28</v>
      </c>
      <c r="R34" s="10">
        <f t="shared" si="2"/>
        <v>73</v>
      </c>
      <c r="S34" s="309">
        <f t="shared" si="26"/>
        <v>0.16945730438114182</v>
      </c>
      <c r="T34" s="309">
        <f t="shared" si="27"/>
        <v>0</v>
      </c>
      <c r="U34" s="309">
        <f t="shared" si="28"/>
        <v>1.6753343282910061E-4</v>
      </c>
      <c r="V34" s="235">
        <f t="shared" si="29"/>
        <v>1.4733837415640914E-2</v>
      </c>
      <c r="W34" s="235">
        <f t="shared" si="30"/>
        <v>5.3086888852334986E-2</v>
      </c>
      <c r="X34" s="309">
        <f t="shared" si="31"/>
        <v>1.4288050481098869E-5</v>
      </c>
      <c r="Y34" s="235">
        <f t="shared" si="32"/>
        <v>5.9804341239145112E-3</v>
      </c>
      <c r="Z34" s="235">
        <f t="shared" si="33"/>
        <v>3.8360175348877272E-3</v>
      </c>
      <c r="AA34" s="235">
        <f t="shared" si="34"/>
        <v>0.24959367723110235</v>
      </c>
      <c r="AB34" s="235">
        <f t="shared" si="35"/>
        <v>5.2554653365319117E-3</v>
      </c>
      <c r="AC34" s="235">
        <f t="shared" si="36"/>
        <v>1.9189690355610262E-2</v>
      </c>
      <c r="AD34" s="235">
        <f t="shared" si="37"/>
        <v>0.47868486328552545</v>
      </c>
      <c r="AE34" s="235">
        <f t="shared" si="38"/>
        <v>1</v>
      </c>
      <c r="AF34" s="101">
        <f t="shared" si="3"/>
        <v>0</v>
      </c>
      <c r="AG34" s="101">
        <f t="shared" si="4"/>
        <v>0.43273044122045623</v>
      </c>
      <c r="AH34" s="101">
        <f t="shared" si="5"/>
        <v>44.526371508306461</v>
      </c>
      <c r="AI34" s="101">
        <f t="shared" si="6"/>
        <v>217.61254492507072</v>
      </c>
      <c r="AJ34" s="101">
        <f t="shared" si="7"/>
        <v>357.16684694969052</v>
      </c>
      <c r="AK34" s="101">
        <f t="shared" si="39"/>
        <v>695.14071353043153</v>
      </c>
      <c r="AL34" s="235">
        <f t="shared" si="40"/>
        <v>7.0362555979925898E-2</v>
      </c>
      <c r="AM34" s="235">
        <f t="shared" si="8"/>
        <v>7.10597849700435E-5</v>
      </c>
      <c r="AN34" s="235">
        <f t="shared" si="9"/>
        <v>3.0643932986082409E-2</v>
      </c>
      <c r="AO34" s="235">
        <f t="shared" si="10"/>
        <v>1.1116084011751021E-3</v>
      </c>
      <c r="AP34" s="235">
        <f t="shared" si="11"/>
        <v>1.4425422037340019E-3</v>
      </c>
      <c r="AQ34" s="235">
        <f t="shared" si="12"/>
        <v>9.4403095824972985E-2</v>
      </c>
      <c r="AR34" s="101">
        <f t="shared" si="41"/>
        <v>1314.8792073547197</v>
      </c>
      <c r="AS34" s="235">
        <f t="shared" si="42"/>
        <v>0.19803479518086045</v>
      </c>
      <c r="AT34" s="235">
        <f t="shared" si="13"/>
        <v>0.22785472733375908</v>
      </c>
      <c r="AV34" s="10">
        <v>28</v>
      </c>
      <c r="AW34" s="10">
        <f t="shared" si="43"/>
        <v>73</v>
      </c>
      <c r="AX34" s="309">
        <f t="shared" si="44"/>
        <v>0.20849589615519118</v>
      </c>
      <c r="AY34" s="309">
        <f t="shared" si="45"/>
        <v>2.22646507968692E-5</v>
      </c>
      <c r="AZ34" s="309">
        <f t="shared" si="46"/>
        <v>2.22646507968692E-5</v>
      </c>
      <c r="BA34" s="235">
        <f t="shared" si="47"/>
        <v>2.4058759901918201E-3</v>
      </c>
      <c r="BB34" s="235">
        <f t="shared" si="48"/>
        <v>3.673556266071095E-3</v>
      </c>
      <c r="BC34" s="309">
        <f t="shared" si="49"/>
        <v>2.3100734448849368E-6</v>
      </c>
      <c r="BD34" s="235">
        <f t="shared" si="50"/>
        <v>3.8772163131899841E-3</v>
      </c>
      <c r="BE34" s="235">
        <f t="shared" si="51"/>
        <v>4.0977448414663232E-3</v>
      </c>
      <c r="BF34" s="235">
        <f t="shared" si="52"/>
        <v>0.26123122348158756</v>
      </c>
      <c r="BG34" s="235">
        <f t="shared" si="53"/>
        <v>5.6248336273469627E-3</v>
      </c>
      <c r="BH34" s="235">
        <f t="shared" si="54"/>
        <v>2.0684542658799154E-2</v>
      </c>
      <c r="BI34" s="235">
        <f t="shared" si="55"/>
        <v>0.48986227129111792</v>
      </c>
      <c r="BJ34" s="235">
        <f t="shared" si="56"/>
        <v>1.0000000000000007</v>
      </c>
      <c r="BK34" s="101">
        <f t="shared" si="14"/>
        <v>7.2526508988012786E-2</v>
      </c>
      <c r="BL34" s="101">
        <f t="shared" si="15"/>
        <v>5.7508474578783053E-2</v>
      </c>
      <c r="BM34" s="101">
        <f t="shared" si="16"/>
        <v>47.564357435273315</v>
      </c>
      <c r="BN34" s="101">
        <f t="shared" si="17"/>
        <v>232.90694202063392</v>
      </c>
      <c r="BO34" s="101">
        <f t="shared" si="18"/>
        <v>376.3242367918553</v>
      </c>
      <c r="BP34" s="101">
        <f t="shared" si="57"/>
        <v>735.23305913068702</v>
      </c>
      <c r="BQ34" s="235">
        <f t="shared" si="19"/>
        <v>8.6572273873825725E-2</v>
      </c>
      <c r="BR34" s="235">
        <f t="shared" si="20"/>
        <v>1.7939665032536089E-5</v>
      </c>
      <c r="BS34" s="235">
        <f t="shared" si="21"/>
        <v>4.1342286477356639E-3</v>
      </c>
      <c r="BT34" s="235">
        <f t="shared" si="22"/>
        <v>1.1874522340470013E-3</v>
      </c>
      <c r="BU34" s="235">
        <f t="shared" si="23"/>
        <v>1.5439279639097928E-3</v>
      </c>
      <c r="BV34" s="235">
        <f t="shared" si="24"/>
        <v>9.8993584515925437E-2</v>
      </c>
      <c r="BW34" s="101">
        <f t="shared" si="58"/>
        <v>1392.1586303620163</v>
      </c>
      <c r="BX34" s="235">
        <f t="shared" si="59"/>
        <v>0.19244940690047616</v>
      </c>
      <c r="BY34" s="235">
        <f t="shared" si="25"/>
        <v>0.22296934213381386</v>
      </c>
      <c r="CA34" s="23"/>
      <c r="CB34" s="21">
        <v>26</v>
      </c>
      <c r="CC34" t="str">
        <f>$M$81</f>
        <v>boc_cost_bc_last_64</v>
      </c>
      <c r="CD34" s="101">
        <f>$F$81</f>
        <v>86799.200000000012</v>
      </c>
      <c r="CE34" s="101">
        <f>$G$81</f>
        <v>130198.79999999999</v>
      </c>
      <c r="CF34" s="447">
        <v>-16378.033654794423</v>
      </c>
      <c r="CG34" s="447">
        <v>-17539.14815653774</v>
      </c>
      <c r="CH34" s="266">
        <f t="shared" si="151"/>
        <v>1161.1145017433173</v>
      </c>
      <c r="CJ34" s="10">
        <v>26</v>
      </c>
      <c r="CK34" s="450">
        <v>2.4E-2</v>
      </c>
      <c r="CL34" s="450">
        <v>0</v>
      </c>
      <c r="CM34" s="450">
        <v>2.4E-2</v>
      </c>
      <c r="CN34" s="450">
        <v>0</v>
      </c>
      <c r="CO34" s="451">
        <v>0.39508219392499172</v>
      </c>
      <c r="CP34" s="451">
        <v>0.60169231430653514</v>
      </c>
      <c r="CQ34" s="451">
        <v>0.10982179684505665</v>
      </c>
      <c r="CR34" s="451">
        <v>0.13534477414528462</v>
      </c>
      <c r="CS34" s="451">
        <v>22.04701617332401</v>
      </c>
      <c r="CT34" s="451">
        <v>21.284059827099963</v>
      </c>
      <c r="CU34" s="234">
        <v>0.76295634622404762</v>
      </c>
      <c r="CX34" s="377">
        <v>26</v>
      </c>
      <c r="CY34" s="335">
        <f t="shared" si="60"/>
        <v>5.5199999999999997E-4</v>
      </c>
      <c r="CZ34" s="338">
        <v>5.5199999999999997E-4</v>
      </c>
      <c r="DA34" s="345">
        <f t="shared" si="61"/>
        <v>2.7118588614782557E-2</v>
      </c>
      <c r="DB34" s="387">
        <f t="shared" si="62"/>
        <v>5.4205006324653415E-2</v>
      </c>
      <c r="DC34" s="114">
        <f t="shared" si="91"/>
        <v>5.8826291794038532E-3</v>
      </c>
      <c r="DD34" s="378">
        <f t="shared" si="92"/>
        <v>0</v>
      </c>
      <c r="DE34" s="378">
        <f t="shared" si="63"/>
        <v>4.1249222483261388E-3</v>
      </c>
      <c r="DF34" s="340">
        <f t="shared" si="93"/>
        <v>0</v>
      </c>
      <c r="DG34" s="378">
        <f t="shared" si="94"/>
        <v>0</v>
      </c>
      <c r="DH34" s="378">
        <f t="shared" si="64"/>
        <v>0</v>
      </c>
      <c r="DI34" s="340">
        <f>DI33+(DI38-DI28)/10</f>
        <v>2.4E-2</v>
      </c>
      <c r="DJ34" s="349">
        <f t="shared" ref="DJ34" si="191">DJ33+(DJ38-DJ28)/10</f>
        <v>2.4E-2</v>
      </c>
      <c r="DK34" s="350">
        <f t="shared" si="65"/>
        <v>2.4E-2</v>
      </c>
      <c r="DL34" s="345">
        <f t="shared" ref="DL34" si="192">DL33+(DL38-DL28)/10</f>
        <v>0</v>
      </c>
      <c r="DM34" s="349">
        <f t="shared" ref="DM34" si="193">DM33+(DM38-DM28)/10</f>
        <v>0</v>
      </c>
      <c r="DN34" s="396">
        <f t="shared" si="66"/>
        <v>0</v>
      </c>
      <c r="DO34" s="335">
        <f t="shared" si="103"/>
        <v>2.0799999999999985E-2</v>
      </c>
      <c r="DP34" s="350">
        <f t="shared" si="104"/>
        <v>2.0999999999999998E-2</v>
      </c>
      <c r="DQ34" s="349">
        <f t="shared" si="67"/>
        <v>2.0859759229333426E-2</v>
      </c>
      <c r="DR34" s="335">
        <f t="shared" si="105"/>
        <v>3.0600000000000002E-2</v>
      </c>
      <c r="DS34" s="350">
        <f t="shared" si="106"/>
        <v>5.0000000000000001E-3</v>
      </c>
      <c r="DT34" s="349">
        <f t="shared" si="68"/>
        <v>2.295081864532051E-2</v>
      </c>
      <c r="DU34" s="335">
        <f>DU33+(DU38-DU33)/5</f>
        <v>0.1588</v>
      </c>
      <c r="DV34" s="350">
        <f>DV33+(DV38-DV33)/5</f>
        <v>6.3E-2</v>
      </c>
      <c r="DW34" s="350">
        <f t="shared" si="69"/>
        <v>0.13017532914928534</v>
      </c>
      <c r="DX34" s="335">
        <f>DX33+(DX38-DX33)/5</f>
        <v>6.5600000000000006E-2</v>
      </c>
      <c r="DY34" s="350">
        <f>DY33+(DY38-DY33)/5</f>
        <v>5.0000000000000001E-3</v>
      </c>
      <c r="DZ34" s="396">
        <f t="shared" si="70"/>
        <v>4.7492953511969638E-2</v>
      </c>
      <c r="EA34" s="350">
        <f t="shared" si="71"/>
        <v>0</v>
      </c>
      <c r="EB34" s="350">
        <f t="shared" si="72"/>
        <v>0</v>
      </c>
      <c r="EC34" s="349">
        <f t="shared" si="73"/>
        <v>0</v>
      </c>
      <c r="ED34" s="335">
        <f t="shared" si="74"/>
        <v>3.7101005066195736E-3</v>
      </c>
      <c r="EE34" s="350">
        <f t="shared" si="75"/>
        <v>0</v>
      </c>
      <c r="EF34" s="387">
        <f t="shared" si="76"/>
        <v>2.6015367714937385E-3</v>
      </c>
      <c r="EG34" s="335">
        <f t="shared" si="77"/>
        <v>0</v>
      </c>
      <c r="EH34" s="350">
        <f t="shared" si="78"/>
        <v>0</v>
      </c>
      <c r="EI34" s="387">
        <f t="shared" si="79"/>
        <v>0</v>
      </c>
      <c r="EJ34" s="335">
        <f t="shared" si="80"/>
        <v>0</v>
      </c>
      <c r="EK34" s="350">
        <f t="shared" si="81"/>
        <v>0</v>
      </c>
      <c r="EL34" s="387">
        <f t="shared" si="82"/>
        <v>0</v>
      </c>
      <c r="EN34" s="337"/>
      <c r="EO34" s="351" t="s">
        <v>378</v>
      </c>
      <c r="EP34" s="20"/>
      <c r="EQ34" s="19"/>
      <c r="ER34" s="19"/>
      <c r="ES34" s="19"/>
      <c r="ET34" s="19"/>
      <c r="EU34" s="19"/>
      <c r="EV34" s="19"/>
      <c r="EW34" s="334"/>
      <c r="EY34" s="363">
        <v>10</v>
      </c>
      <c r="EZ34" s="346">
        <v>0</v>
      </c>
      <c r="FA34" s="347">
        <f t="shared" si="182"/>
        <v>0</v>
      </c>
      <c r="FB34" s="347">
        <f t="shared" si="183"/>
        <v>0</v>
      </c>
      <c r="FC34" s="33" t="e">
        <f t="shared" si="184"/>
        <v>#DIV/0!</v>
      </c>
      <c r="FD34" s="33" t="e">
        <f t="shared" si="185"/>
        <v>#DIV/0!</v>
      </c>
      <c r="FE34" s="308">
        <f t="shared" ca="1" si="189"/>
        <v>0</v>
      </c>
      <c r="FF34" s="364">
        <f t="shared" si="190"/>
        <v>0</v>
      </c>
      <c r="FH34" s="324">
        <v>60</v>
      </c>
      <c r="FI34" s="406">
        <v>91413</v>
      </c>
      <c r="FJ34" s="347">
        <f t="shared" si="137"/>
        <v>0.91413</v>
      </c>
      <c r="FK34" s="388">
        <f t="shared" si="138"/>
        <v>0.82363112999999988</v>
      </c>
      <c r="FL34" s="347">
        <f t="shared" si="147"/>
        <v>0.17636887000000012</v>
      </c>
      <c r="FM34" s="396">
        <f t="shared" si="148"/>
        <v>3.8063175445049779E-2</v>
      </c>
      <c r="FN34" s="388">
        <f t="shared" si="139"/>
        <v>0.45249434999999999</v>
      </c>
      <c r="FO34" s="347">
        <f t="shared" si="149"/>
        <v>0.54750564999999995</v>
      </c>
      <c r="FP34" s="396">
        <f t="shared" si="150"/>
        <v>0.14665896124090361</v>
      </c>
    </row>
    <row r="35" spans="2:172" ht="15" customHeight="1" x14ac:dyDescent="0.25">
      <c r="B35" s="78" t="s">
        <v>237</v>
      </c>
      <c r="M35" s="413"/>
      <c r="N35" s="413"/>
      <c r="Q35" s="10">
        <v>29</v>
      </c>
      <c r="R35" s="10">
        <f t="shared" si="2"/>
        <v>74</v>
      </c>
      <c r="S35" s="309">
        <f t="shared" si="26"/>
        <v>0.15822220020679562</v>
      </c>
      <c r="T35" s="309">
        <f t="shared" si="27"/>
        <v>0</v>
      </c>
      <c r="U35" s="309">
        <f t="shared" si="28"/>
        <v>1.5676413230334828E-4</v>
      </c>
      <c r="V35" s="235">
        <f t="shared" si="29"/>
        <v>1.4025716144126099E-2</v>
      </c>
      <c r="W35" s="235">
        <f t="shared" si="30"/>
        <v>5.1213860624508847E-2</v>
      </c>
      <c r="X35" s="309">
        <f t="shared" si="31"/>
        <v>1.3630201698278615E-5</v>
      </c>
      <c r="Y35" s="235">
        <f t="shared" si="32"/>
        <v>5.8228819504699981E-3</v>
      </c>
      <c r="Z35" s="235">
        <f t="shared" si="33"/>
        <v>3.6060130231105967E-3</v>
      </c>
      <c r="AA35" s="235">
        <f t="shared" si="34"/>
        <v>0.23977028349269017</v>
      </c>
      <c r="AB35" s="235">
        <f t="shared" si="35"/>
        <v>4.9370415994273633E-3</v>
      </c>
      <c r="AC35" s="235">
        <f t="shared" si="36"/>
        <v>1.9475275848752107E-2</v>
      </c>
      <c r="AD35" s="235">
        <f t="shared" si="37"/>
        <v>0.50275633277611764</v>
      </c>
      <c r="AE35" s="235">
        <f t="shared" si="38"/>
        <v>1</v>
      </c>
      <c r="AF35" s="101">
        <f t="shared" si="3"/>
        <v>0</v>
      </c>
      <c r="AG35" s="101">
        <f t="shared" si="4"/>
        <v>0.39312027081672091</v>
      </c>
      <c r="AH35" s="101">
        <f t="shared" si="5"/>
        <v>40.637481797362362</v>
      </c>
      <c r="AI35" s="101">
        <f t="shared" si="6"/>
        <v>198.47340197870545</v>
      </c>
      <c r="AJ35" s="101">
        <f t="shared" si="7"/>
        <v>337.33285859116103</v>
      </c>
      <c r="AK35" s="101">
        <f t="shared" si="39"/>
        <v>661.26527516717726</v>
      </c>
      <c r="AL35" s="235">
        <f t="shared" si="40"/>
        <v>6.3783964338421276E-2</v>
      </c>
      <c r="AM35" s="235">
        <f t="shared" si="8"/>
        <v>6.4436931678635395E-5</v>
      </c>
      <c r="AN35" s="235">
        <f t="shared" si="9"/>
        <v>2.8647341060962232E-2</v>
      </c>
      <c r="AO35" s="235">
        <f t="shared" si="10"/>
        <v>1.0145216113134484E-3</v>
      </c>
      <c r="AP35" s="235">
        <f t="shared" si="11"/>
        <v>1.3156698239594983E-3</v>
      </c>
      <c r="AQ35" s="235">
        <f t="shared" si="12"/>
        <v>8.8364243518445143E-2</v>
      </c>
      <c r="AR35" s="101">
        <f t="shared" si="41"/>
        <v>1238.1021378052228</v>
      </c>
      <c r="AS35" s="235">
        <f t="shared" si="42"/>
        <v>0.18319017728478024</v>
      </c>
      <c r="AT35" s="235">
        <f t="shared" si="13"/>
        <v>0.21100354136385449</v>
      </c>
      <c r="AV35" s="10">
        <v>29</v>
      </c>
      <c r="AW35" s="10">
        <f t="shared" si="43"/>
        <v>74</v>
      </c>
      <c r="AX35" s="309">
        <f t="shared" si="44"/>
        <v>0.19482369315428655</v>
      </c>
      <c r="AY35" s="309">
        <f t="shared" si="45"/>
        <v>2.0849589615519118E-5</v>
      </c>
      <c r="AZ35" s="309">
        <f t="shared" si="46"/>
        <v>2.0849589615519118E-5</v>
      </c>
      <c r="BA35" s="235">
        <f t="shared" si="47"/>
        <v>2.312512110740822E-3</v>
      </c>
      <c r="BB35" s="235">
        <f t="shared" si="48"/>
        <v>3.5546162194961613E-3</v>
      </c>
      <c r="BC35" s="309">
        <f t="shared" si="49"/>
        <v>2.2256642368368249E-6</v>
      </c>
      <c r="BD35" s="235">
        <f t="shared" si="50"/>
        <v>3.7681194710729431E-3</v>
      </c>
      <c r="BE35" s="235">
        <f t="shared" si="51"/>
        <v>3.8385346912625249E-3</v>
      </c>
      <c r="BF35" s="235">
        <f t="shared" si="52"/>
        <v>0.25102820729979858</v>
      </c>
      <c r="BG35" s="235">
        <f t="shared" si="53"/>
        <v>5.270763278776105E-3</v>
      </c>
      <c r="BH35" s="235">
        <f t="shared" si="54"/>
        <v>2.0960486692503121E-2</v>
      </c>
      <c r="BI35" s="235">
        <f t="shared" si="55"/>
        <v>0.51439914223859595</v>
      </c>
      <c r="BJ35" s="235">
        <f t="shared" si="56"/>
        <v>1.0000000000000007</v>
      </c>
      <c r="BK35" s="101">
        <f t="shared" si="14"/>
        <v>6.593882014612315E-2</v>
      </c>
      <c r="BL35" s="101">
        <f t="shared" si="15"/>
        <v>5.2284895757977561E-2</v>
      </c>
      <c r="BM35" s="101">
        <f t="shared" si="16"/>
        <v>43.257853658600233</v>
      </c>
      <c r="BN35" s="101">
        <f t="shared" si="17"/>
        <v>211.88930615542415</v>
      </c>
      <c r="BO35" s="101">
        <f t="shared" si="18"/>
        <v>355.48403422632549</v>
      </c>
      <c r="BP35" s="101">
        <f t="shared" si="57"/>
        <v>699.40626512315032</v>
      </c>
      <c r="BQ35" s="235">
        <f t="shared" si="19"/>
        <v>7.8539089206135435E-2</v>
      </c>
      <c r="BR35" s="235">
        <f t="shared" si="20"/>
        <v>1.6309179359820828E-5</v>
      </c>
      <c r="BS35" s="235">
        <f t="shared" si="21"/>
        <v>3.8842482366403621E-3</v>
      </c>
      <c r="BT35" s="235">
        <f t="shared" si="22"/>
        <v>1.0799396383496614E-3</v>
      </c>
      <c r="BU35" s="235">
        <f t="shared" si="23"/>
        <v>1.4046031526094237E-3</v>
      </c>
      <c r="BV35" s="235">
        <f t="shared" si="24"/>
        <v>9.2687598869814702E-2</v>
      </c>
      <c r="BW35" s="101">
        <f t="shared" si="58"/>
        <v>1310.1556828794041</v>
      </c>
      <c r="BX35" s="235">
        <f t="shared" si="59"/>
        <v>0.17761178828290941</v>
      </c>
      <c r="BY35" s="235">
        <f t="shared" si="25"/>
        <v>0.2060629575214839</v>
      </c>
      <c r="CA35" s="23"/>
      <c r="CB35" s="21">
        <v>27</v>
      </c>
      <c r="CC35" t="str">
        <f>$M$82</f>
        <v>boc_cost_oc_initial_64</v>
      </c>
      <c r="CD35" s="101">
        <f>$F$82</f>
        <v>90945.600000000006</v>
      </c>
      <c r="CE35" s="101">
        <f>$G$82</f>
        <v>136418.4</v>
      </c>
      <c r="CF35" s="447">
        <v>-16398.730426356429</v>
      </c>
      <c r="CG35" s="447">
        <v>-17518.451384976157</v>
      </c>
      <c r="CH35" s="266">
        <f t="shared" si="151"/>
        <v>1119.7209586197278</v>
      </c>
      <c r="CJ35" s="10">
        <v>27</v>
      </c>
      <c r="CK35" s="450">
        <v>2.8000000000000001E-2</v>
      </c>
      <c r="CL35" s="450">
        <v>0</v>
      </c>
      <c r="CM35" s="450">
        <v>2.8000000000000001E-2</v>
      </c>
      <c r="CN35" s="450">
        <v>0</v>
      </c>
      <c r="CO35" s="451">
        <v>0.40094108055382432</v>
      </c>
      <c r="CP35" s="451">
        <v>0.59781331155241879</v>
      </c>
      <c r="CQ35" s="451">
        <v>0.10932971572687224</v>
      </c>
      <c r="CR35" s="451">
        <v>0.13541513887333687</v>
      </c>
      <c r="CS35" s="451">
        <v>21.771272533187197</v>
      </c>
      <c r="CT35" s="451">
        <v>21.019901251968189</v>
      </c>
      <c r="CU35" s="234">
        <v>0.75137128121900787</v>
      </c>
      <c r="CX35" s="377">
        <v>27</v>
      </c>
      <c r="CY35" s="335">
        <f t="shared" si="60"/>
        <v>5.8200000000000005E-4</v>
      </c>
      <c r="CZ35" s="338">
        <v>5.8200000000000005E-4</v>
      </c>
      <c r="DA35" s="345">
        <f t="shared" si="61"/>
        <v>2.7118588614782557E-2</v>
      </c>
      <c r="DB35" s="387">
        <f t="shared" si="62"/>
        <v>5.4205006324653415E-2</v>
      </c>
      <c r="DC35" s="114">
        <f t="shared" si="91"/>
        <v>5.8826291794038532E-3</v>
      </c>
      <c r="DD35" s="378">
        <f t="shared" si="92"/>
        <v>0</v>
      </c>
      <c r="DE35" s="378">
        <f t="shared" si="63"/>
        <v>4.1249222483261388E-3</v>
      </c>
      <c r="DF35" s="340">
        <f t="shared" si="93"/>
        <v>0</v>
      </c>
      <c r="DG35" s="378">
        <f t="shared" si="94"/>
        <v>0</v>
      </c>
      <c r="DH35" s="378">
        <f t="shared" si="64"/>
        <v>0</v>
      </c>
      <c r="DI35" s="340">
        <f>DI34+(DI38-DI28)/10</f>
        <v>2.8000000000000001E-2</v>
      </c>
      <c r="DJ35" s="349">
        <f t="shared" ref="DJ35" si="194">DJ34+(DJ38-DJ28)/10</f>
        <v>2.8000000000000001E-2</v>
      </c>
      <c r="DK35" s="350">
        <f t="shared" si="65"/>
        <v>2.8000000000000001E-2</v>
      </c>
      <c r="DL35" s="345">
        <f t="shared" ref="DL35" si="195">DL34+(DL38-DL28)/10</f>
        <v>0</v>
      </c>
      <c r="DM35" s="349">
        <f t="shared" ref="DM35" si="196">DM34+(DM38-DM28)/10</f>
        <v>0</v>
      </c>
      <c r="DN35" s="396">
        <f t="shared" si="66"/>
        <v>0</v>
      </c>
      <c r="DO35" s="335">
        <f t="shared" si="103"/>
        <v>2.0799999999999985E-2</v>
      </c>
      <c r="DP35" s="350">
        <f t="shared" si="104"/>
        <v>2.0999999999999991E-2</v>
      </c>
      <c r="DQ35" s="349">
        <f t="shared" si="67"/>
        <v>2.0859759229333422E-2</v>
      </c>
      <c r="DR35" s="335">
        <f t="shared" si="105"/>
        <v>3.0600000000000002E-2</v>
      </c>
      <c r="DS35" s="350">
        <f t="shared" si="106"/>
        <v>5.0000000000000001E-3</v>
      </c>
      <c r="DT35" s="349">
        <f t="shared" si="68"/>
        <v>2.295081864532051E-2</v>
      </c>
      <c r="DU35" s="335">
        <f>DU34+(DU38-DU33)/5</f>
        <v>0.17959999999999998</v>
      </c>
      <c r="DV35" s="350">
        <f>DV34+(DV38-DV33)/5</f>
        <v>8.3999999999999991E-2</v>
      </c>
      <c r="DW35" s="350">
        <f t="shared" si="69"/>
        <v>0.15103508837861876</v>
      </c>
      <c r="DX35" s="335">
        <f>DX34+(DX38-DX33)/5</f>
        <v>9.6200000000000008E-2</v>
      </c>
      <c r="DY35" s="350">
        <f>DY34+(DY38-DY33)/5</f>
        <v>0.01</v>
      </c>
      <c r="DZ35" s="396">
        <f t="shared" si="70"/>
        <v>7.0443772157290141E-2</v>
      </c>
      <c r="EA35" s="350">
        <f t="shared" si="71"/>
        <v>0</v>
      </c>
      <c r="EB35" s="350">
        <f t="shared" si="72"/>
        <v>0</v>
      </c>
      <c r="EC35" s="349">
        <f t="shared" si="73"/>
        <v>0</v>
      </c>
      <c r="ED35" s="335">
        <f t="shared" si="74"/>
        <v>3.7101005066195736E-3</v>
      </c>
      <c r="EE35" s="350">
        <f t="shared" si="75"/>
        <v>0</v>
      </c>
      <c r="EF35" s="387">
        <f t="shared" si="76"/>
        <v>2.6015367714937385E-3</v>
      </c>
      <c r="EG35" s="335">
        <f t="shared" si="77"/>
        <v>0</v>
      </c>
      <c r="EH35" s="350">
        <f t="shared" si="78"/>
        <v>0</v>
      </c>
      <c r="EI35" s="387">
        <f t="shared" si="79"/>
        <v>0</v>
      </c>
      <c r="EJ35" s="335">
        <f t="shared" si="80"/>
        <v>0</v>
      </c>
      <c r="EK35" s="350">
        <f t="shared" si="81"/>
        <v>0</v>
      </c>
      <c r="EL35" s="387">
        <f t="shared" si="82"/>
        <v>0</v>
      </c>
      <c r="EN35" s="337"/>
      <c r="EO35" s="318" t="s">
        <v>160</v>
      </c>
      <c r="EP35" s="315" t="s">
        <v>159</v>
      </c>
      <c r="EQ35" s="315" t="s">
        <v>243</v>
      </c>
      <c r="ER35" s="315" t="s">
        <v>79</v>
      </c>
      <c r="ES35" s="315" t="s">
        <v>81</v>
      </c>
      <c r="ET35" s="315" t="s">
        <v>162</v>
      </c>
      <c r="EU35" s="315" t="s">
        <v>21</v>
      </c>
      <c r="EV35" s="315" t="s">
        <v>163</v>
      </c>
      <c r="EW35" s="316" t="s">
        <v>247</v>
      </c>
      <c r="EY35" s="363">
        <v>15</v>
      </c>
      <c r="EZ35" s="346">
        <v>0</v>
      </c>
      <c r="FA35" s="347">
        <f t="shared" si="182"/>
        <v>0</v>
      </c>
      <c r="FB35" s="347">
        <f t="shared" si="183"/>
        <v>0</v>
      </c>
      <c r="FC35" s="33" t="e">
        <f t="shared" si="184"/>
        <v>#DIV/0!</v>
      </c>
      <c r="FD35" s="33" t="e">
        <f t="shared" si="185"/>
        <v>#DIV/0!</v>
      </c>
      <c r="FE35" s="308">
        <f t="shared" ca="1" si="189"/>
        <v>0</v>
      </c>
      <c r="FF35" s="364">
        <f t="shared" si="190"/>
        <v>0</v>
      </c>
      <c r="FH35" s="324">
        <v>65</v>
      </c>
      <c r="FI35" s="406">
        <v>87907</v>
      </c>
      <c r="FJ35" s="347">
        <f t="shared" si="137"/>
        <v>0.87907000000000002</v>
      </c>
      <c r="FK35" s="388">
        <f t="shared" si="138"/>
        <v>0.80346998000000003</v>
      </c>
      <c r="FL35" s="347">
        <f t="shared" si="147"/>
        <v>0.19653001999999997</v>
      </c>
      <c r="FM35" s="396">
        <f t="shared" si="148"/>
        <v>4.2819304864982421E-2</v>
      </c>
      <c r="FN35" s="388">
        <f t="shared" si="139"/>
        <v>0.34020009000000001</v>
      </c>
      <c r="FO35" s="347">
        <f t="shared" si="149"/>
        <v>0.65979991000000004</v>
      </c>
      <c r="FP35" s="396">
        <f t="shared" si="150"/>
        <v>0.19397802041764189</v>
      </c>
    </row>
    <row r="36" spans="2:172" ht="15" customHeight="1" x14ac:dyDescent="0.2">
      <c r="B36" s="15" t="s">
        <v>207</v>
      </c>
      <c r="C36" s="235">
        <f>IF(psa,J36,IF(owsa_low=L36,F36,IF(owsa_high=L36,G36,IF(ISNUMBER(D36),D36,E36))))</f>
        <v>0.70120385333283231</v>
      </c>
      <c r="D36" s="332">
        <f>E36/SUM($E$36:$E$37)</f>
        <v>0.70120385333283231</v>
      </c>
      <c r="E36" s="235">
        <f>FP48/SUM($FP$48:$FP$50)</f>
        <v>0.53315109201916377</v>
      </c>
      <c r="F36" s="331">
        <f>IF(ISNUMBER(D36),D36,E36)*(1-owsa_boc)</f>
        <v>0.56096308266626582</v>
      </c>
      <c r="G36" s="331">
        <f>MIN(1,IF(ISNUMBER(D36),D36,E36)*(1+owsa_boc))</f>
        <v>0.84144462399939879</v>
      </c>
      <c r="H36" s="33">
        <f t="shared" ref="H36" si="197">IF(ISNUMBER(D36),D36,E36)^2*(1-IF(ISNUMBER(D36),D36,E36))/((G36-F36)/(2*z))^2-IF(ISNUMBER(D36),D36,E36)</f>
        <v>27.994123476767317</v>
      </c>
      <c r="I36" s="33">
        <f t="shared" ref="I36" si="198">(IF(ISNUMBER(D36),D36,E36)^2*(1-IF(ISNUMBER(D36),D36,E36))/((G36-F36)/(2*z))^2-IF(ISNUMBER(D36),D36,E36))*(1-IF(ISNUMBER(D36),D36,E36))/IF(ISNUMBER(D36),D36,E36)</f>
        <v>11.92882238799203</v>
      </c>
      <c r="J36" s="23">
        <f ca="1">IFERROR(_xlfn.BETA.INV(RAND(),H36,I36),0)</f>
        <v>0.84810145267105586</v>
      </c>
      <c r="K36" s="10" t="s">
        <v>49</v>
      </c>
      <c r="L36" s="10">
        <v>1</v>
      </c>
      <c r="M36" s="393" t="s">
        <v>338</v>
      </c>
      <c r="N36" s="413" t="s">
        <v>348</v>
      </c>
      <c r="Q36" s="10">
        <v>30</v>
      </c>
      <c r="R36" s="10">
        <f t="shared" si="2"/>
        <v>75</v>
      </c>
      <c r="S36" s="309">
        <f t="shared" si="26"/>
        <v>0.14738279267185869</v>
      </c>
      <c r="T36" s="309">
        <f t="shared" si="27"/>
        <v>0</v>
      </c>
      <c r="U36" s="309">
        <f t="shared" si="28"/>
        <v>1.4637059179672374E-4</v>
      </c>
      <c r="V36" s="235">
        <f t="shared" si="29"/>
        <v>1.3320673052359787E-2</v>
      </c>
      <c r="W36" s="235">
        <f t="shared" si="30"/>
        <v>4.928902984093271E-2</v>
      </c>
      <c r="X36" s="309">
        <f t="shared" si="31"/>
        <v>1.2975122136497918E-5</v>
      </c>
      <c r="Y36" s="235">
        <f t="shared" si="32"/>
        <v>5.6563478905636714E-3</v>
      </c>
      <c r="Z36" s="235">
        <f t="shared" si="33"/>
        <v>3.3829124081615407E-3</v>
      </c>
      <c r="AA36" s="235">
        <f t="shared" si="34"/>
        <v>0.22380281613586808</v>
      </c>
      <c r="AB36" s="235">
        <f t="shared" si="35"/>
        <v>4.6283640503528272E-3</v>
      </c>
      <c r="AC36" s="235">
        <f t="shared" si="36"/>
        <v>1.6874149939798095E-2</v>
      </c>
      <c r="AD36" s="235">
        <f t="shared" si="37"/>
        <v>0.53550356829617141</v>
      </c>
      <c r="AE36" s="235">
        <f t="shared" si="38"/>
        <v>1</v>
      </c>
      <c r="AF36" s="101">
        <f t="shared" si="3"/>
        <v>0</v>
      </c>
      <c r="AG36" s="101">
        <f t="shared" si="4"/>
        <v>0.35636524263897201</v>
      </c>
      <c r="AH36" s="101">
        <f t="shared" si="5"/>
        <v>37.012892462146176</v>
      </c>
      <c r="AI36" s="101">
        <f t="shared" si="6"/>
        <v>180.64494543901532</v>
      </c>
      <c r="AJ36" s="101">
        <f t="shared" si="7"/>
        <v>300.56768525028286</v>
      </c>
      <c r="AK36" s="101">
        <f t="shared" si="39"/>
        <v>939.6617658011445</v>
      </c>
      <c r="AL36" s="235">
        <f t="shared" si="40"/>
        <v>5.7683771203219616E-2</v>
      </c>
      <c r="AM36" s="235">
        <f t="shared" si="8"/>
        <v>5.8302094295224561E-5</v>
      </c>
      <c r="AN36" s="235">
        <f t="shared" si="9"/>
        <v>2.671847359501978E-2</v>
      </c>
      <c r="AO36" s="235">
        <f t="shared" si="10"/>
        <v>9.2403312506694724E-4</v>
      </c>
      <c r="AP36" s="235">
        <f t="shared" si="11"/>
        <v>1.1974859159738812E-3</v>
      </c>
      <c r="AQ36" s="235">
        <f t="shared" si="12"/>
        <v>7.9690462536547726E-2</v>
      </c>
      <c r="AR36" s="101">
        <f t="shared" si="41"/>
        <v>1458.2436541952279</v>
      </c>
      <c r="AS36" s="235">
        <f t="shared" si="42"/>
        <v>0.16627252847012319</v>
      </c>
      <c r="AT36" s="235">
        <f t="shared" si="13"/>
        <v>0.19136637970436213</v>
      </c>
      <c r="AV36" s="10">
        <v>30</v>
      </c>
      <c r="AW36" s="10">
        <f t="shared" si="43"/>
        <v>75</v>
      </c>
      <c r="AX36" s="309">
        <f t="shared" si="44"/>
        <v>0.18161807452274442</v>
      </c>
      <c r="AY36" s="309">
        <f t="shared" si="45"/>
        <v>1.9482369315428656E-5</v>
      </c>
      <c r="AZ36" s="309">
        <f t="shared" si="46"/>
        <v>1.9482369315428656E-5</v>
      </c>
      <c r="BA36" s="235">
        <f t="shared" si="47"/>
        <v>2.2171166065907324E-3</v>
      </c>
      <c r="BB36" s="235">
        <f t="shared" si="48"/>
        <v>3.4309879087898098E-3</v>
      </c>
      <c r="BC36" s="309">
        <f t="shared" si="49"/>
        <v>2.139293763731185E-6</v>
      </c>
      <c r="BD36" s="235">
        <f t="shared" si="50"/>
        <v>3.6537567400927009E-3</v>
      </c>
      <c r="BE36" s="235">
        <f t="shared" si="51"/>
        <v>3.5880047214669883E-3</v>
      </c>
      <c r="BF36" s="235">
        <f t="shared" si="52"/>
        <v>0.23436914528473796</v>
      </c>
      <c r="BG36" s="235">
        <f t="shared" si="53"/>
        <v>4.9284249572375018E-3</v>
      </c>
      <c r="BH36" s="235">
        <f t="shared" si="54"/>
        <v>1.8131422633810578E-2</v>
      </c>
      <c r="BI36" s="235">
        <f t="shared" si="55"/>
        <v>0.54802196259213531</v>
      </c>
      <c r="BJ36" s="235">
        <f t="shared" si="56"/>
        <v>1.0000000000000004</v>
      </c>
      <c r="BK36" s="101">
        <f t="shared" si="14"/>
        <v>5.9820247821507647E-2</v>
      </c>
      <c r="BL36" s="101">
        <f t="shared" si="15"/>
        <v>4.7433293690011577E-2</v>
      </c>
      <c r="BM36" s="101">
        <f t="shared" si="16"/>
        <v>39.256834610595931</v>
      </c>
      <c r="BN36" s="101">
        <f t="shared" si="17"/>
        <v>192.35631592821255</v>
      </c>
      <c r="BO36" s="101">
        <f t="shared" si="18"/>
        <v>316.56993424844313</v>
      </c>
      <c r="BP36" s="101">
        <f t="shared" si="57"/>
        <v>993.75315951036521</v>
      </c>
      <c r="BQ36" s="235">
        <f t="shared" si="19"/>
        <v>7.1083029892536759E-2</v>
      </c>
      <c r="BR36" s="235">
        <f t="shared" si="20"/>
        <v>1.4794880939497383E-5</v>
      </c>
      <c r="BS36" s="235">
        <f t="shared" si="21"/>
        <v>3.6406314923035374E-3</v>
      </c>
      <c r="BT36" s="235">
        <f t="shared" si="22"/>
        <v>9.8005352060944774E-4</v>
      </c>
      <c r="BU36" s="235">
        <f t="shared" si="23"/>
        <v>1.2751199797639491E-3</v>
      </c>
      <c r="BV36" s="235">
        <f t="shared" si="24"/>
        <v>8.3589489964609534E-2</v>
      </c>
      <c r="BW36" s="101">
        <f t="shared" si="58"/>
        <v>1542.0434978391283</v>
      </c>
      <c r="BX36" s="235">
        <f t="shared" si="59"/>
        <v>0.16058311973076272</v>
      </c>
      <c r="BY36" s="235">
        <f t="shared" si="25"/>
        <v>0.18620896700402575</v>
      </c>
      <c r="CA36" s="23"/>
      <c r="CB36" s="21">
        <v>3</v>
      </c>
      <c r="CC36" t="str">
        <f>$M$38</f>
        <v>boc_mut_other</v>
      </c>
      <c r="CD36" s="23">
        <f>$F$38</f>
        <v>0</v>
      </c>
      <c r="CE36" s="23">
        <f>$G$38</f>
        <v>0</v>
      </c>
      <c r="CF36" s="447">
        <v>-17441.769436578368</v>
      </c>
      <c r="CG36" s="447">
        <v>-16475.412374754214</v>
      </c>
      <c r="CH36" s="266">
        <f t="shared" si="151"/>
        <v>966.35706182415379</v>
      </c>
      <c r="CJ36" s="10">
        <v>28</v>
      </c>
      <c r="CK36" s="450">
        <v>3.2000000000000001E-2</v>
      </c>
      <c r="CL36" s="450">
        <v>0</v>
      </c>
      <c r="CM36" s="450">
        <v>3.2000000000000001E-2</v>
      </c>
      <c r="CN36" s="450">
        <v>0</v>
      </c>
      <c r="CO36" s="451">
        <v>0.40699369063257901</v>
      </c>
      <c r="CP36" s="451">
        <v>0.59396256696581284</v>
      </c>
      <c r="CQ36" s="451">
        <v>0.10879976828086507</v>
      </c>
      <c r="CR36" s="451">
        <v>0.13548751375736068</v>
      </c>
      <c r="CS36" s="451">
        <v>21.487768547293243</v>
      </c>
      <c r="CT36" s="451">
        <v>20.749849142834812</v>
      </c>
      <c r="CU36" s="234">
        <v>0.73791940445843096</v>
      </c>
      <c r="CX36" s="377">
        <v>28</v>
      </c>
      <c r="CY36" s="335">
        <f t="shared" si="60"/>
        <v>6.1300000000000005E-4</v>
      </c>
      <c r="CZ36" s="338">
        <v>6.1300000000000005E-4</v>
      </c>
      <c r="DA36" s="345">
        <f t="shared" si="61"/>
        <v>2.7118588614782557E-2</v>
      </c>
      <c r="DB36" s="387">
        <f t="shared" si="62"/>
        <v>5.4205006324653415E-2</v>
      </c>
      <c r="DC36" s="114">
        <f t="shared" si="91"/>
        <v>5.8826291794038532E-3</v>
      </c>
      <c r="DD36" s="378">
        <f t="shared" si="92"/>
        <v>0</v>
      </c>
      <c r="DE36" s="378">
        <f t="shared" si="63"/>
        <v>4.1249222483261388E-3</v>
      </c>
      <c r="DF36" s="340">
        <f t="shared" si="93"/>
        <v>0</v>
      </c>
      <c r="DG36" s="378">
        <f t="shared" si="94"/>
        <v>0</v>
      </c>
      <c r="DH36" s="378">
        <f t="shared" si="64"/>
        <v>0</v>
      </c>
      <c r="DI36" s="340">
        <f>DI35+(DI38-DI28)/10</f>
        <v>3.2000000000000001E-2</v>
      </c>
      <c r="DJ36" s="349">
        <f t="shared" ref="DJ36" si="199">DJ35+(DJ38-DJ28)/10</f>
        <v>3.2000000000000001E-2</v>
      </c>
      <c r="DK36" s="350">
        <f t="shared" si="65"/>
        <v>3.2000000000000001E-2</v>
      </c>
      <c r="DL36" s="345">
        <f t="shared" ref="DL36" si="200">DL35+(DL38-DL28)/10</f>
        <v>0</v>
      </c>
      <c r="DM36" s="349">
        <f t="shared" ref="DM36" si="201">DM35+(DM38-DM28)/10</f>
        <v>0</v>
      </c>
      <c r="DN36" s="396">
        <f t="shared" si="66"/>
        <v>0</v>
      </c>
      <c r="DO36" s="335">
        <f t="shared" si="103"/>
        <v>2.0799999999999985E-2</v>
      </c>
      <c r="DP36" s="350">
        <f t="shared" si="104"/>
        <v>2.0999999999999991E-2</v>
      </c>
      <c r="DQ36" s="349">
        <f t="shared" si="67"/>
        <v>2.0859759229333422E-2</v>
      </c>
      <c r="DR36" s="335">
        <f t="shared" si="105"/>
        <v>3.0599999999999988E-2</v>
      </c>
      <c r="DS36" s="350">
        <f t="shared" si="106"/>
        <v>4.9999999999999992E-3</v>
      </c>
      <c r="DT36" s="349">
        <f t="shared" si="68"/>
        <v>2.29508186453205E-2</v>
      </c>
      <c r="DU36" s="335">
        <f>DU35+(DU38-DU33)/5</f>
        <v>0.20039999999999997</v>
      </c>
      <c r="DV36" s="350">
        <f>DV35+(DV38-DV33)/5</f>
        <v>0.10499999999999998</v>
      </c>
      <c r="DW36" s="350">
        <f t="shared" si="69"/>
        <v>0.17189484760795218</v>
      </c>
      <c r="DX36" s="335">
        <f>DX35+(DX38-DX33)/5</f>
        <v>0.1268</v>
      </c>
      <c r="DY36" s="350">
        <f>DY35+(DY38-DY33)/5</f>
        <v>1.4999999999999999E-2</v>
      </c>
      <c r="DZ36" s="396">
        <f t="shared" si="70"/>
        <v>9.3394590802610644E-2</v>
      </c>
      <c r="EA36" s="350">
        <f t="shared" si="71"/>
        <v>0</v>
      </c>
      <c r="EB36" s="350">
        <f t="shared" si="72"/>
        <v>0</v>
      </c>
      <c r="EC36" s="349">
        <f t="shared" si="73"/>
        <v>0</v>
      </c>
      <c r="ED36" s="335">
        <f t="shared" si="74"/>
        <v>3.7101005066195736E-3</v>
      </c>
      <c r="EE36" s="350">
        <f t="shared" si="75"/>
        <v>0</v>
      </c>
      <c r="EF36" s="387">
        <f t="shared" si="76"/>
        <v>2.6015367714937385E-3</v>
      </c>
      <c r="EG36" s="335">
        <f t="shared" si="77"/>
        <v>0</v>
      </c>
      <c r="EH36" s="350">
        <f t="shared" si="78"/>
        <v>0</v>
      </c>
      <c r="EI36" s="387">
        <f t="shared" si="79"/>
        <v>0</v>
      </c>
      <c r="EJ36" s="335">
        <f t="shared" si="80"/>
        <v>0</v>
      </c>
      <c r="EK36" s="350">
        <f t="shared" si="81"/>
        <v>0</v>
      </c>
      <c r="EL36" s="387">
        <f t="shared" si="82"/>
        <v>0</v>
      </c>
      <c r="EN36" s="337"/>
      <c r="EO36" s="318">
        <v>0</v>
      </c>
      <c r="EP36" s="315"/>
      <c r="EQ36" s="320">
        <v>0</v>
      </c>
      <c r="ER36" s="315">
        <v>0</v>
      </c>
      <c r="ES36" s="315">
        <v>0</v>
      </c>
      <c r="ET36" s="320" t="e">
        <f t="shared" ref="ET36" si="202">EQ36^2*(1-EQ36)/((ES36-ER36)/(2*z))^2-EQ36</f>
        <v>#DIV/0!</v>
      </c>
      <c r="EU36" s="320" t="e">
        <f t="shared" ref="EU36" si="203">(EQ36^2*(1-EQ36)/((ES36-ER36)/(2*z))^2-EQ36)*(1-EQ36)/EQ36</f>
        <v>#DIV/0!</v>
      </c>
      <c r="EV36" s="350" t="e">
        <f t="shared" ref="EV36" ca="1" si="204">_xlfn.BETA.INV(RAND(),ET36,EU36)</f>
        <v>#DIV/0!</v>
      </c>
      <c r="EW36" s="362">
        <f>IFERROR(IF(psa,EV36,EQ36),EQ36)</f>
        <v>0</v>
      </c>
      <c r="EY36" s="363">
        <v>20</v>
      </c>
      <c r="EZ36" s="346">
        <v>0</v>
      </c>
      <c r="FA36" s="347">
        <f t="shared" si="182"/>
        <v>0</v>
      </c>
      <c r="FB36" s="347">
        <f t="shared" si="183"/>
        <v>0</v>
      </c>
      <c r="FC36" s="33" t="e">
        <f t="shared" si="184"/>
        <v>#DIV/0!</v>
      </c>
      <c r="FD36" s="33" t="e">
        <f t="shared" si="185"/>
        <v>#DIV/0!</v>
      </c>
      <c r="FE36" s="308">
        <f t="shared" ca="1" si="189"/>
        <v>0</v>
      </c>
      <c r="FF36" s="364">
        <f t="shared" si="190"/>
        <v>0</v>
      </c>
      <c r="FH36" s="324">
        <v>70</v>
      </c>
      <c r="FI36" s="406">
        <v>82936</v>
      </c>
      <c r="FJ36" s="347">
        <f t="shared" si="137"/>
        <v>0.82935999999999999</v>
      </c>
      <c r="FK36" s="388">
        <f t="shared" si="138"/>
        <v>0.75803503999999999</v>
      </c>
      <c r="FL36" s="347">
        <f t="shared" si="147"/>
        <v>0.24196496000000001</v>
      </c>
      <c r="FM36" s="396">
        <f t="shared" si="148"/>
        <v>5.3898227222001882E-2</v>
      </c>
      <c r="FN36" s="388">
        <f t="shared" si="139"/>
        <v>0.32096232000000002</v>
      </c>
      <c r="FO36" s="347">
        <f t="shared" si="149"/>
        <v>0.67903767999999998</v>
      </c>
      <c r="FP36" s="396">
        <f t="shared" si="150"/>
        <v>0.20330735078883622</v>
      </c>
    </row>
    <row r="37" spans="2:172" ht="15" customHeight="1" x14ac:dyDescent="0.2">
      <c r="B37" s="15" t="s">
        <v>208</v>
      </c>
      <c r="C37" s="235">
        <f>IF(psa,J37,IF(owsa_low=L37,F37,IF(owsa_high=L37,G37,IF(ISNUMBER(D37),D37,E37))))</f>
        <v>0.29879614666716775</v>
      </c>
      <c r="D37" s="332">
        <f>E37/SUM($E$36:$E$37)</f>
        <v>0.29879614666716775</v>
      </c>
      <c r="E37" s="235">
        <f>FP49/SUM($FP$48:$FP$50)</f>
        <v>0.22718570516911288</v>
      </c>
      <c r="F37" s="331">
        <f>IF(ISNUMBER(D37),D37,E37)*(1-owsa_boc)</f>
        <v>0.23903691733373422</v>
      </c>
      <c r="G37" s="331">
        <f>MIN(1,IF(ISNUMBER(D37),D37,E37)*(1+owsa_boc))</f>
        <v>0.35855537600060128</v>
      </c>
      <c r="H37" s="33">
        <f t="shared" ref="H37:H38" si="205">IF(ISNUMBER(D37),D37,E37)^2*(1-IF(ISNUMBER(D37),D37,E37))/((G37-F37)/(2*z))^2-IF(ISNUMBER(D37),D37,E37)</f>
        <v>67.042347040585796</v>
      </c>
      <c r="I37" s="33">
        <f t="shared" ref="I37:I38" si="206">(IF(ISNUMBER(D37),D37,E37)^2*(1-IF(ISNUMBER(D37),D37,E37))/((G37-F37)/(2*z))^2-IF(ISNUMBER(D37),D37,E37))*(1-IF(ISNUMBER(D37),D37,E37))/IF(ISNUMBER(D37),D37,E37)</f>
        <v>157.33252455126572</v>
      </c>
      <c r="J37" s="23">
        <f t="shared" ref="J37:J38" ca="1" si="207">IFERROR(_xlfn.BETA.INV(RAND(),H37,I37),0)</f>
        <v>0.30493660946494494</v>
      </c>
      <c r="K37" s="10" t="s">
        <v>49</v>
      </c>
      <c r="L37" s="10">
        <v>2</v>
      </c>
      <c r="M37" s="393" t="s">
        <v>339</v>
      </c>
      <c r="N37" s="413" t="s">
        <v>348</v>
      </c>
      <c r="Q37" s="10">
        <v>31</v>
      </c>
      <c r="R37" s="10">
        <f t="shared" si="2"/>
        <v>76</v>
      </c>
      <c r="S37" s="309">
        <f t="shared" si="26"/>
        <v>0.13699853433368028</v>
      </c>
      <c r="T37" s="309">
        <f t="shared" si="27"/>
        <v>0</v>
      </c>
      <c r="U37" s="309">
        <f t="shared" si="28"/>
        <v>4.5295622264978056E-5</v>
      </c>
      <c r="V37" s="235">
        <f t="shared" si="29"/>
        <v>1.2625092502915592E-2</v>
      </c>
      <c r="W37" s="235">
        <f t="shared" si="30"/>
        <v>4.7305466319207345E-2</v>
      </c>
      <c r="X37" s="309">
        <f t="shared" si="31"/>
        <v>4.0938848013168938E-6</v>
      </c>
      <c r="Y37" s="235">
        <f t="shared" si="32"/>
        <v>5.4797859363358622E-3</v>
      </c>
      <c r="Z37" s="235">
        <f t="shared" si="33"/>
        <v>3.1665264345605961E-3</v>
      </c>
      <c r="AA37" s="235">
        <f t="shared" si="34"/>
        <v>0.20891437071700075</v>
      </c>
      <c r="AB37" s="235">
        <f t="shared" si="35"/>
        <v>4.329174982589782E-3</v>
      </c>
      <c r="AC37" s="235">
        <f t="shared" si="36"/>
        <v>1.4862851342262517E-2</v>
      </c>
      <c r="AD37" s="235">
        <f t="shared" si="37"/>
        <v>0.56626880792438095</v>
      </c>
      <c r="AE37" s="235">
        <f t="shared" si="38"/>
        <v>1</v>
      </c>
      <c r="AF37" s="101">
        <f t="shared" si="3"/>
        <v>0</v>
      </c>
      <c r="AG37" s="101">
        <f t="shared" si="4"/>
        <v>0.10706820363775293</v>
      </c>
      <c r="AH37" s="101">
        <f t="shared" si="5"/>
        <v>33.63629600139199</v>
      </c>
      <c r="AI37" s="101">
        <f t="shared" si="6"/>
        <v>164.04621632160118</v>
      </c>
      <c r="AJ37" s="101">
        <f t="shared" si="7"/>
        <v>269.00661198480043</v>
      </c>
      <c r="AK37" s="101">
        <f t="shared" si="39"/>
        <v>833.37992668147081</v>
      </c>
      <c r="AL37" s="235">
        <f t="shared" si="40"/>
        <v>5.2057770007411221E-2</v>
      </c>
      <c r="AM37" s="235">
        <f t="shared" si="8"/>
        <v>1.7482456840368689E-5</v>
      </c>
      <c r="AN37" s="235">
        <f t="shared" si="9"/>
        <v>2.4855132210740708E-2</v>
      </c>
      <c r="AO37" s="235">
        <f t="shared" si="10"/>
        <v>8.3973582290631057E-4</v>
      </c>
      <c r="AP37" s="235">
        <f t="shared" si="11"/>
        <v>1.0874538068945862E-3</v>
      </c>
      <c r="AQ37" s="235">
        <f t="shared" si="12"/>
        <v>7.1966444431923016E-2</v>
      </c>
      <c r="AR37" s="101">
        <f t="shared" si="41"/>
        <v>1300.1761191929022</v>
      </c>
      <c r="AS37" s="235">
        <f t="shared" si="42"/>
        <v>0.15082401873671619</v>
      </c>
      <c r="AT37" s="235">
        <f t="shared" si="13"/>
        <v>0.17348690128563657</v>
      </c>
      <c r="AV37" s="10">
        <v>31</v>
      </c>
      <c r="AW37" s="10">
        <f t="shared" si="43"/>
        <v>76</v>
      </c>
      <c r="AX37" s="309">
        <f t="shared" si="44"/>
        <v>0.16884116927693435</v>
      </c>
      <c r="AY37" s="309">
        <f t="shared" si="45"/>
        <v>1.8161807452274444E-5</v>
      </c>
      <c r="AZ37" s="309">
        <f t="shared" si="46"/>
        <v>1.8161807452274444E-5</v>
      </c>
      <c r="BA37" s="235">
        <f t="shared" si="47"/>
        <v>2.120825307313565E-3</v>
      </c>
      <c r="BB37" s="235">
        <f t="shared" si="48"/>
        <v>3.3022064917495905E-3</v>
      </c>
      <c r="BC37" s="309">
        <f t="shared" si="49"/>
        <v>6.8139349586852468E-7</v>
      </c>
      <c r="BD37" s="235">
        <f t="shared" si="50"/>
        <v>3.5334632585635847E-3</v>
      </c>
      <c r="BE37" s="235">
        <f t="shared" si="51"/>
        <v>3.345939574365308E-3</v>
      </c>
      <c r="BF37" s="235">
        <f t="shared" si="52"/>
        <v>0.21881950318689458</v>
      </c>
      <c r="BG37" s="235">
        <f t="shared" si="53"/>
        <v>4.5975273967141387E-3</v>
      </c>
      <c r="BH37" s="235">
        <f t="shared" si="54"/>
        <v>1.5939303045121395E-2</v>
      </c>
      <c r="BI37" s="235">
        <f t="shared" si="55"/>
        <v>0.57946305745394355</v>
      </c>
      <c r="BJ37" s="235">
        <f t="shared" si="56"/>
        <v>1.0000000000000004</v>
      </c>
      <c r="BK37" s="101">
        <f t="shared" si="14"/>
        <v>5.4141250007556811E-2</v>
      </c>
      <c r="BL37" s="101">
        <f t="shared" si="15"/>
        <v>4.2930243619443101E-2</v>
      </c>
      <c r="BM37" s="101">
        <f t="shared" si="16"/>
        <v>35.542104653782985</v>
      </c>
      <c r="BN37" s="101">
        <f t="shared" si="17"/>
        <v>174.21494323952615</v>
      </c>
      <c r="BO37" s="101">
        <f t="shared" si="18"/>
        <v>283.18052481403498</v>
      </c>
      <c r="BP37" s="101">
        <f t="shared" si="57"/>
        <v>880.51521128023671</v>
      </c>
      <c r="BQ37" s="235">
        <f t="shared" si="19"/>
        <v>6.4157582420501777E-2</v>
      </c>
      <c r="BR37" s="235">
        <f t="shared" si="20"/>
        <v>1.3389449886425805E-5</v>
      </c>
      <c r="BS37" s="235">
        <f t="shared" si="21"/>
        <v>3.4033587443119246E-3</v>
      </c>
      <c r="BT37" s="235">
        <f t="shared" si="22"/>
        <v>8.8731465848771026E-4</v>
      </c>
      <c r="BU37" s="235">
        <f t="shared" si="23"/>
        <v>1.1548617669568317E-3</v>
      </c>
      <c r="BV37" s="235">
        <f t="shared" si="24"/>
        <v>7.5485612343115654E-2</v>
      </c>
      <c r="BW37" s="101">
        <f t="shared" si="58"/>
        <v>1373.5498554812079</v>
      </c>
      <c r="BX37" s="235">
        <f t="shared" si="59"/>
        <v>0.14510211938326034</v>
      </c>
      <c r="BY37" s="235">
        <f t="shared" si="25"/>
        <v>0.16820937108376416</v>
      </c>
      <c r="CA37" s="23"/>
      <c r="CB37" s="21">
        <v>29</v>
      </c>
      <c r="CC37" t="str">
        <f>$M$84</f>
        <v>boc_cost_oc_last_64</v>
      </c>
      <c r="CD37" s="101">
        <f>$F$84</f>
        <v>137699.20000000001</v>
      </c>
      <c r="CE37" s="101">
        <f>$G$84</f>
        <v>206548.8</v>
      </c>
      <c r="CF37" s="447">
        <v>-16485.443063321665</v>
      </c>
      <c r="CG37" s="447">
        <v>-17431.738748010921</v>
      </c>
      <c r="CH37" s="266">
        <f t="shared" si="151"/>
        <v>946.29568468925572</v>
      </c>
      <c r="CJ37" s="10">
        <v>29</v>
      </c>
      <c r="CK37" s="450">
        <v>3.6000000000000004E-2</v>
      </c>
      <c r="CL37" s="450">
        <v>0</v>
      </c>
      <c r="CM37" s="450">
        <v>3.6000000000000004E-2</v>
      </c>
      <c r="CN37" s="450">
        <v>0</v>
      </c>
      <c r="CO37" s="451">
        <v>0.41325439742596948</v>
      </c>
      <c r="CP37" s="451">
        <v>0.59013996689932668</v>
      </c>
      <c r="CQ37" s="451">
        <v>0.10822864559458678</v>
      </c>
      <c r="CR37" s="451">
        <v>0.13556189661008847</v>
      </c>
      <c r="CS37" s="451">
        <v>21.196012532417594</v>
      </c>
      <c r="CT37" s="451">
        <v>20.473693630617635</v>
      </c>
      <c r="CU37" s="234">
        <v>0.72231890179995872</v>
      </c>
      <c r="CX37" s="377">
        <v>29</v>
      </c>
      <c r="CY37" s="335">
        <f t="shared" si="60"/>
        <v>6.4400000000000004E-4</v>
      </c>
      <c r="CZ37" s="338">
        <v>6.4400000000000004E-4</v>
      </c>
      <c r="DA37" s="345">
        <f t="shared" si="61"/>
        <v>2.7118588614782557E-2</v>
      </c>
      <c r="DB37" s="387">
        <f t="shared" si="62"/>
        <v>5.4205006324653415E-2</v>
      </c>
      <c r="DC37" s="114">
        <f t="shared" si="91"/>
        <v>5.8826291794038532E-3</v>
      </c>
      <c r="DD37" s="378">
        <f t="shared" si="92"/>
        <v>0</v>
      </c>
      <c r="DE37" s="378">
        <f t="shared" si="63"/>
        <v>4.1249222483261388E-3</v>
      </c>
      <c r="DF37" s="340">
        <f t="shared" si="93"/>
        <v>0</v>
      </c>
      <c r="DG37" s="378">
        <f t="shared" si="94"/>
        <v>0</v>
      </c>
      <c r="DH37" s="378">
        <f t="shared" si="64"/>
        <v>0</v>
      </c>
      <c r="DI37" s="340">
        <f>DI36+(DI38-DI28)/10</f>
        <v>3.6000000000000004E-2</v>
      </c>
      <c r="DJ37" s="349">
        <f t="shared" ref="DJ37" si="208">DJ36+(DJ38-DJ28)/10</f>
        <v>3.6000000000000004E-2</v>
      </c>
      <c r="DK37" s="350">
        <f t="shared" si="65"/>
        <v>3.6000000000000004E-2</v>
      </c>
      <c r="DL37" s="345">
        <f t="shared" ref="DL37" si="209">DL36+(DL38-DL28)/10</f>
        <v>0</v>
      </c>
      <c r="DM37" s="349">
        <f t="shared" ref="DM37" si="210">DM36+(DM38-DM28)/10</f>
        <v>0</v>
      </c>
      <c r="DN37" s="396">
        <f t="shared" si="66"/>
        <v>0</v>
      </c>
      <c r="DO37" s="335">
        <f t="shared" si="103"/>
        <v>2.0799999999999985E-2</v>
      </c>
      <c r="DP37" s="350">
        <f t="shared" si="104"/>
        <v>2.0999999999999991E-2</v>
      </c>
      <c r="DQ37" s="349">
        <f t="shared" si="67"/>
        <v>2.0859759229333422E-2</v>
      </c>
      <c r="DR37" s="335">
        <f t="shared" si="105"/>
        <v>3.0599999999999988E-2</v>
      </c>
      <c r="DS37" s="350">
        <f t="shared" si="106"/>
        <v>5.000000000000001E-3</v>
      </c>
      <c r="DT37" s="349">
        <f t="shared" si="68"/>
        <v>2.29508186453205E-2</v>
      </c>
      <c r="DU37" s="335">
        <f>DU36+(DU38-DU33)/5</f>
        <v>0.22119999999999995</v>
      </c>
      <c r="DV37" s="350">
        <f>DV36+(DV38-DV33)/5</f>
        <v>0.12599999999999997</v>
      </c>
      <c r="DW37" s="350">
        <f t="shared" si="69"/>
        <v>0.19275460683728562</v>
      </c>
      <c r="DX37" s="335">
        <f>DX36+(DX38-DX33)/5</f>
        <v>0.15739999999999998</v>
      </c>
      <c r="DY37" s="350">
        <f>DY36+(DY38-DY33)/5</f>
        <v>0.02</v>
      </c>
      <c r="DZ37" s="396">
        <f t="shared" si="70"/>
        <v>0.11634540944793115</v>
      </c>
      <c r="EA37" s="350">
        <f t="shared" si="71"/>
        <v>0</v>
      </c>
      <c r="EB37" s="350">
        <f t="shared" si="72"/>
        <v>0</v>
      </c>
      <c r="EC37" s="349">
        <f t="shared" si="73"/>
        <v>0</v>
      </c>
      <c r="ED37" s="335">
        <f t="shared" si="74"/>
        <v>3.7101005066195736E-3</v>
      </c>
      <c r="EE37" s="350">
        <f t="shared" si="75"/>
        <v>0</v>
      </c>
      <c r="EF37" s="387">
        <f t="shared" si="76"/>
        <v>2.6015367714937385E-3</v>
      </c>
      <c r="EG37" s="335">
        <f t="shared" si="77"/>
        <v>0</v>
      </c>
      <c r="EH37" s="350">
        <f t="shared" si="78"/>
        <v>0</v>
      </c>
      <c r="EI37" s="387">
        <f t="shared" si="79"/>
        <v>0</v>
      </c>
      <c r="EJ37" s="335">
        <f t="shared" si="80"/>
        <v>0</v>
      </c>
      <c r="EK37" s="350">
        <f t="shared" si="81"/>
        <v>0</v>
      </c>
      <c r="EL37" s="387">
        <f t="shared" si="82"/>
        <v>0</v>
      </c>
      <c r="EN37" s="337"/>
      <c r="EO37" s="318">
        <v>10</v>
      </c>
      <c r="EP37" s="315"/>
      <c r="EQ37" s="320">
        <v>0</v>
      </c>
      <c r="ER37" s="315">
        <v>0</v>
      </c>
      <c r="ES37" s="315">
        <v>0</v>
      </c>
      <c r="ET37" s="320" t="e">
        <f t="shared" ref="ET37" si="211">EQ37^2*(1-EQ37)/((ES37-ER37)/(2*z))^2-EQ37</f>
        <v>#DIV/0!</v>
      </c>
      <c r="EU37" s="320" t="e">
        <f t="shared" ref="EU37" si="212">(EQ37^2*(1-EQ37)/((ES37-ER37)/(2*z))^2-EQ37)*(1-EQ37)/EQ37</f>
        <v>#DIV/0!</v>
      </c>
      <c r="EV37" s="350" t="e">
        <f t="shared" ref="EV37" ca="1" si="213">_xlfn.BETA.INV(RAND(),ET37,EU37)</f>
        <v>#DIV/0!</v>
      </c>
      <c r="EW37" s="362">
        <f t="shared" ref="EW37:EW46" si="214">MAX(EW36,IFERROR(IF(psa,EV37,EQ37),EQ37))</f>
        <v>0</v>
      </c>
      <c r="EY37" s="363">
        <v>25</v>
      </c>
      <c r="EZ37" s="346">
        <v>4.2000000000000003E-2</v>
      </c>
      <c r="FA37" s="347">
        <f t="shared" si="182"/>
        <v>3.3600000000000005E-2</v>
      </c>
      <c r="FB37" s="347">
        <f t="shared" si="183"/>
        <v>5.04E-2</v>
      </c>
      <c r="FC37" s="33">
        <f t="shared" si="184"/>
        <v>91.960938755624312</v>
      </c>
      <c r="FD37" s="33">
        <f t="shared" si="185"/>
        <v>2097.5852220925735</v>
      </c>
      <c r="FE37" s="308">
        <f t="shared" ca="1" si="189"/>
        <v>3.5872624650196833E-2</v>
      </c>
      <c r="FF37" s="364">
        <f t="shared" si="190"/>
        <v>4.2000000000000003E-2</v>
      </c>
      <c r="FH37" s="324">
        <v>75</v>
      </c>
      <c r="FI37" s="406">
        <v>75495</v>
      </c>
      <c r="FJ37" s="347">
        <f t="shared" si="137"/>
        <v>0.75495000000000001</v>
      </c>
      <c r="FK37" s="388">
        <f t="shared" si="138"/>
        <v>0.65756144999999999</v>
      </c>
      <c r="FL37" s="347">
        <f t="shared" si="147"/>
        <v>0.34243855000000001</v>
      </c>
      <c r="FM37" s="396">
        <f t="shared" si="148"/>
        <v>8.0424760587405442E-2</v>
      </c>
      <c r="FN37" s="388">
        <f t="shared" si="139"/>
        <v>0.15778455</v>
      </c>
      <c r="FO37" s="347">
        <f t="shared" si="149"/>
        <v>0.84221544999999998</v>
      </c>
      <c r="FP37" s="396">
        <f t="shared" si="150"/>
        <v>0.30878541229782053</v>
      </c>
    </row>
    <row r="38" spans="2:172" ht="15" customHeight="1" x14ac:dyDescent="0.2">
      <c r="B38" s="15" t="s">
        <v>238</v>
      </c>
      <c r="C38" s="235">
        <f>IF(psa,J38,IF(owsa_low=L38,F38,IF(owsa_high=L38,G38,IF(ISNUMBER(D38),D38,E38))))</f>
        <v>0</v>
      </c>
      <c r="D38" s="332">
        <v>0</v>
      </c>
      <c r="E38" s="235">
        <f>FP50/SUM($FP$48:$FP$50)</f>
        <v>0.23966320281172329</v>
      </c>
      <c r="F38" s="331">
        <f>IF(ISNUMBER(D38),D38,E38)*(1-owsa_boc)</f>
        <v>0</v>
      </c>
      <c r="G38" s="331">
        <f>MIN(1,IF(ISNUMBER(D38),D38,E38)*(1+owsa_boc))</f>
        <v>0</v>
      </c>
      <c r="H38" s="33" t="e">
        <f t="shared" si="205"/>
        <v>#DIV/0!</v>
      </c>
      <c r="I38" s="33" t="e">
        <f t="shared" si="206"/>
        <v>#DIV/0!</v>
      </c>
      <c r="J38" s="23">
        <f t="shared" ca="1" si="207"/>
        <v>0</v>
      </c>
      <c r="K38" s="10" t="s">
        <v>49</v>
      </c>
      <c r="L38" s="10">
        <v>3</v>
      </c>
      <c r="M38" s="393" t="s">
        <v>340</v>
      </c>
      <c r="N38" s="413" t="s">
        <v>348</v>
      </c>
      <c r="Q38" s="10">
        <v>32</v>
      </c>
      <c r="R38" s="10">
        <f t="shared" ref="R38:R69" si="215">age+Q38</f>
        <v>77</v>
      </c>
      <c r="S38" s="309">
        <f t="shared" si="26"/>
        <v>0.12694287767112264</v>
      </c>
      <c r="T38" s="309">
        <f t="shared" si="27"/>
        <v>0</v>
      </c>
      <c r="U38" s="309">
        <f t="shared" si="28"/>
        <v>4.2104195133892831E-5</v>
      </c>
      <c r="V38" s="235">
        <f t="shared" si="29"/>
        <v>1.1928690842305087E-2</v>
      </c>
      <c r="W38" s="235">
        <f t="shared" si="30"/>
        <v>4.5167371168953266E-2</v>
      </c>
      <c r="X38" s="309">
        <f t="shared" si="31"/>
        <v>3.8801098195071886E-6</v>
      </c>
      <c r="Y38" s="235">
        <f t="shared" si="32"/>
        <v>5.2841375827152245E-3</v>
      </c>
      <c r="Z38" s="235">
        <f t="shared" si="33"/>
        <v>2.9578722407675312E-3</v>
      </c>
      <c r="AA38" s="235">
        <f t="shared" si="34"/>
        <v>0.19502434177298489</v>
      </c>
      <c r="AB38" s="235">
        <f t="shared" si="35"/>
        <v>4.0410540253848423E-3</v>
      </c>
      <c r="AC38" s="235">
        <f t="shared" si="36"/>
        <v>1.3265808563302155E-2</v>
      </c>
      <c r="AD38" s="235">
        <f t="shared" si="37"/>
        <v>0.59534186182751092</v>
      </c>
      <c r="AE38" s="235">
        <f t="shared" si="38"/>
        <v>1</v>
      </c>
      <c r="AF38" s="101">
        <f t="shared" ref="AF38:AF69" si="216">(T38*boc_cost_mast)/((1+discount)^Q38)</f>
        <v>0</v>
      </c>
      <c r="AG38" s="101">
        <f t="shared" ref="AG38:AG69" si="217">(U38*boc_cost_ooph)/((1+discount)^Q38)</f>
        <v>9.6625650574137828E-2</v>
      </c>
      <c r="AH38" s="101">
        <f t="shared" ref="AH38:AH69" si="218">(Z38*IF(R38&lt;65,boc_cost_bc_initial_64,boc_cost_bc_initial_65))/((1+discount)^Q38)</f>
        <v>30.504733459396821</v>
      </c>
      <c r="AI38" s="101">
        <f t="shared" ref="AI38:AI69" si="219">(AB38*IF(R38&lt;65,boc_cost_oc_initial_64,boc_cost_oc_initial_65))/((1+discount)^Q38)</f>
        <v>148.66834601865227</v>
      </c>
      <c r="AJ38" s="101">
        <f t="shared" ref="AJ38:AJ69" si="220">(AA38*IF(R38&lt;65,boc_cost_bc_cont_64,boc_cost_bc_cont_65)+AC38*IF(R38&lt;65,boc_cost_oc_cont_64,boc_cost_oc_cont_65))/((1+discount)^Q38)</f>
        <v>241.54971372628347</v>
      </c>
      <c r="AK38" s="101">
        <f t="shared" si="39"/>
        <v>743.19140924444673</v>
      </c>
      <c r="AL38" s="235">
        <f t="shared" si="40"/>
        <v>4.683178958863464E-2</v>
      </c>
      <c r="AM38" s="235">
        <f t="shared" ref="AM38:AM69" si="221">(T38*(util_well-boc_disutil_mast)+U38*(util_well-boc_disutil_ooph+W38*(util_well-VLOOKUP(R38,boc_uptake,$DQ$1,FALSE)*boc_disutil_mast-VLOOKUP(R38,boc_uptake,$DT$1,FALSE)*boc_disutil_ooph)))/((1+discount)^Q38)</f>
        <v>1.5744150714609948E-5</v>
      </c>
      <c r="AN38" s="235">
        <f t="shared" ref="AN38:AN69" si="222">(SUM(V38,W38,Y38)*util_well)/((1+discount)^Q38)</f>
        <v>2.3013314614235867E-2</v>
      </c>
      <c r="AO38" s="235">
        <f t="shared" ref="AO38:AO69" si="223">(Z38*boc_util_bc)/((1+discount)^Q38)</f>
        <v>7.6155583400158505E-4</v>
      </c>
      <c r="AP38" s="235">
        <f t="shared" ref="AP38:AP69" si="224">(AB38*boc_util_oc)/((1+discount)^Q38)</f>
        <v>9.8551470718326339E-4</v>
      </c>
      <c r="AQ38" s="235">
        <f t="shared" ref="AQ38:AQ69" si="225">(AA38*boc_util_pc_bc+AC38*boc_util_pc_oc)/((1+discount)^Q38)</f>
        <v>6.5054646741683361E-2</v>
      </c>
      <c r="AR38" s="101">
        <f t="shared" si="41"/>
        <v>1164.0108280993534</v>
      </c>
      <c r="AS38" s="235">
        <f t="shared" si="42"/>
        <v>0.13666256563645335</v>
      </c>
      <c r="AT38" s="235">
        <f t="shared" ref="AT38:AT69" si="226">SUM(S38:AC38)/((1+discount)^Q38)</f>
        <v>0.15714374121729088</v>
      </c>
      <c r="AV38" s="10">
        <v>32</v>
      </c>
      <c r="AW38" s="10">
        <f t="shared" si="43"/>
        <v>77</v>
      </c>
      <c r="AX38" s="309">
        <f t="shared" si="44"/>
        <v>0.15646639378019975</v>
      </c>
      <c r="AY38" s="309">
        <f t="shared" si="45"/>
        <v>1.6884116927693435E-5</v>
      </c>
      <c r="AZ38" s="309">
        <f t="shared" si="46"/>
        <v>1.6884116927693435E-5</v>
      </c>
      <c r="BA38" s="235">
        <f t="shared" si="47"/>
        <v>2.0220021290687546E-3</v>
      </c>
      <c r="BB38" s="235">
        <f t="shared" si="48"/>
        <v>3.1679544717091398E-3</v>
      </c>
      <c r="BC38" s="309">
        <f t="shared" si="49"/>
        <v>6.5179998471031653E-7</v>
      </c>
      <c r="BD38" s="235">
        <f t="shared" si="50"/>
        <v>3.4053473105488548E-3</v>
      </c>
      <c r="BE38" s="235">
        <f t="shared" si="51"/>
        <v>3.1116439867552516E-3</v>
      </c>
      <c r="BF38" s="235">
        <f t="shared" si="52"/>
        <v>0.20429784021639064</v>
      </c>
      <c r="BG38" s="235">
        <f t="shared" si="53"/>
        <v>4.2771537086770464E-3</v>
      </c>
      <c r="BH38" s="235">
        <f t="shared" si="54"/>
        <v>1.4195356786562916E-2</v>
      </c>
      <c r="BI38" s="235">
        <f t="shared" si="55"/>
        <v>0.60902188757624798</v>
      </c>
      <c r="BJ38" s="235">
        <f t="shared" si="56"/>
        <v>1.0000000000000004</v>
      </c>
      <c r="BK38" s="101">
        <f t="shared" ref="BK38:BK69" si="227">(AY38*boc_cost_mast)/((1+discount)^AV38)</f>
        <v>4.8866399124519039E-2</v>
      </c>
      <c r="BL38" s="101">
        <f t="shared" ref="BL38:BL69" si="228">(AZ38*boc_cost_ooph)/((1+discount)^AV38)</f>
        <v>3.8747653940899678E-2</v>
      </c>
      <c r="BM38" s="101">
        <f t="shared" ref="BM38:BM69" si="229">(BE38*IF(AW38&lt;65,boc_cost_bc_initial_64,boc_cost_bc_initial_65))/((1+discount)^AV38)</f>
        <v>32.09059171936152</v>
      </c>
      <c r="BN38" s="101">
        <f t="shared" ref="BN38:BN69" si="230">(BG38*IF(AW38&lt;65,boc_cost_oc_initial_64,boc_cost_oc_initial_65))/((1+discount)^AV38)</f>
        <v>157.35433467163418</v>
      </c>
      <c r="BO38" s="101">
        <f t="shared" ref="BO38:BO69" si="231">(BF38*IF(AW38&lt;65,boc_cost_bc_cont_64,boc_cost_bc_cont_65)+BH38*IF(AW38&lt;65,boc_cost_oc_cont_64,boc_cost_oc_cont_65))/((1+discount)^AV38)</f>
        <v>254.14312761254644</v>
      </c>
      <c r="BP38" s="101">
        <f t="shared" si="57"/>
        <v>784.47772246816669</v>
      </c>
      <c r="BQ38" s="235">
        <f t="shared" ref="BQ38:BQ69" si="232">(AX38*util_well)/((1+discount)^AV38)</f>
        <v>5.7723610537573883E-2</v>
      </c>
      <c r="BR38" s="235">
        <f t="shared" ref="BR38:BR69" si="233">(AY38*(util_well-boc_disutil_mast)+AZ38*(util_well-boc_disutil_ooph+BB38*(util_well-VLOOKUP(AW38,boc_uptake,$DQ$1,FALSE)*boc_disutil_mast-VLOOKUP(AW38,boc_uptake,$DT$1,FALSE)*boc_disutil_ooph)))/((1+discount)^AV38)</f>
        <v>1.2084111973928647E-5</v>
      </c>
      <c r="BS38" s="235">
        <f t="shared" ref="BS38:BS69" si="234">(SUM(BA38,BB38,BD38)*util_well)/((1+discount)^AV38)</f>
        <v>3.1709810870089658E-3</v>
      </c>
      <c r="BT38" s="235">
        <f t="shared" ref="BT38:BT69" si="235">(BE38*boc_util_bc)/((1+discount)^AV38)</f>
        <v>8.011470538817144E-4</v>
      </c>
      <c r="BU38" s="235">
        <f t="shared" ref="BU38:BU69" si="236">(BG38*boc_util_oc)/((1+discount)^AV38)</f>
        <v>1.0430936726670565E-3</v>
      </c>
      <c r="BV38" s="235">
        <f t="shared" ref="BV38:BV69" si="237">(BF38*boc_util_pc_bc+BH38*boc_util_pc_oc)/((1+discount)^AV38)</f>
        <v>6.8231557635846027E-2</v>
      </c>
      <c r="BW38" s="101">
        <f t="shared" si="58"/>
        <v>1228.1533905247743</v>
      </c>
      <c r="BX38" s="235">
        <f t="shared" si="59"/>
        <v>0.13098247409895158</v>
      </c>
      <c r="BY38" s="235">
        <f t="shared" ref="BY38:BY69" si="238">SUM(AX38:BH38)/((1+discount)^AV38)</f>
        <v>0.15183128059110915</v>
      </c>
      <c r="CA38" s="23"/>
      <c r="CB38" s="21">
        <v>8</v>
      </c>
      <c r="CC38" t="str">
        <f>$M$51</f>
        <v>boc_hr_bc_ooph_2</v>
      </c>
      <c r="CD38" s="23">
        <f>$F$51</f>
        <v>0.16</v>
      </c>
      <c r="CE38" s="23">
        <f>$G$51</f>
        <v>0.82</v>
      </c>
      <c r="CF38" s="447">
        <v>-17221.911533038583</v>
      </c>
      <c r="CG38" s="447">
        <v>-16286.58012709365</v>
      </c>
      <c r="CH38" s="266">
        <f t="shared" si="151"/>
        <v>935.33140594493307</v>
      </c>
      <c r="CJ38" s="10">
        <v>30</v>
      </c>
      <c r="CK38" s="450">
        <v>4.0000000000000008E-2</v>
      </c>
      <c r="CL38" s="450">
        <v>0</v>
      </c>
      <c r="CM38" s="450">
        <v>4.0000000000000008E-2</v>
      </c>
      <c r="CN38" s="450">
        <v>0</v>
      </c>
      <c r="CO38" s="451">
        <v>0.41902968602195884</v>
      </c>
      <c r="CP38" s="451">
        <v>0.58581566565451548</v>
      </c>
      <c r="CQ38" s="451">
        <v>0.10769248555401219</v>
      </c>
      <c r="CR38" s="451">
        <v>0.13583275979637394</v>
      </c>
      <c r="CS38" s="451">
        <v>20.904956661112831</v>
      </c>
      <c r="CT38" s="451">
        <v>20.20047194898784</v>
      </c>
      <c r="CU38" s="234">
        <v>0.70448471212499086</v>
      </c>
      <c r="CX38" s="402">
        <v>30</v>
      </c>
      <c r="CY38" s="200">
        <f t="shared" si="60"/>
        <v>6.78E-4</v>
      </c>
      <c r="CZ38" s="403">
        <v>6.78E-4</v>
      </c>
      <c r="DA38" s="345">
        <f t="shared" si="61"/>
        <v>2.7685695713073999E-2</v>
      </c>
      <c r="DB38" s="387">
        <f t="shared" si="62"/>
        <v>5.4756324345703988E-2</v>
      </c>
      <c r="DC38" s="114">
        <f t="shared" si="91"/>
        <v>5.8826291794038532E-3</v>
      </c>
      <c r="DD38" s="378">
        <f t="shared" si="92"/>
        <v>4.7884984099028083E-3</v>
      </c>
      <c r="DE38" s="378">
        <f t="shared" si="63"/>
        <v>5.5557071215269578E-3</v>
      </c>
      <c r="DF38" s="340">
        <f t="shared" si="93"/>
        <v>0</v>
      </c>
      <c r="DG38" s="378">
        <f t="shared" si="94"/>
        <v>0</v>
      </c>
      <c r="DH38" s="378">
        <f t="shared" si="64"/>
        <v>0</v>
      </c>
      <c r="DI38" s="340">
        <f>VLOOKUP($CX38,$EO$8:$EW$18,9,FALSE)</f>
        <v>0.04</v>
      </c>
      <c r="DJ38" s="378">
        <f>VLOOKUP($CX38,$EO$22:$EW$32,9,FALSE)</f>
        <v>0.04</v>
      </c>
      <c r="DK38" s="350">
        <f t="shared" si="65"/>
        <v>4.0000000000000008E-2</v>
      </c>
      <c r="DL38" s="340">
        <f>VLOOKUP($CX38,$EO$36:$EW$46,9,FALSE)</f>
        <v>0</v>
      </c>
      <c r="DM38" s="378">
        <f>VLOOKUP($CX38,$EO$50:$EW$60,9,FALSE)</f>
        <v>0</v>
      </c>
      <c r="DN38" s="396">
        <f t="shared" si="66"/>
        <v>0</v>
      </c>
      <c r="DO38" s="335">
        <f t="shared" si="103"/>
        <v>2.0800000000000041E-2</v>
      </c>
      <c r="DP38" s="350">
        <f t="shared" si="104"/>
        <v>2.1000000000000019E-2</v>
      </c>
      <c r="DQ38" s="349">
        <f t="shared" si="67"/>
        <v>2.0859759229333467E-2</v>
      </c>
      <c r="DR38" s="335">
        <f t="shared" si="105"/>
        <v>3.0600000000000016E-2</v>
      </c>
      <c r="DS38" s="350">
        <f t="shared" si="106"/>
        <v>5.000000000000001E-3</v>
      </c>
      <c r="DT38" s="349">
        <f t="shared" si="68"/>
        <v>2.2950818645320517E-2</v>
      </c>
      <c r="DU38" s="335">
        <f>VLOOKUP($CX38,$EY$8:$FF$28,8,FALSE)</f>
        <v>0.24199999999999999</v>
      </c>
      <c r="DV38" s="350">
        <f>VLOOKUP($CX38,$EY$32:$FF$52,8,FALSE)</f>
        <v>0.14699999999999999</v>
      </c>
      <c r="DW38" s="350">
        <f t="shared" si="69"/>
        <v>0.21361436606661907</v>
      </c>
      <c r="DX38" s="335">
        <f>VLOOKUP($CX38,$EY$56:$FF$76,8,FALSE)</f>
        <v>0.188</v>
      </c>
      <c r="DY38" s="350">
        <f>VLOOKUP($CX38,$EY$80:$FF$100,8,FALSE)</f>
        <v>2.5000000000000001E-2</v>
      </c>
      <c r="DZ38" s="396">
        <f t="shared" si="70"/>
        <v>0.13929622809325165</v>
      </c>
      <c r="EA38" s="350">
        <f t="shared" si="71"/>
        <v>0</v>
      </c>
      <c r="EB38" s="350">
        <f t="shared" si="72"/>
        <v>0</v>
      </c>
      <c r="EC38" s="349">
        <f t="shared" si="73"/>
        <v>0</v>
      </c>
      <c r="ED38" s="335">
        <f t="shared" si="74"/>
        <v>3.7101005066195736E-3</v>
      </c>
      <c r="EE38" s="350">
        <f t="shared" si="75"/>
        <v>1.7265078675919865E-3</v>
      </c>
      <c r="EF38" s="387">
        <f t="shared" si="76"/>
        <v>3.1174106695207727E-3</v>
      </c>
      <c r="EG38" s="335">
        <f t="shared" si="77"/>
        <v>0</v>
      </c>
      <c r="EH38" s="350">
        <f t="shared" si="78"/>
        <v>0</v>
      </c>
      <c r="EI38" s="387">
        <f t="shared" si="79"/>
        <v>0</v>
      </c>
      <c r="EJ38" s="335">
        <f t="shared" si="80"/>
        <v>0</v>
      </c>
      <c r="EK38" s="350">
        <f t="shared" si="81"/>
        <v>0</v>
      </c>
      <c r="EL38" s="387">
        <f t="shared" si="82"/>
        <v>0</v>
      </c>
      <c r="EN38" s="337"/>
      <c r="EO38" s="318">
        <v>20</v>
      </c>
      <c r="EP38" s="315" t="s">
        <v>196</v>
      </c>
      <c r="EQ38" s="320">
        <v>0</v>
      </c>
      <c r="ER38" s="315">
        <v>0</v>
      </c>
      <c r="ES38" s="315">
        <v>0</v>
      </c>
      <c r="ET38" s="320" t="e">
        <f t="shared" ref="ET38:ET44" si="239">EQ38^2*(1-EQ38)/((ES38-ER38)/(2*z))^2-EQ38</f>
        <v>#DIV/0!</v>
      </c>
      <c r="EU38" s="320" t="e">
        <f t="shared" ref="EU38:EU44" si="240">(EQ38^2*(1-EQ38)/((ES38-ER38)/(2*z))^2-EQ38)*(1-EQ38)/EQ38</f>
        <v>#DIV/0!</v>
      </c>
      <c r="EV38" s="350" t="e">
        <f t="shared" ref="EV38:EV44" ca="1" si="241">_xlfn.BETA.INV(RAND(),ET38,EU38)</f>
        <v>#DIV/0!</v>
      </c>
      <c r="EW38" s="362">
        <f t="shared" si="214"/>
        <v>0</v>
      </c>
      <c r="EY38" s="363">
        <v>30</v>
      </c>
      <c r="EZ38" s="346">
        <v>0.105</v>
      </c>
      <c r="FA38" s="347">
        <f t="shared" si="182"/>
        <v>8.4000000000000005E-2</v>
      </c>
      <c r="FB38" s="347">
        <f t="shared" si="183"/>
        <v>0.126</v>
      </c>
      <c r="FC38" s="33">
        <f t="shared" si="184"/>
        <v>85.847641113031017</v>
      </c>
      <c r="FD38" s="33">
        <f t="shared" si="185"/>
        <v>731.74894091583587</v>
      </c>
      <c r="FE38" s="308">
        <f t="shared" ca="1" si="189"/>
        <v>0.1102511458823926</v>
      </c>
      <c r="FF38" s="364">
        <f t="shared" si="190"/>
        <v>0.14699999999999999</v>
      </c>
      <c r="FH38" s="324">
        <v>80</v>
      </c>
      <c r="FI38" s="406">
        <v>64616</v>
      </c>
      <c r="FJ38" s="347">
        <f t="shared" si="137"/>
        <v>0.64615999999999996</v>
      </c>
      <c r="FK38" s="388">
        <f t="shared" si="138"/>
        <v>0.56280535999999992</v>
      </c>
      <c r="FL38" s="347">
        <f t="shared" si="147"/>
        <v>0.43719464000000008</v>
      </c>
      <c r="FM38" s="396">
        <f t="shared" si="148"/>
        <v>0.10860202127026397</v>
      </c>
      <c r="FN38" s="388">
        <f t="shared" si="139"/>
        <v>0.13504743999999999</v>
      </c>
      <c r="FO38" s="347">
        <f t="shared" si="149"/>
        <v>0.86495255999999998</v>
      </c>
      <c r="FP38" s="396">
        <f t="shared" si="150"/>
        <v>0.32996533623522462</v>
      </c>
    </row>
    <row r="39" spans="2:172" ht="15" customHeight="1" x14ac:dyDescent="0.2">
      <c r="M39" s="413"/>
      <c r="N39" s="413"/>
      <c r="Q39" s="10">
        <v>33</v>
      </c>
      <c r="R39" s="10">
        <f t="shared" si="215"/>
        <v>78</v>
      </c>
      <c r="S39" s="309">
        <f t="shared" ref="S39:S70" si="242">S38*(1-VLOOKUP(R39,boc_inc,$DE$1,FALSE)-VLOOKUP(R39,boc_inc,$DH$1,FALSE)-VLOOKUP(R39,boc_uptake,$DQ$1,FALSE)-VLOOKUP(R39,boc_uptake,$DT$1,FALSE)-VLOOKUP(R39,boc_mort,$CY$1,FALSE))</f>
        <v>0.11718087656827643</v>
      </c>
      <c r="T39" s="309">
        <f t="shared" ref="T39:T70" si="243">S38*VLOOKUP(R39,boc_uptake,$DQ$1,FALSE)</f>
        <v>0</v>
      </c>
      <c r="U39" s="309">
        <f t="shared" ref="U39:U70" si="244">S38*VLOOKUP(R39,boc_uptake,$DT$1,FALSE)</f>
        <v>3.9013758200541861E-5</v>
      </c>
      <c r="V39" s="235">
        <f t="shared" ref="V39:V70" si="245">V38*(1-VLOOKUP(R39,boc_uptake,$DT$1,FALSE)-VLOOKUP(R39,boc_inc_upt,$EC$1,FALSE)-VLOOKUP(R39,boc_inc_upt,$EI$1,FALSE)-VLOOKUP(R39,boc_mort,$CY$1,FALSE))+T38</f>
        <v>1.1228940436602676E-2</v>
      </c>
      <c r="W39" s="235">
        <f t="shared" ref="W39:W70" si="246">W38*(1-VLOOKUP(R39,boc_uptake,$DQ$1,FALSE)-VLOOKUP(R39,boc_inc_upt,$EF$1,FALSE)-VLOOKUP(R39,boc_inc_upt,$EL$1,FALSE)-VLOOKUP(R39,boc_mort,$CY$1,FALSE))+U38</f>
        <v>4.2966637721999004E-2</v>
      </c>
      <c r="X39" s="309">
        <f t="shared" ref="X39:X70" si="247">V38*VLOOKUP(R39,boc_uptake,$DT$1,FALSE)+W38*VLOOKUP(R39,boc_uptake,$DQ$1,FALSE)</f>
        <v>3.6660824829920765E-6</v>
      </c>
      <c r="Y39" s="235">
        <f t="shared" ref="Y39:Y70" si="248">Y38*(1-VLOOKUP(R39,boc_inc_upt,$EL$1,FALSE)-VLOOKUP(R39,boc_mort,$CY$1,FALSE))+X38</f>
        <v>5.0769072152051275E-3</v>
      </c>
      <c r="Z39" s="235">
        <f t="shared" ref="Z39:Z70" si="249">S38*VLOOKUP(R39,boc_inc,$DE$1,FALSE)+V38*VLOOKUP(R39,boc_inc_upt,$EC$1,FALSE)+W38*VLOOKUP(R39,boc_inc_upt,$EF$1,FALSE)</f>
        <v>2.7537119769356954E-3</v>
      </c>
      <c r="AA39" s="235">
        <f t="shared" ref="AA39:AA70" si="250">AA38*(1-VLOOKUP(R39,boc_mort_pc,$DA$1,FALSE))+Z38*(1-VLOOKUP(R39,boc_mort_pc,$DA$1,FALSE))</f>
        <v>0.18205954185113193</v>
      </c>
      <c r="AB39" s="235">
        <f t="shared" ref="AB39:AB70" si="251">S38*VLOOKUP(R39,boc_inc,$DH$1,FALSE)+V38*VLOOKUP(R39,boc_inc_upt,$EI$1,FALSE)+W38*VLOOKUP(R39,boc_inc_upt,$EL$1,FALSE)+Y38*VLOOKUP(R39,boc_inc_upt,$EL$1,FALSE)</f>
        <v>3.7599456450125575E-3</v>
      </c>
      <c r="AC39" s="235">
        <f t="shared" ref="AC39:AC70" si="252">AC38*(1-VLOOKUP(R39,boc_mort_pc,$DB$1,FALSE))+AB38*(1-VLOOKUP(R39,boc_mort_pc,$DB$1,FALSE))</f>
        <v>1.1962755888657558E-2</v>
      </c>
      <c r="AD39" s="235">
        <f t="shared" ref="AD39:AD70" si="253">AD38+SUM(S38,V38,W38,Y38)*VLOOKUP(R39,boc_mort,$CY$1,FALSE)+Z38*VLOOKUP(R39,boc_mort_pc,$DA$1,TRUE)+AA38*VLOOKUP(R39,boc_mort_pc,$DA$1,FALSE)+AC38*VLOOKUP(R39,boc_mort_pc,$DB$1,FALSE)+AB38*VLOOKUP(R39,boc_mort_pc,$DB$1,TRUE)</f>
        <v>0.62296800285549547</v>
      </c>
      <c r="AE39" s="235">
        <f t="shared" si="38"/>
        <v>1</v>
      </c>
      <c r="AF39" s="101">
        <f t="shared" si="216"/>
        <v>0</v>
      </c>
      <c r="AG39" s="101">
        <f t="shared" si="217"/>
        <v>8.6925585477609424E-2</v>
      </c>
      <c r="AH39" s="101">
        <f t="shared" si="218"/>
        <v>27.572053454607428</v>
      </c>
      <c r="AI39" s="101">
        <f t="shared" si="219"/>
        <v>134.29758255096749</v>
      </c>
      <c r="AJ39" s="101">
        <f t="shared" si="220"/>
        <v>217.40828928110213</v>
      </c>
      <c r="AK39" s="101">
        <f t="shared" ref="AK39:AK70" si="254">((Z38*VLOOKUP(R39,boc_mort_pc,$DA$1,TRUE)+AA38*VLOOKUP(R39,boc_mort_pc,$DA$1,FALSE))*IF(R39&lt;65,boc_cost_bc_last_64,boc_cost_bc_last_65)+(AC38*VLOOKUP(R39,boc_mort_pc,$DB$1,FALSE)+AB38*VLOOKUP(R39,boc_mort_pc,$DB$1,TRUE))*IF(R38&lt;65,boc_cost_oc_last_64,boc_cost_oc_last_65))/((1+discount)^Q39)</f>
        <v>665.43833514601738</v>
      </c>
      <c r="AL39" s="235">
        <f t="shared" ref="AL39:AL70" si="255">(S39*util_well)/((1+discount)^Q39)</f>
        <v>4.1971252777562723E-2</v>
      </c>
      <c r="AM39" s="235">
        <f t="shared" si="221"/>
        <v>1.4132873198332598E-5</v>
      </c>
      <c r="AN39" s="235">
        <f t="shared" si="222"/>
        <v>2.1229918560379875E-2</v>
      </c>
      <c r="AO39" s="235">
        <f t="shared" si="223"/>
        <v>6.8834098130077671E-4</v>
      </c>
      <c r="AP39" s="235">
        <f t="shared" si="224"/>
        <v>8.9025166612488995E-4</v>
      </c>
      <c r="AQ39" s="235">
        <f t="shared" si="225"/>
        <v>5.8846789380973694E-2</v>
      </c>
      <c r="AR39" s="101">
        <f t="shared" si="41"/>
        <v>1044.803186018172</v>
      </c>
      <c r="AS39" s="235">
        <f t="shared" si="42"/>
        <v>0.12364068623954029</v>
      </c>
      <c r="AT39" s="235">
        <f t="shared" si="226"/>
        <v>0.14215095878236292</v>
      </c>
      <c r="AV39" s="10">
        <v>33</v>
      </c>
      <c r="AW39" s="10">
        <f t="shared" si="43"/>
        <v>78</v>
      </c>
      <c r="AX39" s="309">
        <f t="shared" ref="AX39:AX70" si="256">AX38*(1-VLOOKUP(AW39,boc_inc,$DE$1,FALSE)-VLOOKUP(AW39,boc_inc,$DH$1,FALSE)-boc_unkn_mast-boc_unkn_ooph-VLOOKUP(AW39,boc_mort,$CY$1,FALSE))</f>
        <v>0.14445080650640296</v>
      </c>
      <c r="AY39" s="309">
        <f t="shared" ref="AY39:AY70" si="257">AX38*boc_unkn_mast</f>
        <v>1.5646639378019976E-5</v>
      </c>
      <c r="AZ39" s="309">
        <f t="shared" ref="AZ39:AZ70" si="258">AX38*boc_unkn_ooph</f>
        <v>1.5646639378019976E-5</v>
      </c>
      <c r="BA39" s="235">
        <f t="shared" ref="BA39:BA70" si="259">BA38*(1-VLOOKUP(AW39,boc_uptake,$DT$1,FALSE)-VLOOKUP(AW39,boc_inc_upt,$EC$1,FALSE)-VLOOKUP(AW39,boc_inc_upt,$EI$1,FALSE)-VLOOKUP(AW39,boc_mort,$CY$1,FALSE))+AY38</f>
        <v>1.920273329553927E-3</v>
      </c>
      <c r="BB39" s="235">
        <f t="shared" ref="BB39:BB70" si="260">BB38*(1-VLOOKUP(AW39,boc_uptake,$DQ$1,FALSE)-VLOOKUP(AW39,boc_inc_upt,$EF$1,FALSE)-VLOOKUP(AW39,boc_inc_upt,$EL$1,FALSE)-VLOOKUP(AW39,boc_mort,$CY$1,FALSE))+AZ38</f>
        <v>3.0275301743172799E-3</v>
      </c>
      <c r="BC39" s="309">
        <f t="shared" ref="BC39:BC70" si="261">BA38*VLOOKUP(AW39,boc_uptake,$DT$1,FALSE)+BB38*VLOOKUP(AW39,boc_uptake,$DQ$1,FALSE)</f>
        <v>6.2142834313905306E-7</v>
      </c>
      <c r="BD39" s="235">
        <f t="shared" ref="BD39:BD70" si="262">BD38*(1-VLOOKUP(AW39,boc_inc_upt,$EL$1,FALSE)-VLOOKUP(AW39,boc_mort,$CY$1,FALSE))+BC38</f>
        <v>3.2699495688723792E-3</v>
      </c>
      <c r="BE39" s="235">
        <f t="shared" ref="BE39:BE70" si="263">AX38*VLOOKUP(AW39,boc_inc,$DE$1,FALSE)+BA38*VLOOKUP(AW39,boc_inc_upt,$EC$1,FALSE)+BB38*VLOOKUP(AW39,boc_inc_upt,$EF$1,FALSE)</f>
        <v>2.8846300022057573E-3</v>
      </c>
      <c r="BF39" s="235">
        <f t="shared" ref="BF39:BF70" si="264">BF38*(1-VLOOKUP(AW39,boc_mort_pc,$DA$1,FALSE))+BE38*(1-VLOOKUP(AW39,boc_mort_pc,$DA$1,FALSE))</f>
        <v>0.19072862609255065</v>
      </c>
      <c r="BG39" s="235">
        <f t="shared" ref="BG39:BG70" si="265">AX38*VLOOKUP(AW39,boc_inc,$DH$1,FALSE)+BA38*VLOOKUP(AW39,boc_inc_upt,$EI$1,FALSE)+BB38*VLOOKUP(AW39,boc_inc_upt,$EL$1,FALSE)+BD38*VLOOKUP(AW39,boc_inc_upt,$EL$1,FALSE)</f>
        <v>3.966591011456729E-3</v>
      </c>
      <c r="BH39" s="235">
        <f t="shared" ref="BH39:BH70" si="266">BH38*(1-VLOOKUP(AW39,boc_mort_pc,$DB$1,FALSE))+BG38*(1-VLOOKUP(AW39,boc_mort_pc,$DB$1,FALSE))</f>
        <v>1.2768468725791475E-2</v>
      </c>
      <c r="BI39" s="235">
        <f t="shared" ref="BI39:BI70" si="267">BI38+SUM(AX38,BA38,BB38,BD38)*VLOOKUP(AW39,boc_mort,$CY$1,FALSE)+BE38*VLOOKUP(AW39,boc_mort_pc,$DA$1,TRUE)+BF38*VLOOKUP(AW39,boc_mort_pc,$DA$1,FALSE)+BH38*VLOOKUP(AW39,boc_mort_pc,$DB$1,FALSE)+BG38*VLOOKUP(AW39,boc_mort_pc,$DB$1,TRUE)</f>
        <v>0.63695120988175014</v>
      </c>
      <c r="BJ39" s="235">
        <f t="shared" si="56"/>
        <v>1.0000000000000004</v>
      </c>
      <c r="BK39" s="101">
        <f t="shared" si="227"/>
        <v>4.3965886572060096E-2</v>
      </c>
      <c r="BL39" s="101">
        <f t="shared" si="228"/>
        <v>3.4861888508667553E-2</v>
      </c>
      <c r="BM39" s="101">
        <f t="shared" si="229"/>
        <v>28.882894537898427</v>
      </c>
      <c r="BN39" s="101">
        <f t="shared" si="230"/>
        <v>141.67853317604451</v>
      </c>
      <c r="BO39" s="101">
        <f t="shared" si="231"/>
        <v>228.61034775382407</v>
      </c>
      <c r="BP39" s="101">
        <f t="shared" ref="BP39:BP70" si="268">((BE38*VLOOKUP(AW39,boc_mort_pc,$DA$1,TRUE)+BF38*VLOOKUP(AW39,boc_mort_pc,$DA$1,FALSE))*IF(AW39&lt;65,boc_cost_bc_last_64,boc_cost_bc_last_65)+(BH38*VLOOKUP(AW39,boc_mort_pc,$DB$1,FALSE)+BG38*VLOOKUP(AW39,boc_mort_pc,$DB$1,TRUE))*IF(AW38&lt;65,boc_cost_oc_last_64,boc_cost_oc_last_65))/((1+discount)^AV39)</f>
        <v>701.68716676627287</v>
      </c>
      <c r="BQ39" s="235">
        <f t="shared" si="232"/>
        <v>5.1738658144193948E-2</v>
      </c>
      <c r="BR39" s="235">
        <f t="shared" si="233"/>
        <v>1.0871483265394909E-5</v>
      </c>
      <c r="BS39" s="235">
        <f t="shared" si="234"/>
        <v>2.9433931677303126E-3</v>
      </c>
      <c r="BT39" s="235">
        <f t="shared" si="235"/>
        <v>7.2106635081623145E-4</v>
      </c>
      <c r="BU39" s="235">
        <f t="shared" si="236"/>
        <v>9.3917960262789176E-4</v>
      </c>
      <c r="BV39" s="235">
        <f t="shared" si="237"/>
        <v>6.1712969857842269E-2</v>
      </c>
      <c r="BW39" s="101">
        <f t="shared" si="58"/>
        <v>1100.9377700091206</v>
      </c>
      <c r="BX39" s="235">
        <f t="shared" si="59"/>
        <v>0.11806613860647605</v>
      </c>
      <c r="BY39" s="235">
        <f t="shared" si="238"/>
        <v>0.13687892271993699</v>
      </c>
      <c r="CA39" s="23"/>
      <c r="CB39" s="21">
        <v>31</v>
      </c>
      <c r="CC39" t="str">
        <f>$M$87</f>
        <v>boc_cost_bc_cont_65</v>
      </c>
      <c r="CD39" s="101">
        <f>$F$87</f>
        <v>2032</v>
      </c>
      <c r="CE39" s="101">
        <f>$G$87</f>
        <v>3048</v>
      </c>
      <c r="CF39" s="447">
        <v>-16495.531815531787</v>
      </c>
      <c r="CG39" s="447">
        <v>-17421.649995800377</v>
      </c>
      <c r="CH39" s="266">
        <f t="shared" si="151"/>
        <v>926.11818026858964</v>
      </c>
      <c r="CJ39" s="10">
        <v>31</v>
      </c>
      <c r="CK39" s="450">
        <v>5.5344648182826459E-2</v>
      </c>
      <c r="CL39" s="450">
        <v>3.3843382445624778E-5</v>
      </c>
      <c r="CM39" s="450">
        <v>5.5344648182826459E-2</v>
      </c>
      <c r="CN39" s="450">
        <v>3.3843382445624778E-5</v>
      </c>
      <c r="CO39" s="451">
        <v>0.41624797870509933</v>
      </c>
      <c r="CP39" s="451">
        <v>0.56989826426807688</v>
      </c>
      <c r="CQ39" s="451">
        <v>0.10853331758573344</v>
      </c>
      <c r="CR39" s="451">
        <v>0.13612229180650037</v>
      </c>
      <c r="CS39" s="451">
        <v>20.586267031235543</v>
      </c>
      <c r="CT39" s="451">
        <v>19.92501816493585</v>
      </c>
      <c r="CU39" s="234">
        <v>0.66124886629969382</v>
      </c>
      <c r="CX39" s="402">
        <v>31</v>
      </c>
      <c r="CY39" s="200">
        <f t="shared" si="60"/>
        <v>7.1599999999999995E-4</v>
      </c>
      <c r="CZ39" s="403">
        <v>7.1599999999999995E-4</v>
      </c>
      <c r="DA39" s="345">
        <f t="shared" si="61"/>
        <v>2.7685695713073999E-2</v>
      </c>
      <c r="DB39" s="387">
        <f t="shared" si="62"/>
        <v>5.4756324345703988E-2</v>
      </c>
      <c r="DC39" s="114">
        <f t="shared" si="91"/>
        <v>2.3226025331156142E-2</v>
      </c>
      <c r="DD39" s="378">
        <f t="shared" si="92"/>
        <v>4.7884984099028083E-3</v>
      </c>
      <c r="DE39" s="378">
        <f t="shared" si="63"/>
        <v>1.7716963333013477E-2</v>
      </c>
      <c r="DF39" s="340">
        <f t="shared" si="93"/>
        <v>0</v>
      </c>
      <c r="DG39" s="378">
        <f t="shared" si="94"/>
        <v>0</v>
      </c>
      <c r="DH39" s="378">
        <f t="shared" si="64"/>
        <v>0</v>
      </c>
      <c r="DI39" s="340">
        <f>DI38+(DI48-DI38)/10</f>
        <v>0.06</v>
      </c>
      <c r="DJ39" s="378">
        <f t="shared" ref="DJ39" si="269">DJ38+(DJ48-DJ38)/10</f>
        <v>4.9000000000000002E-2</v>
      </c>
      <c r="DK39" s="350">
        <f t="shared" si="65"/>
        <v>5.6713242386661158E-2</v>
      </c>
      <c r="DL39" s="340">
        <f t="shared" ref="DL39" si="270">DL38+(DL48-DL38)/10</f>
        <v>2E-3</v>
      </c>
      <c r="DM39" s="378">
        <f t="shared" ref="DM39" si="271">DM38+(DM48-DM38)/10</f>
        <v>9.9999999999999995E-8</v>
      </c>
      <c r="DN39" s="396">
        <f t="shared" si="66"/>
        <v>1.4024375862803312E-3</v>
      </c>
      <c r="DO39" s="335">
        <f t="shared" si="103"/>
        <v>2.0199999999999996E-2</v>
      </c>
      <c r="DP39" s="350">
        <f t="shared" si="104"/>
        <v>2.6600000000000013E-2</v>
      </c>
      <c r="DQ39" s="349">
        <f t="shared" si="67"/>
        <v>2.2112295338669874E-2</v>
      </c>
      <c r="DR39" s="335">
        <f t="shared" si="105"/>
        <v>5.2999999999999992E-2</v>
      </c>
      <c r="DS39" s="350">
        <f t="shared" si="106"/>
        <v>5.8600000000000006E-2</v>
      </c>
      <c r="DT39" s="349">
        <f t="shared" si="68"/>
        <v>5.4673258421336135E-2</v>
      </c>
      <c r="DU39" s="335">
        <f>DU38+(DU43-DU38)/5</f>
        <v>0.26219999999999999</v>
      </c>
      <c r="DV39" s="350">
        <f>DV38+(DV43-DV38)/5</f>
        <v>0.1736</v>
      </c>
      <c r="DW39" s="350">
        <f t="shared" si="69"/>
        <v>0.23572666140528892</v>
      </c>
      <c r="DX39" s="335">
        <f>DX38+(DX43-DX38)/5</f>
        <v>0.24099999999999999</v>
      </c>
      <c r="DY39" s="350">
        <f>DY38+(DY43-DY38)/5</f>
        <v>8.3600000000000008E-2</v>
      </c>
      <c r="DZ39" s="396">
        <f t="shared" si="70"/>
        <v>0.19396948651458781</v>
      </c>
      <c r="EA39" s="350">
        <f t="shared" si="71"/>
        <v>0</v>
      </c>
      <c r="EB39" s="350">
        <f t="shared" si="72"/>
        <v>0</v>
      </c>
      <c r="EC39" s="349">
        <f t="shared" si="73"/>
        <v>0</v>
      </c>
      <c r="ED39" s="335">
        <f t="shared" si="74"/>
        <v>1.4695944838056474E-2</v>
      </c>
      <c r="EE39" s="350">
        <f t="shared" si="75"/>
        <v>1.7265078675919865E-3</v>
      </c>
      <c r="EF39" s="387">
        <f t="shared" si="76"/>
        <v>1.0820727046838981E-2</v>
      </c>
      <c r="EG39" s="335">
        <f t="shared" si="77"/>
        <v>0</v>
      </c>
      <c r="EH39" s="350">
        <f t="shared" si="78"/>
        <v>0</v>
      </c>
      <c r="EI39" s="387">
        <f t="shared" si="79"/>
        <v>0</v>
      </c>
      <c r="EJ39" s="335">
        <f t="shared" si="80"/>
        <v>0</v>
      </c>
      <c r="EK39" s="350">
        <f t="shared" si="81"/>
        <v>0</v>
      </c>
      <c r="EL39" s="387">
        <f t="shared" si="82"/>
        <v>0</v>
      </c>
      <c r="EN39" s="337"/>
      <c r="EO39" s="317">
        <v>30</v>
      </c>
      <c r="EP39" s="315" t="s">
        <v>197</v>
      </c>
      <c r="EQ39" s="308">
        <v>0</v>
      </c>
      <c r="ER39" s="308">
        <v>0</v>
      </c>
      <c r="ES39" s="308">
        <v>0</v>
      </c>
      <c r="ET39" s="320" t="e">
        <f t="shared" si="239"/>
        <v>#DIV/0!</v>
      </c>
      <c r="EU39" s="320" t="e">
        <f t="shared" si="240"/>
        <v>#DIV/0!</v>
      </c>
      <c r="EV39" s="350" t="e">
        <f t="shared" ca="1" si="241"/>
        <v>#DIV/0!</v>
      </c>
      <c r="EW39" s="362">
        <f t="shared" si="214"/>
        <v>0</v>
      </c>
      <c r="EY39" s="363">
        <v>35</v>
      </c>
      <c r="EZ39" s="346">
        <v>0.13300000000000001</v>
      </c>
      <c r="FA39" s="347">
        <f t="shared" si="182"/>
        <v>0.10640000000000001</v>
      </c>
      <c r="FB39" s="347">
        <f t="shared" si="183"/>
        <v>0.15959999999999999</v>
      </c>
      <c r="FC39" s="33">
        <f t="shared" si="184"/>
        <v>83.130619938545195</v>
      </c>
      <c r="FD39" s="33">
        <f t="shared" si="185"/>
        <v>541.91163523848638</v>
      </c>
      <c r="FE39" s="308">
        <f t="shared" ca="1" si="189"/>
        <v>0.13316996684105253</v>
      </c>
      <c r="FF39" s="364">
        <f t="shared" si="190"/>
        <v>0.28000000000000003</v>
      </c>
      <c r="FH39" s="324">
        <v>85</v>
      </c>
      <c r="FI39" s="406">
        <v>49225</v>
      </c>
      <c r="FJ39" s="347">
        <f t="shared" si="137"/>
        <v>0.49225000000000002</v>
      </c>
      <c r="FK39" s="388">
        <f t="shared" si="138"/>
        <v>0.42874975000000004</v>
      </c>
      <c r="FL39" s="347">
        <f t="shared" si="147"/>
        <v>0.57125024999999996</v>
      </c>
      <c r="FM39" s="396">
        <f t="shared" si="148"/>
        <v>0.15580888691818484</v>
      </c>
      <c r="FN39" s="388">
        <f t="shared" si="139"/>
        <v>0.10288025000000001</v>
      </c>
      <c r="FO39" s="347">
        <f t="shared" si="149"/>
        <v>0.89711974999999999</v>
      </c>
      <c r="FP39" s="396">
        <f t="shared" si="150"/>
        <v>0.36544919092924966</v>
      </c>
    </row>
    <row r="40" spans="2:172" ht="15" customHeight="1" x14ac:dyDescent="0.25">
      <c r="B40" s="78" t="s">
        <v>191</v>
      </c>
      <c r="I40" s="10"/>
      <c r="J40" s="10"/>
      <c r="K40" s="10"/>
      <c r="M40" s="413"/>
      <c r="N40" s="413"/>
      <c r="Q40" s="10">
        <v>34</v>
      </c>
      <c r="R40" s="10">
        <f t="shared" si="215"/>
        <v>79</v>
      </c>
      <c r="S40" s="309">
        <f t="shared" si="242"/>
        <v>0.10768199093689197</v>
      </c>
      <c r="T40" s="309">
        <f t="shared" si="243"/>
        <v>0</v>
      </c>
      <c r="U40" s="309">
        <f t="shared" si="244"/>
        <v>3.6013571364014033E-5</v>
      </c>
      <c r="V40" s="235">
        <f t="shared" si="245"/>
        <v>1.0523514554653491E-2</v>
      </c>
      <c r="W40" s="235">
        <f t="shared" si="246"/>
        <v>4.0693309603060723E-2</v>
      </c>
      <c r="X40" s="309">
        <f t="shared" si="247"/>
        <v>3.4510259660007713E-6</v>
      </c>
      <c r="Y40" s="235">
        <f t="shared" si="248"/>
        <v>4.8566170226695075E-3</v>
      </c>
      <c r="Z40" s="235">
        <f t="shared" si="249"/>
        <v>2.5543000099125411E-3</v>
      </c>
      <c r="AA40" s="235">
        <f t="shared" si="250"/>
        <v>0.16994969213556591</v>
      </c>
      <c r="AB40" s="235">
        <f t="shared" si="251"/>
        <v>3.4855541915729347E-3</v>
      </c>
      <c r="AC40" s="235">
        <f t="shared" si="252"/>
        <v>1.0867760658160214E-2</v>
      </c>
      <c r="AD40" s="235">
        <f t="shared" si="253"/>
        <v>0.64934779629018258</v>
      </c>
      <c r="AE40" s="235">
        <f t="shared" si="38"/>
        <v>0.99999999999999989</v>
      </c>
      <c r="AF40" s="101">
        <f t="shared" si="216"/>
        <v>0</v>
      </c>
      <c r="AG40" s="101">
        <f t="shared" si="217"/>
        <v>7.7903828851413059E-2</v>
      </c>
      <c r="AH40" s="101">
        <f t="shared" si="218"/>
        <v>24.830489356577377</v>
      </c>
      <c r="AI40" s="101">
        <f t="shared" si="219"/>
        <v>120.87075728284087</v>
      </c>
      <c r="AJ40" s="101">
        <f t="shared" si="220"/>
        <v>195.99022334650763</v>
      </c>
      <c r="AK40" s="101">
        <f t="shared" si="254"/>
        <v>597.46786285470273</v>
      </c>
      <c r="AL40" s="235">
        <f t="shared" si="255"/>
        <v>3.7445621397753266E-2</v>
      </c>
      <c r="AM40" s="235">
        <f t="shared" si="221"/>
        <v>1.263759327185682E-5</v>
      </c>
      <c r="AN40" s="235">
        <f t="shared" si="222"/>
        <v>1.9499127297343408E-2</v>
      </c>
      <c r="AO40" s="235">
        <f t="shared" si="223"/>
        <v>6.1989736956022151E-4</v>
      </c>
      <c r="AP40" s="235">
        <f t="shared" si="224"/>
        <v>8.0124594212996184E-4</v>
      </c>
      <c r="AQ40" s="235">
        <f t="shared" si="225"/>
        <v>5.325369021502617E-2</v>
      </c>
      <c r="AR40" s="101">
        <f t="shared" si="41"/>
        <v>939.23723666948001</v>
      </c>
      <c r="AS40" s="235">
        <f t="shared" si="42"/>
        <v>0.11163221981508489</v>
      </c>
      <c r="AT40" s="235">
        <f t="shared" si="226"/>
        <v>0.12835445075149551</v>
      </c>
      <c r="AV40" s="10">
        <v>34</v>
      </c>
      <c r="AW40" s="10">
        <f t="shared" si="43"/>
        <v>79</v>
      </c>
      <c r="AX40" s="309">
        <f t="shared" si="256"/>
        <v>0.13275687729634178</v>
      </c>
      <c r="AY40" s="309">
        <f t="shared" si="257"/>
        <v>1.4445080650640297E-5</v>
      </c>
      <c r="AZ40" s="309">
        <f t="shared" si="258"/>
        <v>1.4445080650640297E-5</v>
      </c>
      <c r="BA40" s="235">
        <f t="shared" si="259"/>
        <v>1.8152843208285438E-3</v>
      </c>
      <c r="BB40" s="235">
        <f t="shared" si="260"/>
        <v>2.8802437759353804E-3</v>
      </c>
      <c r="BC40" s="309">
        <f t="shared" si="261"/>
        <v>5.9016370774465847E-7</v>
      </c>
      <c r="BD40" s="235">
        <f t="shared" si="262"/>
        <v>3.1263245704244024E-3</v>
      </c>
      <c r="BE40" s="235">
        <f t="shared" si="263"/>
        <v>2.6641075744522264E-3</v>
      </c>
      <c r="BF40" s="235">
        <f t="shared" si="264"/>
        <v>0.17804195632678763</v>
      </c>
      <c r="BG40" s="235">
        <f t="shared" si="265"/>
        <v>3.6647656305820132E-3</v>
      </c>
      <c r="BH40" s="235">
        <f t="shared" si="266"/>
        <v>1.1567517416453362E-2</v>
      </c>
      <c r="BI40" s="235">
        <f t="shared" si="267"/>
        <v>0.6634534427631863</v>
      </c>
      <c r="BJ40" s="235">
        <f t="shared" si="56"/>
        <v>1.0000000000000007</v>
      </c>
      <c r="BK40" s="101">
        <f t="shared" si="227"/>
        <v>3.9407375148121357E-2</v>
      </c>
      <c r="BL40" s="101">
        <f t="shared" si="228"/>
        <v>3.1247306171828453E-2</v>
      </c>
      <c r="BM40" s="101">
        <f t="shared" si="229"/>
        <v>25.897934665269872</v>
      </c>
      <c r="BN40" s="101">
        <f t="shared" si="230"/>
        <v>127.08538518882669</v>
      </c>
      <c r="BO40" s="101">
        <f t="shared" si="231"/>
        <v>205.9594301348711</v>
      </c>
      <c r="BP40" s="101">
        <f t="shared" si="268"/>
        <v>629.33702083795015</v>
      </c>
      <c r="BQ40" s="235">
        <f t="shared" si="232"/>
        <v>4.6165228948080998E-2</v>
      </c>
      <c r="BR40" s="235">
        <f t="shared" si="233"/>
        <v>9.7435563170203347E-6</v>
      </c>
      <c r="BS40" s="235">
        <f t="shared" si="234"/>
        <v>2.7199918115945122E-3</v>
      </c>
      <c r="BT40" s="235">
        <f t="shared" si="235"/>
        <v>6.4654632236600239E-4</v>
      </c>
      <c r="BU40" s="235">
        <f t="shared" si="236"/>
        <v>8.4244238619514389E-4</v>
      </c>
      <c r="BV40" s="235">
        <f t="shared" si="237"/>
        <v>5.5837439685577431E-2</v>
      </c>
      <c r="BW40" s="101">
        <f t="shared" si="58"/>
        <v>988.35042550823778</v>
      </c>
      <c r="BX40" s="235">
        <f t="shared" si="59"/>
        <v>0.1062213927101311</v>
      </c>
      <c r="BY40" s="235">
        <f t="shared" si="238"/>
        <v>0.12319115080248003</v>
      </c>
      <c r="CA40" s="23"/>
      <c r="CB40" s="21">
        <v>33</v>
      </c>
      <c r="CC40" t="str">
        <f>$M$89</f>
        <v>boc_cost_oc_initial_65</v>
      </c>
      <c r="CD40" s="101">
        <f>$F$89</f>
        <v>75788.800000000003</v>
      </c>
      <c r="CE40" s="101">
        <f>$G$89</f>
        <v>113683.2</v>
      </c>
      <c r="CF40" s="447">
        <v>-16524.082280493381</v>
      </c>
      <c r="CG40" s="447">
        <v>-17393.099530838783</v>
      </c>
      <c r="CH40" s="266">
        <f t="shared" si="151"/>
        <v>869.01725034540141</v>
      </c>
      <c r="CJ40" s="10">
        <v>32</v>
      </c>
      <c r="CK40" s="450">
        <v>7.0724812859095654E-2</v>
      </c>
      <c r="CL40" s="450">
        <v>1.0320325833400128E-4</v>
      </c>
      <c r="CM40" s="450">
        <v>7.0724812859095654E-2</v>
      </c>
      <c r="CN40" s="450">
        <v>1.0320325833400128E-4</v>
      </c>
      <c r="CO40" s="451">
        <v>0.41366752679105939</v>
      </c>
      <c r="CP40" s="451">
        <v>0.55407660940282688</v>
      </c>
      <c r="CQ40" s="451">
        <v>0.10939492538732544</v>
      </c>
      <c r="CR40" s="451">
        <v>0.13637046018028509</v>
      </c>
      <c r="CS40" s="451">
        <v>20.261881514578686</v>
      </c>
      <c r="CT40" s="451">
        <v>19.645740417187422</v>
      </c>
      <c r="CU40" s="234">
        <v>0.61614109739126377</v>
      </c>
      <c r="CX40" s="402">
        <v>32</v>
      </c>
      <c r="CY40" s="200">
        <f t="shared" ref="CY40:CY71" si="272">IF($CZ$7,CZ40,0)</f>
        <v>7.5699999999999997E-4</v>
      </c>
      <c r="CZ40" s="403">
        <v>7.5699999999999997E-4</v>
      </c>
      <c r="DA40" s="345">
        <f t="shared" ref="DA40:DA71" si="273">VLOOKUP($CX40,$FH$22:$FP$42,6,TRUE)</f>
        <v>2.7685695713073999E-2</v>
      </c>
      <c r="DB40" s="387">
        <f t="shared" ref="DB40:DB71" si="274">VLOOKUP($CX40,$FH$22:$FP$42,9,TRUE)</f>
        <v>5.4756324345703988E-2</v>
      </c>
      <c r="DC40" s="114">
        <f t="shared" si="91"/>
        <v>2.3226025331156142E-2</v>
      </c>
      <c r="DD40" s="378">
        <f t="shared" si="92"/>
        <v>4.7884984099028083E-3</v>
      </c>
      <c r="DE40" s="378">
        <f t="shared" ref="DE40:DE71" si="275">IF($DE$6,boc_mut_brca1*DC40+boc_mut_brca2*DD40,0)</f>
        <v>1.7716963333013477E-2</v>
      </c>
      <c r="DF40" s="340">
        <f t="shared" si="93"/>
        <v>0</v>
      </c>
      <c r="DG40" s="378">
        <f t="shared" si="94"/>
        <v>0</v>
      </c>
      <c r="DH40" s="378">
        <f t="shared" ref="DH40:DH71" si="276">IF($DH$6,boc_mut_brca1*DF40+boc_mut_brca2*DG40,0)</f>
        <v>0</v>
      </c>
      <c r="DI40" s="340">
        <f>DI39+(DI48-DI38)/10</f>
        <v>7.9999999999999988E-2</v>
      </c>
      <c r="DJ40" s="378">
        <f t="shared" ref="DJ40" si="277">DJ39+(DJ48-DJ38)/10</f>
        <v>5.8000000000000003E-2</v>
      </c>
      <c r="DK40" s="350">
        <f t="shared" ref="DK40:DK71" si="278">IF($DK$4,boc_mut_brca1*DI40+boc_mut_brca2*DJ40,0)</f>
        <v>7.3426484773322309E-2</v>
      </c>
      <c r="DL40" s="340">
        <f t="shared" ref="DL40" si="279">DL39+(DL48-DL38)/10</f>
        <v>4.0000000000000001E-3</v>
      </c>
      <c r="DM40" s="378">
        <f t="shared" ref="DM40" si="280">DM39+(DM48-DM38)/10</f>
        <v>1.9999999999999999E-7</v>
      </c>
      <c r="DN40" s="396">
        <f t="shared" ref="DN40:DN71" si="281">IF($DN$4,boc_mut_brca1*DL40+boc_mut_brca2*DM40,0)</f>
        <v>2.8048751725606625E-3</v>
      </c>
      <c r="DO40" s="335">
        <f t="shared" si="103"/>
        <v>2.0199999999999996E-2</v>
      </c>
      <c r="DP40" s="350">
        <f t="shared" si="104"/>
        <v>2.6600000000000013E-2</v>
      </c>
      <c r="DQ40" s="349">
        <f t="shared" ref="DQ40:DQ71" si="282">boc_mut_brca1*DO40+boc_mut_brca2*DP40</f>
        <v>2.2112295338669874E-2</v>
      </c>
      <c r="DR40" s="335">
        <f t="shared" si="105"/>
        <v>5.2999999999999992E-2</v>
      </c>
      <c r="DS40" s="350">
        <f t="shared" si="106"/>
        <v>5.8599999999999985E-2</v>
      </c>
      <c r="DT40" s="349">
        <f t="shared" ref="DT40:DT71" si="283">boc_mut_brca1*DR40+boc_mut_brca2*DS40</f>
        <v>5.4673258421336135E-2</v>
      </c>
      <c r="DU40" s="335">
        <f>DU39+(DU43-DU38)/5</f>
        <v>0.28239999999999998</v>
      </c>
      <c r="DV40" s="350">
        <f>DV39+(DV43-DV38)/5</f>
        <v>0.20020000000000002</v>
      </c>
      <c r="DW40" s="350">
        <f t="shared" ref="DW40:DW71" si="284">IF($DW$4,boc_mut_brca1*DU40+boc_mut_brca2*DV40,0)</f>
        <v>0.25783895674395885</v>
      </c>
      <c r="DX40" s="335">
        <f>DX39+(DX43-DX38)/5</f>
        <v>0.29399999999999998</v>
      </c>
      <c r="DY40" s="350">
        <f>DY39+(DY43-DY38)/5</f>
        <v>0.14219999999999999</v>
      </c>
      <c r="DZ40" s="396">
        <f t="shared" ref="DZ40:DZ71" si="285">IF($DZ$4,boc_mut_brca1*DX40+boc_mut_brca2*DY40,0)</f>
        <v>0.24864274493592392</v>
      </c>
      <c r="EA40" s="350">
        <f t="shared" ref="EA40:EA71" si="286">1-EXP(-((-LN(1-DC40))*boc_hr_bc_mast_1))</f>
        <v>0</v>
      </c>
      <c r="EB40" s="350">
        <f t="shared" ref="EB40:EB71" si="287">1-EXP(-((-LN(1-DD40))*boc_hr_bc_mast_2))</f>
        <v>0</v>
      </c>
      <c r="EC40" s="349">
        <f t="shared" ref="EC40:EC71" si="288">boc_mut_brca1*EA40+boc_mut_brca2*EB40</f>
        <v>0</v>
      </c>
      <c r="ED40" s="335">
        <f t="shared" ref="ED40:ED71" si="289">1-EXP(-((-LN(1-DC40))*boc_hr_bc_ooph_1))</f>
        <v>1.4695944838056474E-2</v>
      </c>
      <c r="EE40" s="350">
        <f t="shared" ref="EE40:EE71" si="290">1-EXP(-((-LN(1-DD40))*boc_hr_bc_ooph_2))</f>
        <v>1.7265078675919865E-3</v>
      </c>
      <c r="EF40" s="387">
        <f t="shared" ref="EF40:EF71" si="291">boc_mut_brca1*ED40+boc_mut_brca2*EE40</f>
        <v>1.0820727046838981E-2</v>
      </c>
      <c r="EG40" s="335">
        <f t="shared" ref="EG40:EG71" si="292">1-EXP(-((-LN(1-DF40))*boc_hr_oc_mast_1))</f>
        <v>0</v>
      </c>
      <c r="EH40" s="350">
        <f t="shared" ref="EH40:EH71" si="293">1-EXP(-((-LN(1-DG40))*boc_hr_oc_mast_2))</f>
        <v>0</v>
      </c>
      <c r="EI40" s="387">
        <f t="shared" ref="EI40:EI71" si="294">boc_mut_brca1*EG40+boc_mut_brca2*EH40</f>
        <v>0</v>
      </c>
      <c r="EJ40" s="335">
        <f t="shared" ref="EJ40:EJ71" si="295">1-EXP(-((-LN(1-DF40))*boc_hr_oc_ooph_1))</f>
        <v>0</v>
      </c>
      <c r="EK40" s="350">
        <f t="shared" ref="EK40:EK71" si="296">1-EXP(-((-LN(1-DG40))*boc_hr_oc_ooph_2))</f>
        <v>0</v>
      </c>
      <c r="EL40" s="387">
        <f t="shared" ref="EL40:EL71" si="297">boc_mut_brca1*EJ40+boc_mut_brca2*EK40</f>
        <v>0</v>
      </c>
      <c r="EN40" s="337"/>
      <c r="EO40" s="317">
        <v>40</v>
      </c>
      <c r="EP40" s="315" t="s">
        <v>198</v>
      </c>
      <c r="EQ40" s="308">
        <v>0.02</v>
      </c>
      <c r="ER40" s="308">
        <v>0.01</v>
      </c>
      <c r="ES40" s="308">
        <v>0.03</v>
      </c>
      <c r="ET40" s="320">
        <f t="shared" si="239"/>
        <v>15.038518577120968</v>
      </c>
      <c r="EU40" s="320">
        <f t="shared" si="240"/>
        <v>736.8874102789274</v>
      </c>
      <c r="EV40" s="350">
        <f t="shared" ca="1" si="241"/>
        <v>1.7544237225715787E-2</v>
      </c>
      <c r="EW40" s="362">
        <f t="shared" si="214"/>
        <v>0.02</v>
      </c>
      <c r="EY40" s="363">
        <v>40</v>
      </c>
      <c r="EZ40" s="346">
        <v>8.5000000000000006E-2</v>
      </c>
      <c r="FA40" s="347">
        <f t="shared" si="182"/>
        <v>6.8000000000000005E-2</v>
      </c>
      <c r="FB40" s="347">
        <f t="shared" si="183"/>
        <v>0.10200000000000001</v>
      </c>
      <c r="FC40" s="33">
        <f t="shared" si="184"/>
        <v>87.788370523378077</v>
      </c>
      <c r="FD40" s="33">
        <f t="shared" si="185"/>
        <v>945.01598857518752</v>
      </c>
      <c r="FE40" s="308">
        <f t="shared" ca="1" si="189"/>
        <v>8.9013897687501231E-2</v>
      </c>
      <c r="FF40" s="364">
        <f t="shared" si="190"/>
        <v>0.36500000000000005</v>
      </c>
      <c r="FH40" s="324">
        <v>90</v>
      </c>
      <c r="FI40" s="406">
        <v>30228</v>
      </c>
      <c r="FJ40" s="347">
        <f t="shared" si="137"/>
        <v>0.30227999999999999</v>
      </c>
      <c r="FK40" s="388">
        <f t="shared" si="138"/>
        <v>0.26328587999999997</v>
      </c>
      <c r="FL40" s="347">
        <f t="shared" si="147"/>
        <v>0.73671412000000003</v>
      </c>
      <c r="FM40" s="396">
        <f t="shared" si="148"/>
        <v>0.23425263028746202</v>
      </c>
      <c r="FN40" s="388">
        <f t="shared" si="139"/>
        <v>6.317652E-2</v>
      </c>
      <c r="FO40" s="347">
        <f t="shared" si="149"/>
        <v>0.93682348000000004</v>
      </c>
      <c r="FP40" s="396">
        <f t="shared" si="150"/>
        <v>0.4244127834738316</v>
      </c>
    </row>
    <row r="41" spans="2:172" ht="15" customHeight="1" x14ac:dyDescent="0.2">
      <c r="B41" s="397" t="s">
        <v>229</v>
      </c>
      <c r="C41" s="331">
        <f>1-(boc_aff_bc*VLOOKUP(age,boc_inc,$DK$1,FALSE)+(1-boc_aff_bc)*VLOOKUP(age,boc_inc,$DN$1,FALSE))</f>
        <v>0.72125075801970684</v>
      </c>
      <c r="L41" s="25"/>
      <c r="M41" s="229" t="s">
        <v>230</v>
      </c>
      <c r="N41" s="414" t="s">
        <v>312</v>
      </c>
      <c r="Q41" s="10">
        <v>35</v>
      </c>
      <c r="R41" s="10">
        <f t="shared" si="215"/>
        <v>80</v>
      </c>
      <c r="S41" s="309">
        <f t="shared" si="242"/>
        <v>0.10020844448635415</v>
      </c>
      <c r="T41" s="309">
        <f t="shared" si="243"/>
        <v>0</v>
      </c>
      <c r="U41" s="309">
        <f t="shared" si="244"/>
        <v>3.3094248641894663E-5</v>
      </c>
      <c r="V41" s="235">
        <f t="shared" si="245"/>
        <v>9.9820120880104307E-3</v>
      </c>
      <c r="W41" s="235">
        <f t="shared" si="246"/>
        <v>3.8574098047985388E-2</v>
      </c>
      <c r="X41" s="309">
        <f t="shared" si="247"/>
        <v>3.2342251868504698E-6</v>
      </c>
      <c r="Y41" s="235">
        <f t="shared" si="248"/>
        <v>4.6494611760016487E-3</v>
      </c>
      <c r="Z41" s="235">
        <f t="shared" si="249"/>
        <v>2.3231783359197945E-3</v>
      </c>
      <c r="AA41" s="235">
        <f t="shared" si="250"/>
        <v>0.15376970992128974</v>
      </c>
      <c r="AB41" s="235">
        <f t="shared" si="251"/>
        <v>1.1228490177010724E-3</v>
      </c>
      <c r="AC41" s="235">
        <f t="shared" si="252"/>
        <v>9.6172184892509074E-3</v>
      </c>
      <c r="AD41" s="235">
        <f t="shared" si="253"/>
        <v>0.67971669996365802</v>
      </c>
      <c r="AE41" s="235">
        <f t="shared" si="38"/>
        <v>1</v>
      </c>
      <c r="AF41" s="101">
        <f t="shared" si="216"/>
        <v>0</v>
      </c>
      <c r="AG41" s="101">
        <f t="shared" si="217"/>
        <v>6.9503698068442782E-2</v>
      </c>
      <c r="AH41" s="101">
        <f t="shared" si="218"/>
        <v>21.925964068063148</v>
      </c>
      <c r="AI41" s="101">
        <f t="shared" si="219"/>
        <v>37.803633356587618</v>
      </c>
      <c r="AJ41" s="101">
        <f t="shared" si="220"/>
        <v>171.43362759879341</v>
      </c>
      <c r="AK41" s="101">
        <f t="shared" si="254"/>
        <v>674.71995812789794</v>
      </c>
      <c r="AL41" s="235">
        <f t="shared" si="255"/>
        <v>3.3831796616121006E-2</v>
      </c>
      <c r="AM41" s="235">
        <f t="shared" si="221"/>
        <v>1.1251242463407914E-5</v>
      </c>
      <c r="AN41" s="235">
        <f t="shared" si="222"/>
        <v>1.7962957879434412E-2</v>
      </c>
      <c r="AO41" s="235">
        <f t="shared" si="223"/>
        <v>5.4738540411664982E-4</v>
      </c>
      <c r="AP41" s="235">
        <f t="shared" si="224"/>
        <v>2.5059831265766998E-4</v>
      </c>
      <c r="AQ41" s="235">
        <f t="shared" si="225"/>
        <v>4.6725049457995278E-2</v>
      </c>
      <c r="AR41" s="101">
        <f t="shared" si="41"/>
        <v>905.95268684941061</v>
      </c>
      <c r="AS41" s="235">
        <f t="shared" si="42"/>
        <v>9.9329038912788423E-2</v>
      </c>
      <c r="AT41" s="235">
        <f t="shared" si="226"/>
        <v>0.11382336742819839</v>
      </c>
      <c r="AV41" s="10">
        <v>35</v>
      </c>
      <c r="AW41" s="10">
        <f t="shared" si="43"/>
        <v>80</v>
      </c>
      <c r="AX41" s="309">
        <f t="shared" si="256"/>
        <v>0.12355728601511697</v>
      </c>
      <c r="AY41" s="309">
        <f t="shared" si="257"/>
        <v>1.3275687729634179E-5</v>
      </c>
      <c r="AZ41" s="309">
        <f t="shared" si="258"/>
        <v>1.3275687729634179E-5</v>
      </c>
      <c r="BA41" s="235">
        <f t="shared" si="259"/>
        <v>1.7363213549295212E-3</v>
      </c>
      <c r="BB41" s="235">
        <f t="shared" si="260"/>
        <v>2.7421435409870267E-3</v>
      </c>
      <c r="BC41" s="309">
        <f t="shared" si="261"/>
        <v>5.5789710188810023E-7</v>
      </c>
      <c r="BD41" s="235">
        <f t="shared" si="262"/>
        <v>2.9913418780592657E-3</v>
      </c>
      <c r="BE41" s="235">
        <f t="shared" si="263"/>
        <v>2.4102895671743677E-3</v>
      </c>
      <c r="BF41" s="235">
        <f t="shared" si="264"/>
        <v>0.16108102010577172</v>
      </c>
      <c r="BG41" s="235">
        <f t="shared" si="265"/>
        <v>1.2215585025371872E-3</v>
      </c>
      <c r="BH41" s="235">
        <f t="shared" si="266"/>
        <v>1.0206157649790236E-2</v>
      </c>
      <c r="BI41" s="235">
        <f t="shared" si="267"/>
        <v>0.69402677211307318</v>
      </c>
      <c r="BJ41" s="235">
        <f t="shared" si="56"/>
        <v>1.0000000000000007</v>
      </c>
      <c r="BK41" s="101">
        <f t="shared" si="227"/>
        <v>3.5162305347884115E-2</v>
      </c>
      <c r="BL41" s="101">
        <f t="shared" si="228"/>
        <v>2.7881261230489111E-2</v>
      </c>
      <c r="BM41" s="101">
        <f t="shared" si="229"/>
        <v>22.748112629316971</v>
      </c>
      <c r="BN41" s="101">
        <f t="shared" si="230"/>
        <v>41.126944963701263</v>
      </c>
      <c r="BO41" s="101">
        <f t="shared" si="231"/>
        <v>180.03153543066603</v>
      </c>
      <c r="BP41" s="101">
        <f t="shared" si="268"/>
        <v>709.44518022361876</v>
      </c>
      <c r="BQ41" s="235">
        <f t="shared" si="232"/>
        <v>4.1714697721633255E-2</v>
      </c>
      <c r="BR41" s="235">
        <f t="shared" si="233"/>
        <v>8.6933349205368976E-6</v>
      </c>
      <c r="BS41" s="235">
        <f t="shared" si="234"/>
        <v>2.5219130466922514E-3</v>
      </c>
      <c r="BT41" s="235">
        <f t="shared" si="235"/>
        <v>5.6791048210404617E-4</v>
      </c>
      <c r="BU41" s="235">
        <f t="shared" si="236"/>
        <v>2.7262837186712967E-4</v>
      </c>
      <c r="BV41" s="235">
        <f t="shared" si="237"/>
        <v>4.8980382669168931E-2</v>
      </c>
      <c r="BW41" s="101">
        <f t="shared" si="58"/>
        <v>953.41481681388143</v>
      </c>
      <c r="BX41" s="235">
        <f t="shared" si="59"/>
        <v>9.4066225626386168E-2</v>
      </c>
      <c r="BY41" s="235">
        <f t="shared" si="238"/>
        <v>0.10873780536485629</v>
      </c>
      <c r="CA41" s="23"/>
      <c r="CB41" s="21">
        <v>9</v>
      </c>
      <c r="CC41" t="str">
        <f>$M$53</f>
        <v>boc_hr_oc_mast_1</v>
      </c>
      <c r="CD41" s="23">
        <f>$F$53</f>
        <v>0.8</v>
      </c>
      <c r="CE41" s="23">
        <f>$G$53</f>
        <v>1.2</v>
      </c>
      <c r="CF41" s="447">
        <v>-17346.764618963585</v>
      </c>
      <c r="CG41" s="447">
        <v>-16561.264902888237</v>
      </c>
      <c r="CH41" s="266">
        <f t="shared" si="151"/>
        <v>785.49971607534826</v>
      </c>
      <c r="CJ41" s="10">
        <v>33</v>
      </c>
      <c r="CK41" s="450">
        <v>8.6120035344692314E-2</v>
      </c>
      <c r="CL41" s="450">
        <v>1.8762094354986091E-4</v>
      </c>
      <c r="CM41" s="450">
        <v>8.6120035344692314E-2</v>
      </c>
      <c r="CN41" s="450">
        <v>1.8762094354986091E-4</v>
      </c>
      <c r="CO41" s="451">
        <v>0.41132427448028175</v>
      </c>
      <c r="CP41" s="451">
        <v>0.53838208707394475</v>
      </c>
      <c r="CQ41" s="451">
        <v>0.11027983602158507</v>
      </c>
      <c r="CR41" s="451">
        <v>0.13658256195178262</v>
      </c>
      <c r="CS41" s="451">
        <v>19.931914227077559</v>
      </c>
      <c r="CT41" s="451">
        <v>19.363012753810533</v>
      </c>
      <c r="CU41" s="234">
        <v>0.56890147326702589</v>
      </c>
      <c r="CX41" s="402">
        <v>33</v>
      </c>
      <c r="CY41" s="200">
        <f t="shared" si="272"/>
        <v>8.0500000000000005E-4</v>
      </c>
      <c r="CZ41" s="403">
        <v>8.0500000000000005E-4</v>
      </c>
      <c r="DA41" s="345">
        <f t="shared" si="273"/>
        <v>2.7685695713073999E-2</v>
      </c>
      <c r="DB41" s="387">
        <f t="shared" si="274"/>
        <v>5.4756324345703988E-2</v>
      </c>
      <c r="DC41" s="114">
        <f t="shared" si="91"/>
        <v>2.3226025331156142E-2</v>
      </c>
      <c r="DD41" s="378">
        <f t="shared" si="92"/>
        <v>4.7884984099028083E-3</v>
      </c>
      <c r="DE41" s="378">
        <f t="shared" si="275"/>
        <v>1.7716963333013477E-2</v>
      </c>
      <c r="DF41" s="340">
        <f t="shared" si="93"/>
        <v>0</v>
      </c>
      <c r="DG41" s="378">
        <f t="shared" si="94"/>
        <v>0</v>
      </c>
      <c r="DH41" s="378">
        <f t="shared" si="276"/>
        <v>0</v>
      </c>
      <c r="DI41" s="340">
        <f>DI40+(DI48-DI38)/10</f>
        <v>9.9999999999999978E-2</v>
      </c>
      <c r="DJ41" s="378">
        <f t="shared" ref="DJ41" si="298">DJ40+(DJ48-DJ38)/10</f>
        <v>6.7000000000000004E-2</v>
      </c>
      <c r="DK41" s="350">
        <f t="shared" si="278"/>
        <v>9.0139727159983446E-2</v>
      </c>
      <c r="DL41" s="340">
        <f t="shared" ref="DL41" si="299">DL40+(DL48-DL38)/10</f>
        <v>6.0000000000000001E-3</v>
      </c>
      <c r="DM41" s="378">
        <f t="shared" ref="DM41" si="300">DM40+(DM48-DM38)/10</f>
        <v>2.9999999999999999E-7</v>
      </c>
      <c r="DN41" s="396">
        <f t="shared" si="281"/>
        <v>4.2073127588409939E-3</v>
      </c>
      <c r="DO41" s="335">
        <f t="shared" si="103"/>
        <v>2.0199999999999996E-2</v>
      </c>
      <c r="DP41" s="350">
        <f t="shared" si="104"/>
        <v>2.6600000000000013E-2</v>
      </c>
      <c r="DQ41" s="349">
        <f t="shared" si="282"/>
        <v>2.2112295338669874E-2</v>
      </c>
      <c r="DR41" s="335">
        <f t="shared" si="105"/>
        <v>5.2999999999999992E-2</v>
      </c>
      <c r="DS41" s="350">
        <f t="shared" si="106"/>
        <v>5.8599999999999985E-2</v>
      </c>
      <c r="DT41" s="349">
        <f t="shared" si="283"/>
        <v>5.4673258421336135E-2</v>
      </c>
      <c r="DU41" s="335">
        <f>DU40+(DU43-DU38)/5</f>
        <v>0.30259999999999998</v>
      </c>
      <c r="DV41" s="350">
        <f>DV40+(DV43-DV38)/5</f>
        <v>0.22680000000000003</v>
      </c>
      <c r="DW41" s="350">
        <f t="shared" si="284"/>
        <v>0.27995125208262872</v>
      </c>
      <c r="DX41" s="335">
        <f>DX40+(DX43-DX38)/5</f>
        <v>0.34699999999999998</v>
      </c>
      <c r="DY41" s="350">
        <f>DY40+(DY43-DY38)/5</f>
        <v>0.20079999999999998</v>
      </c>
      <c r="DZ41" s="396">
        <f t="shared" si="285"/>
        <v>0.30331600335726006</v>
      </c>
      <c r="EA41" s="350">
        <f t="shared" si="286"/>
        <v>0</v>
      </c>
      <c r="EB41" s="350">
        <f t="shared" si="287"/>
        <v>0</v>
      </c>
      <c r="EC41" s="349">
        <f t="shared" si="288"/>
        <v>0</v>
      </c>
      <c r="ED41" s="335">
        <f t="shared" si="289"/>
        <v>1.4695944838056474E-2</v>
      </c>
      <c r="EE41" s="350">
        <f t="shared" si="290"/>
        <v>1.7265078675919865E-3</v>
      </c>
      <c r="EF41" s="387">
        <f t="shared" si="291"/>
        <v>1.0820727046838981E-2</v>
      </c>
      <c r="EG41" s="335">
        <f t="shared" si="292"/>
        <v>0</v>
      </c>
      <c r="EH41" s="350">
        <f t="shared" si="293"/>
        <v>0</v>
      </c>
      <c r="EI41" s="387">
        <f t="shared" si="294"/>
        <v>0</v>
      </c>
      <c r="EJ41" s="335">
        <f t="shared" si="295"/>
        <v>0</v>
      </c>
      <c r="EK41" s="350">
        <f t="shared" si="296"/>
        <v>0</v>
      </c>
      <c r="EL41" s="387">
        <f t="shared" si="297"/>
        <v>0</v>
      </c>
      <c r="EN41" s="337"/>
      <c r="EO41" s="317">
        <v>50</v>
      </c>
      <c r="EP41" s="315" t="s">
        <v>199</v>
      </c>
      <c r="EQ41" s="308">
        <v>0.08</v>
      </c>
      <c r="ER41" s="308">
        <v>0.06</v>
      </c>
      <c r="ES41" s="308">
        <v>0.12</v>
      </c>
      <c r="ET41" s="320">
        <f t="shared" si="239"/>
        <v>25.051677262496671</v>
      </c>
      <c r="EU41" s="320">
        <f t="shared" si="240"/>
        <v>288.09428851871172</v>
      </c>
      <c r="EV41" s="350">
        <f t="shared" ca="1" si="241"/>
        <v>8.024999452715087E-2</v>
      </c>
      <c r="EW41" s="362">
        <f t="shared" si="214"/>
        <v>0.08</v>
      </c>
      <c r="EY41" s="363">
        <v>45</v>
      </c>
      <c r="EZ41" s="346">
        <v>5.8999999999999997E-2</v>
      </c>
      <c r="FA41" s="347">
        <f t="shared" si="182"/>
        <v>4.7199999999999999E-2</v>
      </c>
      <c r="FB41" s="347">
        <f t="shared" si="183"/>
        <v>7.0799999999999988E-2</v>
      </c>
      <c r="FC41" s="33">
        <f t="shared" si="184"/>
        <v>90.311318756829323</v>
      </c>
      <c r="FD41" s="33">
        <f t="shared" si="185"/>
        <v>1440.3889991555322</v>
      </c>
      <c r="FE41" s="308">
        <f t="shared" ca="1" si="189"/>
        <v>6.2641921644685183E-2</v>
      </c>
      <c r="FF41" s="364">
        <f t="shared" si="190"/>
        <v>0.42400000000000004</v>
      </c>
      <c r="FH41" s="324">
        <v>95</v>
      </c>
      <c r="FI41" s="406">
        <v>12697</v>
      </c>
      <c r="FJ41" s="347">
        <f t="shared" si="137"/>
        <v>0.12697</v>
      </c>
      <c r="FK41" s="388">
        <f t="shared" si="138"/>
        <v>0.11059086999999999</v>
      </c>
      <c r="FL41" s="347">
        <f t="shared" si="147"/>
        <v>0.88940912999999999</v>
      </c>
      <c r="FM41" s="396">
        <f t="shared" si="148"/>
        <v>0.35621055082249475</v>
      </c>
      <c r="FN41" s="388">
        <f t="shared" si="139"/>
        <v>2.6536729999999998E-2</v>
      </c>
      <c r="FO41" s="347">
        <f t="shared" si="149"/>
        <v>0.97346326999999999</v>
      </c>
      <c r="FP41" s="396">
        <f t="shared" si="150"/>
        <v>0.51608455773070072</v>
      </c>
    </row>
    <row r="42" spans="2:172" ht="15" customHeight="1" x14ac:dyDescent="0.2">
      <c r="B42" s="15" t="s">
        <v>284</v>
      </c>
      <c r="C42" s="331">
        <f>IFERROR(VLOOKUP(age,boc_inc,$DK$1,FALSE)/(VLOOKUP(age,boc_inc,$DK$1,FALSE)+VLOOKUP(age,boc_inc,$DN$1,FALSE)),0)</f>
        <v>0.89738638740847154</v>
      </c>
      <c r="M42" s="229" t="s">
        <v>209</v>
      </c>
      <c r="N42" s="414" t="s">
        <v>312</v>
      </c>
      <c r="Q42" s="10">
        <v>36</v>
      </c>
      <c r="R42" s="10">
        <f t="shared" si="215"/>
        <v>81</v>
      </c>
      <c r="S42" s="309">
        <f t="shared" si="242"/>
        <v>9.3355165726326031E-2</v>
      </c>
      <c r="T42" s="309">
        <f t="shared" si="243"/>
        <v>0</v>
      </c>
      <c r="U42" s="309">
        <f t="shared" si="244"/>
        <v>2.3098034887224655E-5</v>
      </c>
      <c r="V42" s="235">
        <f t="shared" si="245"/>
        <v>9.4214562830669257E-3</v>
      </c>
      <c r="W42" s="235">
        <f t="shared" si="246"/>
        <v>3.6519429708628537E-2</v>
      </c>
      <c r="X42" s="309">
        <f t="shared" si="247"/>
        <v>2.3008526340807563E-6</v>
      </c>
      <c r="Y42" s="235">
        <f t="shared" si="248"/>
        <v>4.4288613519639823E-3</v>
      </c>
      <c r="Z42" s="235">
        <f t="shared" si="249"/>
        <v>1.4566447168812898E-3</v>
      </c>
      <c r="AA42" s="235">
        <f t="shared" si="250"/>
        <v>0.13914088508656311</v>
      </c>
      <c r="AB42" s="235">
        <f t="shared" si="251"/>
        <v>1.0476566007864025E-3</v>
      </c>
      <c r="AC42" s="235">
        <f t="shared" si="252"/>
        <v>7.1962175208315597E-3</v>
      </c>
      <c r="AD42" s="235">
        <f t="shared" si="253"/>
        <v>0.70740828411743073</v>
      </c>
      <c r="AE42" s="235">
        <f t="shared" si="38"/>
        <v>0.99999999999999989</v>
      </c>
      <c r="AF42" s="101">
        <f t="shared" si="216"/>
        <v>0</v>
      </c>
      <c r="AG42" s="101">
        <f t="shared" si="217"/>
        <v>4.7096994708847671E-2</v>
      </c>
      <c r="AH42" s="101">
        <f t="shared" si="218"/>
        <v>13.34727357702576</v>
      </c>
      <c r="AI42" s="101">
        <f t="shared" si="219"/>
        <v>34.244742740252534</v>
      </c>
      <c r="AJ42" s="101">
        <f t="shared" si="220"/>
        <v>145.64513446234506</v>
      </c>
      <c r="AK42" s="101">
        <f t="shared" si="254"/>
        <v>563.38360316311059</v>
      </c>
      <c r="AL42" s="235">
        <f t="shared" si="255"/>
        <v>3.0600031261016999E-2</v>
      </c>
      <c r="AM42" s="235">
        <f t="shared" si="221"/>
        <v>7.6084952775582944E-6</v>
      </c>
      <c r="AN42" s="235">
        <f t="shared" si="222"/>
        <v>1.6510236271701655E-2</v>
      </c>
      <c r="AO42" s="235">
        <f t="shared" si="223"/>
        <v>3.3321694399096586E-4</v>
      </c>
      <c r="AP42" s="235">
        <f t="shared" si="224"/>
        <v>2.2700661249027397E-4</v>
      </c>
      <c r="AQ42" s="235">
        <f t="shared" si="225"/>
        <v>4.0674283210182544E-2</v>
      </c>
      <c r="AR42" s="101">
        <f t="shared" si="41"/>
        <v>756.66785093744284</v>
      </c>
      <c r="AS42" s="235">
        <f t="shared" si="42"/>
        <v>8.8352382794659998E-2</v>
      </c>
      <c r="AT42" s="235">
        <f t="shared" si="226"/>
        <v>0.10095362928245993</v>
      </c>
      <c r="AV42" s="10">
        <v>36</v>
      </c>
      <c r="AW42" s="10">
        <f t="shared" si="43"/>
        <v>81</v>
      </c>
      <c r="AX42" s="309">
        <f t="shared" si="256"/>
        <v>0.11511094305054041</v>
      </c>
      <c r="AY42" s="309">
        <f t="shared" si="257"/>
        <v>1.2355728601511697E-5</v>
      </c>
      <c r="AZ42" s="309">
        <f t="shared" si="258"/>
        <v>1.2355728601511697E-5</v>
      </c>
      <c r="BA42" s="235">
        <f t="shared" si="259"/>
        <v>1.652091148439475E-3</v>
      </c>
      <c r="BB42" s="235">
        <f t="shared" si="260"/>
        <v>2.6070050081515184E-3</v>
      </c>
      <c r="BC42" s="309">
        <f t="shared" si="261"/>
        <v>4.0022187189081288E-7</v>
      </c>
      <c r="BD42" s="235">
        <f t="shared" si="262"/>
        <v>2.84789079437068E-3</v>
      </c>
      <c r="BE42" s="235">
        <f t="shared" si="263"/>
        <v>1.5279571709221975E-3</v>
      </c>
      <c r="BF42" s="235">
        <f t="shared" si="264"/>
        <v>0.1457358229823415</v>
      </c>
      <c r="BG42" s="235">
        <f t="shared" si="265"/>
        <v>1.1375084499751331E-3</v>
      </c>
      <c r="BH42" s="235">
        <f t="shared" si="266"/>
        <v>7.6569659497239973E-3</v>
      </c>
      <c r="BI42" s="235">
        <f t="shared" si="267"/>
        <v>0.72169870376646084</v>
      </c>
      <c r="BJ42" s="235">
        <f t="shared" si="56"/>
        <v>1.0000000000000007</v>
      </c>
      <c r="BK42" s="101">
        <f t="shared" si="227"/>
        <v>3.1772504376234148E-2</v>
      </c>
      <c r="BL42" s="101">
        <f t="shared" si="228"/>
        <v>2.519338495289954E-2</v>
      </c>
      <c r="BM42" s="101">
        <f t="shared" si="229"/>
        <v>14.000711455529832</v>
      </c>
      <c r="BN42" s="101">
        <f t="shared" si="230"/>
        <v>37.181729399711742</v>
      </c>
      <c r="BO42" s="101">
        <f t="shared" si="231"/>
        <v>152.94253833883491</v>
      </c>
      <c r="BP42" s="101">
        <f t="shared" si="268"/>
        <v>592.41978839668673</v>
      </c>
      <c r="BQ42" s="235">
        <f t="shared" si="232"/>
        <v>3.7731157439725611E-2</v>
      </c>
      <c r="BR42" s="235">
        <f t="shared" si="233"/>
        <v>7.8547119019291268E-6</v>
      </c>
      <c r="BS42" s="235">
        <f t="shared" si="234"/>
        <v>2.3295338954097077E-3</v>
      </c>
      <c r="BT42" s="235">
        <f t="shared" si="235"/>
        <v>3.4953013122778468E-4</v>
      </c>
      <c r="BU42" s="235">
        <f t="shared" si="236"/>
        <v>2.4647574378292285E-4</v>
      </c>
      <c r="BV42" s="235">
        <f t="shared" si="237"/>
        <v>4.263187248294676E-2</v>
      </c>
      <c r="BW42" s="101">
        <f t="shared" si="58"/>
        <v>796.60173348009232</v>
      </c>
      <c r="BX42" s="235">
        <f t="shared" si="59"/>
        <v>8.3296424404994712E-2</v>
      </c>
      <c r="BY42" s="235">
        <f t="shared" si="238"/>
        <v>9.6022971135877613E-2</v>
      </c>
      <c r="CA42" s="23"/>
      <c r="CB42" s="21">
        <v>25</v>
      </c>
      <c r="CC42" t="str">
        <f>$M$80</f>
        <v>boc_cost_bc_cont_64</v>
      </c>
      <c r="CD42" s="101">
        <f>$F$80</f>
        <v>2032</v>
      </c>
      <c r="CE42" s="101">
        <f>$G$80</f>
        <v>3048</v>
      </c>
      <c r="CF42" s="447">
        <v>-16573.285760942774</v>
      </c>
      <c r="CG42" s="447">
        <v>-17343.896050389107</v>
      </c>
      <c r="CH42" s="266">
        <f t="shared" si="151"/>
        <v>770.6102894463329</v>
      </c>
      <c r="CJ42" s="10">
        <v>34</v>
      </c>
      <c r="CK42" s="450">
        <v>0.10152303902950603</v>
      </c>
      <c r="CL42" s="450">
        <v>2.798198279827743E-4</v>
      </c>
      <c r="CM42" s="450">
        <v>0.10152303902950603</v>
      </c>
      <c r="CN42" s="450">
        <v>2.798198279827743E-4</v>
      </c>
      <c r="CO42" s="451">
        <v>0.40924394012622917</v>
      </c>
      <c r="CP42" s="451">
        <v>0.5228293545469237</v>
      </c>
      <c r="CQ42" s="451">
        <v>0.11118739260312882</v>
      </c>
      <c r="CR42" s="451">
        <v>0.13676027251970674</v>
      </c>
      <c r="CS42" s="451">
        <v>19.596178987048884</v>
      </c>
      <c r="CT42" s="451">
        <v>19.076956031651985</v>
      </c>
      <c r="CU42" s="234">
        <v>0.51922295539689856</v>
      </c>
      <c r="CX42" s="402">
        <v>34</v>
      </c>
      <c r="CY42" s="200">
        <f t="shared" si="272"/>
        <v>8.5999999999999998E-4</v>
      </c>
      <c r="CZ42" s="403">
        <v>8.5999999999999998E-4</v>
      </c>
      <c r="DA42" s="345">
        <f t="shared" si="273"/>
        <v>2.7685695713073999E-2</v>
      </c>
      <c r="DB42" s="387">
        <f t="shared" si="274"/>
        <v>5.4756324345703988E-2</v>
      </c>
      <c r="DC42" s="114">
        <f t="shared" si="91"/>
        <v>2.3226025331156142E-2</v>
      </c>
      <c r="DD42" s="378">
        <f t="shared" si="92"/>
        <v>4.7884984099028083E-3</v>
      </c>
      <c r="DE42" s="378">
        <f t="shared" si="275"/>
        <v>1.7716963333013477E-2</v>
      </c>
      <c r="DF42" s="340">
        <f t="shared" si="93"/>
        <v>0</v>
      </c>
      <c r="DG42" s="378">
        <f t="shared" si="94"/>
        <v>0</v>
      </c>
      <c r="DH42" s="378">
        <f t="shared" si="276"/>
        <v>0</v>
      </c>
      <c r="DI42" s="340">
        <f>DI41+(DI48-DI38)/10</f>
        <v>0.11999999999999997</v>
      </c>
      <c r="DJ42" s="378">
        <f t="shared" ref="DJ42" si="301">DJ41+(DJ48-DJ38)/10</f>
        <v>7.5999999999999998E-2</v>
      </c>
      <c r="DK42" s="350">
        <f t="shared" si="278"/>
        <v>0.1068529695466446</v>
      </c>
      <c r="DL42" s="340">
        <f t="shared" ref="DL42" si="302">DL41+(DL48-DL38)/10</f>
        <v>8.0000000000000002E-3</v>
      </c>
      <c r="DM42" s="378">
        <f t="shared" ref="DM42" si="303">DM41+(DM48-DM38)/10</f>
        <v>3.9999999999999998E-7</v>
      </c>
      <c r="DN42" s="396">
        <f t="shared" si="281"/>
        <v>5.6097503451213249E-3</v>
      </c>
      <c r="DO42" s="335">
        <f t="shared" si="103"/>
        <v>2.0199999999999996E-2</v>
      </c>
      <c r="DP42" s="350">
        <f t="shared" si="104"/>
        <v>2.6599999999999985E-2</v>
      </c>
      <c r="DQ42" s="349">
        <f t="shared" si="282"/>
        <v>2.2112295338669867E-2</v>
      </c>
      <c r="DR42" s="335">
        <f t="shared" si="105"/>
        <v>5.2999999999999992E-2</v>
      </c>
      <c r="DS42" s="350">
        <f t="shared" si="106"/>
        <v>5.8599999999999985E-2</v>
      </c>
      <c r="DT42" s="349">
        <f t="shared" si="283"/>
        <v>5.4673258421336135E-2</v>
      </c>
      <c r="DU42" s="335">
        <f>DU41+(DU43-DU38)/5</f>
        <v>0.32279999999999998</v>
      </c>
      <c r="DV42" s="350">
        <f>DV41+(DV43-DV38)/5</f>
        <v>0.25340000000000001</v>
      </c>
      <c r="DW42" s="350">
        <f t="shared" si="284"/>
        <v>0.30206354742129854</v>
      </c>
      <c r="DX42" s="335">
        <f>DX41+(DX43-DX38)/5</f>
        <v>0.39999999999999997</v>
      </c>
      <c r="DY42" s="350">
        <f>DY41+(DY43-DY38)/5</f>
        <v>0.25939999999999996</v>
      </c>
      <c r="DZ42" s="396">
        <f t="shared" si="285"/>
        <v>0.35798926177859625</v>
      </c>
      <c r="EA42" s="350">
        <f t="shared" si="286"/>
        <v>0</v>
      </c>
      <c r="EB42" s="350">
        <f t="shared" si="287"/>
        <v>0</v>
      </c>
      <c r="EC42" s="349">
        <f t="shared" si="288"/>
        <v>0</v>
      </c>
      <c r="ED42" s="335">
        <f t="shared" si="289"/>
        <v>1.4695944838056474E-2</v>
      </c>
      <c r="EE42" s="350">
        <f t="shared" si="290"/>
        <v>1.7265078675919865E-3</v>
      </c>
      <c r="EF42" s="387">
        <f t="shared" si="291"/>
        <v>1.0820727046838981E-2</v>
      </c>
      <c r="EG42" s="335">
        <f t="shared" si="292"/>
        <v>0</v>
      </c>
      <c r="EH42" s="350">
        <f t="shared" si="293"/>
        <v>0</v>
      </c>
      <c r="EI42" s="387">
        <f t="shared" si="294"/>
        <v>0</v>
      </c>
      <c r="EJ42" s="335">
        <f t="shared" si="295"/>
        <v>0</v>
      </c>
      <c r="EK42" s="350">
        <f t="shared" si="296"/>
        <v>0</v>
      </c>
      <c r="EL42" s="387">
        <f t="shared" si="297"/>
        <v>0</v>
      </c>
      <c r="EN42" s="337"/>
      <c r="EO42" s="317">
        <v>60</v>
      </c>
      <c r="EP42" s="315" t="s">
        <v>200</v>
      </c>
      <c r="EQ42" s="308">
        <v>0.2</v>
      </c>
      <c r="ER42" s="308">
        <v>0.16</v>
      </c>
      <c r="ES42" s="308">
        <v>0.26</v>
      </c>
      <c r="ET42" s="320">
        <f t="shared" si="239"/>
        <v>48.970672904884786</v>
      </c>
      <c r="EU42" s="320">
        <f t="shared" si="240"/>
        <v>195.88269161953917</v>
      </c>
      <c r="EV42" s="350">
        <f t="shared" ca="1" si="241"/>
        <v>0.17060754057867616</v>
      </c>
      <c r="EW42" s="362">
        <f t="shared" si="214"/>
        <v>0.2</v>
      </c>
      <c r="EY42" s="363">
        <v>50</v>
      </c>
      <c r="EZ42" s="346">
        <v>3.1E-2</v>
      </c>
      <c r="FA42" s="347">
        <f t="shared" si="182"/>
        <v>2.4800000000000003E-2</v>
      </c>
      <c r="FB42" s="347">
        <f t="shared" si="183"/>
        <v>3.7199999999999997E-2</v>
      </c>
      <c r="FC42" s="33">
        <f t="shared" si="184"/>
        <v>93.02833993131523</v>
      </c>
      <c r="FD42" s="33">
        <f t="shared" si="185"/>
        <v>2907.8858514014341</v>
      </c>
      <c r="FE42" s="308">
        <f t="shared" ca="1" si="189"/>
        <v>2.7220282635256842E-2</v>
      </c>
      <c r="FF42" s="364">
        <f t="shared" si="190"/>
        <v>0.45500000000000007</v>
      </c>
      <c r="FH42" s="325">
        <v>100</v>
      </c>
      <c r="FI42" s="407">
        <v>2974</v>
      </c>
      <c r="FJ42" s="355">
        <f t="shared" si="137"/>
        <v>2.9739999999999999E-2</v>
      </c>
      <c r="FK42" s="390">
        <f t="shared" si="138"/>
        <v>2.5903539999999999E-2</v>
      </c>
      <c r="FL42" s="355">
        <f t="shared" si="147"/>
        <v>0.97409646000000005</v>
      </c>
      <c r="FM42" s="399">
        <f t="shared" si="148"/>
        <v>0.51841625036832073</v>
      </c>
      <c r="FN42" s="390">
        <f t="shared" si="139"/>
        <v>6.2156599999999996E-3</v>
      </c>
      <c r="FO42" s="355">
        <f t="shared" si="149"/>
        <v>0.99378434000000004</v>
      </c>
      <c r="FP42" s="399">
        <f t="shared" si="150"/>
        <v>0.6380092691943664</v>
      </c>
    </row>
    <row r="43" spans="2:172" ht="15" customHeight="1" x14ac:dyDescent="0.2">
      <c r="B43" s="15" t="s">
        <v>351</v>
      </c>
      <c r="C43" s="331">
        <f>IF(psa,J43,IF(owsa_low=L43,F43,IF(owsa_high=L43,G43,IF(ISNUMBER(D43),D43,E43))))</f>
        <v>0.01</v>
      </c>
      <c r="D43" s="332"/>
      <c r="E43" s="331">
        <v>0.01</v>
      </c>
      <c r="F43" s="331">
        <f>IF(ISNUMBER(D43),D43,E43)*(1-owsa_boc)</f>
        <v>8.0000000000000002E-3</v>
      </c>
      <c r="G43" s="331">
        <f>MIN(1,IF(ISNUMBER(D43),D43,E43)*(1+owsa_boc))</f>
        <v>1.2E-2</v>
      </c>
      <c r="H43" s="33">
        <f>IF(ISNUMBER(D43),D43,E43)^2*(1-IF(ISNUMBER(D43),D43,E43))/((G43-F43)/(2*z))^2-IF(ISNUMBER(D43),D43,E43)</f>
        <v>95.066105812179558</v>
      </c>
      <c r="I43" s="33">
        <f>(IF(ISNUMBER(D43),D43,E43)^2*(1-IF(ISNUMBER(D43),D43,E43))/((G43-F43)/(2*z))^2-IF(ISNUMBER(D43),D43,E43))*(1-IF(ISNUMBER(D43),D43,E43))/IF(ISNUMBER(D43),D43,E43)</f>
        <v>9411.5444754057753</v>
      </c>
      <c r="J43" s="23">
        <f ca="1">_xlfn.BETA.INV(RAND(),H43,I43)</f>
        <v>9.0711018139430447E-3</v>
      </c>
      <c r="K43" s="10" t="s">
        <v>49</v>
      </c>
      <c r="L43" s="25">
        <v>4</v>
      </c>
      <c r="M43" s="229" t="s">
        <v>231</v>
      </c>
      <c r="N43" s="415" t="s">
        <v>310</v>
      </c>
      <c r="Q43" s="10">
        <v>37</v>
      </c>
      <c r="R43" s="10">
        <f t="shared" si="215"/>
        <v>82</v>
      </c>
      <c r="S43" s="309">
        <f t="shared" si="242"/>
        <v>8.6489525121207333E-2</v>
      </c>
      <c r="T43" s="309">
        <f t="shared" si="243"/>
        <v>0</v>
      </c>
      <c r="U43" s="309">
        <f t="shared" si="244"/>
        <v>2.1518354924099781E-5</v>
      </c>
      <c r="V43" s="235">
        <f t="shared" si="245"/>
        <v>8.8438306189196712E-3</v>
      </c>
      <c r="W43" s="235">
        <f t="shared" si="246"/>
        <v>3.4377786237193134E-2</v>
      </c>
      <c r="X43" s="309">
        <f t="shared" si="247"/>
        <v>2.1716445857452238E-6</v>
      </c>
      <c r="Y43" s="235">
        <f t="shared" si="248"/>
        <v>4.1951263348136252E-3</v>
      </c>
      <c r="Z43" s="235">
        <f t="shared" si="249"/>
        <v>1.3605141921058288E-3</v>
      </c>
      <c r="AA43" s="235">
        <f t="shared" si="250"/>
        <v>0.12532835388118416</v>
      </c>
      <c r="AB43" s="235">
        <f t="shared" si="251"/>
        <v>9.7795165407311329E-4</v>
      </c>
      <c r="AC43" s="235">
        <f t="shared" si="252"/>
        <v>5.5236814251974249E-3</v>
      </c>
      <c r="AD43" s="235">
        <f t="shared" si="253"/>
        <v>0.73287954053579585</v>
      </c>
      <c r="AE43" s="235">
        <f t="shared" si="38"/>
        <v>1</v>
      </c>
      <c r="AF43" s="101">
        <f t="shared" si="216"/>
        <v>0</v>
      </c>
      <c r="AG43" s="101">
        <f t="shared" si="217"/>
        <v>4.259807797803937E-2</v>
      </c>
      <c r="AH43" s="101">
        <f t="shared" si="218"/>
        <v>12.103327250801748</v>
      </c>
      <c r="AI43" s="101">
        <f t="shared" si="219"/>
        <v>31.035240502145488</v>
      </c>
      <c r="AJ43" s="101">
        <f t="shared" si="220"/>
        <v>124.30165125440914</v>
      </c>
      <c r="AK43" s="101">
        <f t="shared" si="254"/>
        <v>474.5384007924348</v>
      </c>
      <c r="AL43" s="235">
        <f t="shared" si="255"/>
        <v>2.7523889383342551E-2</v>
      </c>
      <c r="AM43" s="235">
        <f t="shared" si="221"/>
        <v>6.8670320087928446E-6</v>
      </c>
      <c r="AN43" s="235">
        <f t="shared" si="222"/>
        <v>1.5089609899886128E-2</v>
      </c>
      <c r="AO43" s="235">
        <f t="shared" si="223"/>
        <v>3.0216161340819968E-4</v>
      </c>
      <c r="AP43" s="235">
        <f t="shared" si="224"/>
        <v>2.0573098964857462E-4</v>
      </c>
      <c r="AQ43" s="235">
        <f t="shared" si="225"/>
        <v>3.533836075260291E-2</v>
      </c>
      <c r="AR43" s="101">
        <f t="shared" si="41"/>
        <v>642.02121787776923</v>
      </c>
      <c r="AS43" s="235">
        <f t="shared" si="42"/>
        <v>7.8466619670897159E-2</v>
      </c>
      <c r="AT43" s="235">
        <f t="shared" si="226"/>
        <v>8.9480796030282306E-2</v>
      </c>
      <c r="AV43" s="10">
        <v>37</v>
      </c>
      <c r="AW43" s="10">
        <f t="shared" si="43"/>
        <v>82</v>
      </c>
      <c r="AX43" s="309">
        <f t="shared" si="256"/>
        <v>0.10664882313826873</v>
      </c>
      <c r="AY43" s="309">
        <f t="shared" si="257"/>
        <v>1.1511094305054041E-5</v>
      </c>
      <c r="AZ43" s="309">
        <f t="shared" si="258"/>
        <v>1.1511094305054041E-5</v>
      </c>
      <c r="BA43" s="235">
        <f t="shared" si="259"/>
        <v>1.563157838682417E-3</v>
      </c>
      <c r="BB43" s="235">
        <f t="shared" si="260"/>
        <v>2.464826780627117E-3</v>
      </c>
      <c r="BC43" s="309">
        <f t="shared" si="261"/>
        <v>3.8080681901739804E-7</v>
      </c>
      <c r="BD43" s="235">
        <f t="shared" si="262"/>
        <v>2.696512866673204E-3</v>
      </c>
      <c r="BE43" s="235">
        <f t="shared" si="263"/>
        <v>1.423819342282903E-3</v>
      </c>
      <c r="BF43" s="235">
        <f t="shared" si="264"/>
        <v>0.13127063596871949</v>
      </c>
      <c r="BG43" s="235">
        <f t="shared" si="265"/>
        <v>1.0601999365253086E-3</v>
      </c>
      <c r="BH43" s="235">
        <f t="shared" si="266"/>
        <v>5.8926026973903315E-3</v>
      </c>
      <c r="BI43" s="235">
        <f t="shared" si="267"/>
        <v>0.74695601843540205</v>
      </c>
      <c r="BJ43" s="235">
        <f t="shared" si="56"/>
        <v>1.0000000000000007</v>
      </c>
      <c r="BK43" s="101">
        <f t="shared" si="227"/>
        <v>2.8738392709300557E-2</v>
      </c>
      <c r="BL43" s="101">
        <f t="shared" si="228"/>
        <v>2.2787545541879787E-2</v>
      </c>
      <c r="BM43" s="101">
        <f t="shared" si="229"/>
        <v>12.666498847026213</v>
      </c>
      <c r="BN43" s="101">
        <f t="shared" si="230"/>
        <v>33.645385099949337</v>
      </c>
      <c r="BO43" s="101">
        <f t="shared" si="231"/>
        <v>130.53752205984418</v>
      </c>
      <c r="BP43" s="101">
        <f t="shared" si="268"/>
        <v>499.06393552179981</v>
      </c>
      <c r="BQ43" s="235">
        <f t="shared" si="232"/>
        <v>3.3939259197084098E-2</v>
      </c>
      <c r="BR43" s="235">
        <f t="shared" si="233"/>
        <v>7.104106262130872E-6</v>
      </c>
      <c r="BS43" s="235">
        <f t="shared" si="234"/>
        <v>2.1399623214877739E-3</v>
      </c>
      <c r="BT43" s="235">
        <f t="shared" si="235"/>
        <v>3.1622128762956577E-4</v>
      </c>
      <c r="BU43" s="235">
        <f t="shared" si="236"/>
        <v>2.2303350197145947E-4</v>
      </c>
      <c r="BV43" s="235">
        <f t="shared" si="237"/>
        <v>3.7039696146856024E-2</v>
      </c>
      <c r="BW43" s="101">
        <f t="shared" si="58"/>
        <v>675.96486746687071</v>
      </c>
      <c r="BX43" s="235">
        <f t="shared" si="59"/>
        <v>7.3665276561291057E-2</v>
      </c>
      <c r="BY43" s="235">
        <f t="shared" si="238"/>
        <v>8.4765416121585446E-2</v>
      </c>
      <c r="CA43" s="23"/>
      <c r="CB43" s="21">
        <v>16</v>
      </c>
      <c r="CC43" t="str">
        <f>$M$65</f>
        <v>boc_util_bc</v>
      </c>
      <c r="CD43" s="235">
        <f>$F$65</f>
        <v>0.53040000000000009</v>
      </c>
      <c r="CE43" s="235">
        <f>$G$65</f>
        <v>0.79559999999999997</v>
      </c>
      <c r="CF43" s="447">
        <v>-16621.053963125141</v>
      </c>
      <c r="CG43" s="447">
        <v>-17310.121285552501</v>
      </c>
      <c r="CH43" s="266">
        <f t="shared" si="151"/>
        <v>689.06732242735961</v>
      </c>
      <c r="CJ43" s="10">
        <v>35</v>
      </c>
      <c r="CK43" s="450">
        <v>0.11693058535995597</v>
      </c>
      <c r="CL43" s="450">
        <v>3.7656135805187529E-4</v>
      </c>
      <c r="CM43" s="450">
        <v>0.11693058535995597</v>
      </c>
      <c r="CN43" s="450">
        <v>3.7656135805187529E-4</v>
      </c>
      <c r="CO43" s="451">
        <v>0.40761622691034222</v>
      </c>
      <c r="CP43" s="451">
        <v>0.50742960878432319</v>
      </c>
      <c r="CQ43" s="451">
        <v>0.11212644802276441</v>
      </c>
      <c r="CR43" s="451">
        <v>0.13690462186213431</v>
      </c>
      <c r="CS43" s="451">
        <v>19.255333173071762</v>
      </c>
      <c r="CT43" s="451">
        <v>18.788719843991995</v>
      </c>
      <c r="CU43" s="234">
        <v>0.46661332907976671</v>
      </c>
      <c r="CX43" s="402">
        <v>35</v>
      </c>
      <c r="CY43" s="200">
        <f t="shared" si="272"/>
        <v>9.2500000000000004E-4</v>
      </c>
      <c r="CZ43" s="403">
        <v>9.2500000000000004E-4</v>
      </c>
      <c r="DA43" s="345">
        <f t="shared" si="273"/>
        <v>2.8426105064446872E-2</v>
      </c>
      <c r="DB43" s="387">
        <f t="shared" si="274"/>
        <v>5.5476119635863519E-2</v>
      </c>
      <c r="DC43" s="114">
        <f t="shared" si="91"/>
        <v>2.3226025331156142E-2</v>
      </c>
      <c r="DD43" s="378">
        <f t="shared" si="92"/>
        <v>4.7884984099028083E-3</v>
      </c>
      <c r="DE43" s="378">
        <f t="shared" si="275"/>
        <v>1.7716963333013477E-2</v>
      </c>
      <c r="DF43" s="340">
        <f t="shared" si="93"/>
        <v>0</v>
      </c>
      <c r="DG43" s="378">
        <f t="shared" si="94"/>
        <v>0</v>
      </c>
      <c r="DH43" s="378">
        <f t="shared" si="276"/>
        <v>0</v>
      </c>
      <c r="DI43" s="340">
        <f>DI42+(DI48-DI38)/10</f>
        <v>0.13999999999999996</v>
      </c>
      <c r="DJ43" s="378">
        <f t="shared" ref="DJ43" si="304">DJ42+(DJ48-DJ38)/10</f>
        <v>8.4999999999999992E-2</v>
      </c>
      <c r="DK43" s="350">
        <f t="shared" si="278"/>
        <v>0.12356621193330575</v>
      </c>
      <c r="DL43" s="340">
        <f t="shared" ref="DL43" si="305">DL42+(DL48-DL38)/10</f>
        <v>0.01</v>
      </c>
      <c r="DM43" s="378">
        <f t="shared" ref="DM43" si="306">DM42+(DM48-DM38)/10</f>
        <v>4.9999999999999998E-7</v>
      </c>
      <c r="DN43" s="396">
        <f t="shared" si="281"/>
        <v>7.0121879314016568E-3</v>
      </c>
      <c r="DO43" s="335">
        <f t="shared" si="103"/>
        <v>2.0199999999999996E-2</v>
      </c>
      <c r="DP43" s="350">
        <f t="shared" si="104"/>
        <v>2.6600000000000013E-2</v>
      </c>
      <c r="DQ43" s="349">
        <f t="shared" si="282"/>
        <v>2.2112295338669874E-2</v>
      </c>
      <c r="DR43" s="335">
        <f t="shared" si="105"/>
        <v>5.3000000000000047E-2</v>
      </c>
      <c r="DS43" s="350">
        <f t="shared" si="106"/>
        <v>5.8600000000000041E-2</v>
      </c>
      <c r="DT43" s="349">
        <f t="shared" si="283"/>
        <v>5.4673258421336191E-2</v>
      </c>
      <c r="DU43" s="335">
        <f>VLOOKUP($CX43,$EY$8:$FF$28,8,FALSE)</f>
        <v>0.34299999999999997</v>
      </c>
      <c r="DV43" s="350">
        <f>VLOOKUP($CX43,$EY$32:$FF$52,8,FALSE)</f>
        <v>0.28000000000000003</v>
      </c>
      <c r="DW43" s="350">
        <f t="shared" si="284"/>
        <v>0.32417584275996847</v>
      </c>
      <c r="DX43" s="335">
        <f>VLOOKUP($CX43,$EY$56:$FF$76,8,FALSE)</f>
        <v>0.45300000000000001</v>
      </c>
      <c r="DY43" s="350">
        <f>VLOOKUP($CX43,$EY$80:$FF$100,8,FALSE)</f>
        <v>0.318</v>
      </c>
      <c r="DZ43" s="396">
        <f t="shared" si="285"/>
        <v>0.41266252019993238</v>
      </c>
      <c r="EA43" s="350">
        <f t="shared" si="286"/>
        <v>0</v>
      </c>
      <c r="EB43" s="350">
        <f t="shared" si="287"/>
        <v>0</v>
      </c>
      <c r="EC43" s="349">
        <f t="shared" si="288"/>
        <v>0</v>
      </c>
      <c r="ED43" s="335">
        <f t="shared" si="289"/>
        <v>1.4695944838056474E-2</v>
      </c>
      <c r="EE43" s="350">
        <f t="shared" si="290"/>
        <v>1.7265078675919865E-3</v>
      </c>
      <c r="EF43" s="387">
        <f t="shared" si="291"/>
        <v>1.0820727046838981E-2</v>
      </c>
      <c r="EG43" s="335">
        <f t="shared" si="292"/>
        <v>0</v>
      </c>
      <c r="EH43" s="350">
        <f t="shared" si="293"/>
        <v>0</v>
      </c>
      <c r="EI43" s="387">
        <f t="shared" si="294"/>
        <v>0</v>
      </c>
      <c r="EJ43" s="335">
        <f t="shared" si="295"/>
        <v>0</v>
      </c>
      <c r="EK43" s="350">
        <f t="shared" si="296"/>
        <v>0</v>
      </c>
      <c r="EL43" s="387">
        <f t="shared" si="297"/>
        <v>0</v>
      </c>
      <c r="EN43" s="337"/>
      <c r="EO43" s="317">
        <v>70</v>
      </c>
      <c r="EP43" s="315" t="s">
        <v>201</v>
      </c>
      <c r="EQ43" s="308">
        <v>0.41</v>
      </c>
      <c r="ER43" s="308">
        <v>0.33</v>
      </c>
      <c r="ES43" s="308">
        <v>0.5</v>
      </c>
      <c r="ET43" s="320">
        <f t="shared" si="239"/>
        <v>52.322462889636341</v>
      </c>
      <c r="EU43" s="320">
        <f t="shared" si="240"/>
        <v>75.293300255818167</v>
      </c>
      <c r="EV43" s="350">
        <f t="shared" ca="1" si="241"/>
        <v>0.41477712303830816</v>
      </c>
      <c r="EW43" s="362">
        <f t="shared" si="214"/>
        <v>0.41</v>
      </c>
      <c r="EY43" s="363">
        <v>55</v>
      </c>
      <c r="EZ43" s="346">
        <v>0.01</v>
      </c>
      <c r="FA43" s="347">
        <f t="shared" si="182"/>
        <v>8.0000000000000002E-3</v>
      </c>
      <c r="FB43" s="347">
        <f t="shared" si="183"/>
        <v>1.2E-2</v>
      </c>
      <c r="FC43" s="33">
        <f t="shared" si="184"/>
        <v>95.066105812179558</v>
      </c>
      <c r="FD43" s="33">
        <f t="shared" si="185"/>
        <v>9411.5444754057753</v>
      </c>
      <c r="FE43" s="308">
        <f t="shared" ca="1" si="189"/>
        <v>1.127495390281541E-2</v>
      </c>
      <c r="FF43" s="364">
        <f t="shared" si="190"/>
        <v>0.46500000000000008</v>
      </c>
    </row>
    <row r="44" spans="2:172" ht="15" customHeight="1" x14ac:dyDescent="0.2">
      <c r="Q44" s="10">
        <v>38</v>
      </c>
      <c r="R44" s="10">
        <f t="shared" si="215"/>
        <v>83</v>
      </c>
      <c r="S44" s="309">
        <f t="shared" si="242"/>
        <v>7.9598711616008969E-2</v>
      </c>
      <c r="T44" s="309">
        <f t="shared" si="243"/>
        <v>0</v>
      </c>
      <c r="U44" s="309">
        <f t="shared" si="244"/>
        <v>1.9935825557108431E-5</v>
      </c>
      <c r="V44" s="235">
        <f t="shared" si="245"/>
        <v>8.2474151121404785E-3</v>
      </c>
      <c r="W44" s="235">
        <f t="shared" si="246"/>
        <v>3.2150810618401165E-2</v>
      </c>
      <c r="X44" s="309">
        <f t="shared" si="247"/>
        <v>2.0385019368335697E-6</v>
      </c>
      <c r="Y44" s="235">
        <f t="shared" si="248"/>
        <v>3.948007072428027E-3</v>
      </c>
      <c r="Z44" s="235">
        <f t="shared" si="249"/>
        <v>1.2637121953142059E-3</v>
      </c>
      <c r="AA44" s="235">
        <f t="shared" si="250"/>
        <v>0.11293020092808888</v>
      </c>
      <c r="AB44" s="235">
        <f t="shared" si="251"/>
        <v>9.0785724184701689E-4</v>
      </c>
      <c r="AC44" s="235">
        <f t="shared" si="252"/>
        <v>4.3563195341909762E-3</v>
      </c>
      <c r="AD44" s="235">
        <f t="shared" si="253"/>
        <v>0.75657499135408635</v>
      </c>
      <c r="AE44" s="235">
        <f t="shared" si="38"/>
        <v>1</v>
      </c>
      <c r="AF44" s="101">
        <f t="shared" si="216"/>
        <v>0</v>
      </c>
      <c r="AG44" s="101">
        <f t="shared" si="217"/>
        <v>3.8315803543123202E-2</v>
      </c>
      <c r="AH44" s="101">
        <f t="shared" si="218"/>
        <v>10.914721315871535</v>
      </c>
      <c r="AI44" s="101">
        <f t="shared" si="219"/>
        <v>27.971648824710904</v>
      </c>
      <c r="AJ44" s="101">
        <f t="shared" si="220"/>
        <v>106.81483599777908</v>
      </c>
      <c r="AK44" s="101">
        <f t="shared" si="254"/>
        <v>403.72867338735267</v>
      </c>
      <c r="AL44" s="235">
        <f t="shared" si="255"/>
        <v>2.4593203577383795E-2</v>
      </c>
      <c r="AM44" s="235">
        <f t="shared" si="221"/>
        <v>6.1629901810155312E-6</v>
      </c>
      <c r="AN44" s="235">
        <f t="shared" si="222"/>
        <v>1.3701426933575424E-2</v>
      </c>
      <c r="AO44" s="235">
        <f t="shared" si="223"/>
        <v>2.7248786506091913E-4</v>
      </c>
      <c r="AP44" s="235">
        <f t="shared" si="224"/>
        <v>1.854226002989196E-4</v>
      </c>
      <c r="AQ44" s="235">
        <f t="shared" si="225"/>
        <v>3.0769650444600047E-2</v>
      </c>
      <c r="AR44" s="101">
        <f t="shared" si="41"/>
        <v>549.46819532925736</v>
      </c>
      <c r="AS44" s="235">
        <f t="shared" si="42"/>
        <v>6.9528354411100113E-2</v>
      </c>
      <c r="AT44" s="235">
        <f t="shared" si="226"/>
        <v>7.916817895423181E-2</v>
      </c>
      <c r="AV44" s="10">
        <v>38</v>
      </c>
      <c r="AW44" s="10">
        <f t="shared" si="43"/>
        <v>83</v>
      </c>
      <c r="AX44" s="309">
        <f t="shared" si="256"/>
        <v>9.815512614265183E-2</v>
      </c>
      <c r="AY44" s="309">
        <f t="shared" si="257"/>
        <v>1.0664882313826873E-5</v>
      </c>
      <c r="AZ44" s="309">
        <f t="shared" si="258"/>
        <v>1.0664882313826873E-5</v>
      </c>
      <c r="BA44" s="235">
        <f t="shared" si="259"/>
        <v>1.4692517653927882E-3</v>
      </c>
      <c r="BB44" s="235">
        <f t="shared" si="260"/>
        <v>2.3151248135600561E-3</v>
      </c>
      <c r="BC44" s="309">
        <f t="shared" si="261"/>
        <v>3.6030770138380768E-7</v>
      </c>
      <c r="BD44" s="235">
        <f t="shared" si="262"/>
        <v>2.5366562731034856E-3</v>
      </c>
      <c r="BE44" s="235">
        <f t="shared" si="263"/>
        <v>1.3194463962571087E-3</v>
      </c>
      <c r="BF44" s="235">
        <f t="shared" si="264"/>
        <v>0.11828356925287081</v>
      </c>
      <c r="BG44" s="235">
        <f t="shared" si="265"/>
        <v>9.8268812254360223E-4</v>
      </c>
      <c r="BH44" s="235">
        <f t="shared" si="266"/>
        <v>4.6586187750385106E-3</v>
      </c>
      <c r="BI44" s="235">
        <f t="shared" si="267"/>
        <v>0.77025782838625345</v>
      </c>
      <c r="BJ44" s="235">
        <f t="shared" si="56"/>
        <v>1.0000000000000007</v>
      </c>
      <c r="BK44" s="101">
        <f t="shared" si="227"/>
        <v>2.5850247520942109E-2</v>
      </c>
      <c r="BL44" s="101">
        <f t="shared" si="228"/>
        <v>2.0497447390705876E-2</v>
      </c>
      <c r="BM44" s="101">
        <f t="shared" si="229"/>
        <v>11.396099333200327</v>
      </c>
      <c r="BN44" s="101">
        <f t="shared" si="230"/>
        <v>30.277235011180338</v>
      </c>
      <c r="BO44" s="101">
        <f t="shared" si="231"/>
        <v>112.17573588367443</v>
      </c>
      <c r="BP44" s="101">
        <f t="shared" si="268"/>
        <v>424.62759870128531</v>
      </c>
      <c r="BQ44" s="235">
        <f t="shared" si="232"/>
        <v>3.0326483310874681E-2</v>
      </c>
      <c r="BR44" s="235">
        <f t="shared" si="233"/>
        <v>6.3896659498582926E-6</v>
      </c>
      <c r="BS44" s="235">
        <f t="shared" si="234"/>
        <v>1.9529769338463398E-3</v>
      </c>
      <c r="BT44" s="235">
        <f t="shared" si="235"/>
        <v>2.8450554874089008E-4</v>
      </c>
      <c r="BU44" s="235">
        <f t="shared" si="236"/>
        <v>2.0070621080709814E-4</v>
      </c>
      <c r="BV44" s="235">
        <f t="shared" si="237"/>
        <v>3.2250692550102059E-2</v>
      </c>
      <c r="BW44" s="101">
        <f t="shared" si="58"/>
        <v>578.52301662425202</v>
      </c>
      <c r="BX44" s="235">
        <f t="shared" si="59"/>
        <v>6.5021754220320915E-2</v>
      </c>
      <c r="BY44" s="235">
        <f t="shared" si="238"/>
        <v>7.4718162512659739E-2</v>
      </c>
      <c r="CA44" s="23"/>
      <c r="CB44" s="21">
        <v>22</v>
      </c>
      <c r="CC44" t="str">
        <f>$M$74</f>
        <v>boc_cost_mast</v>
      </c>
      <c r="CD44" s="101">
        <f>$F$74</f>
        <v>5962.2909392000001</v>
      </c>
      <c r="CE44" s="101">
        <f>$G$74</f>
        <v>8943.4364088000002</v>
      </c>
      <c r="CF44" s="447">
        <v>-17253.996952475241</v>
      </c>
      <c r="CG44" s="447">
        <v>-16663.184858857483</v>
      </c>
      <c r="CH44" s="266">
        <f t="shared" si="151"/>
        <v>590.81209361775836</v>
      </c>
      <c r="CJ44" s="10">
        <v>36</v>
      </c>
      <c r="CK44" s="450">
        <v>0.13234101401880552</v>
      </c>
      <c r="CL44" s="450">
        <v>4.7618521652061801E-4</v>
      </c>
      <c r="CM44" s="450">
        <v>0.13234101401880552</v>
      </c>
      <c r="CN44" s="450">
        <v>4.7618521652061801E-4</v>
      </c>
      <c r="CO44" s="451">
        <v>0.40218850792827487</v>
      </c>
      <c r="CP44" s="451">
        <v>0.49227193027704763</v>
      </c>
      <c r="CQ44" s="451">
        <v>0.11350228362080275</v>
      </c>
      <c r="CR44" s="451">
        <v>0.13701856856929526</v>
      </c>
      <c r="CS44" s="451">
        <v>18.924785560737472</v>
      </c>
      <c r="CT44" s="451">
        <v>18.497116150042068</v>
      </c>
      <c r="CU44" s="234">
        <v>0.42766941069540465</v>
      </c>
      <c r="CX44" s="402">
        <v>36</v>
      </c>
      <c r="CY44" s="200">
        <f t="shared" si="272"/>
        <v>1E-3</v>
      </c>
      <c r="CZ44" s="403">
        <v>1E-3</v>
      </c>
      <c r="DA44" s="345">
        <f t="shared" si="273"/>
        <v>2.8426105064446872E-2</v>
      </c>
      <c r="DB44" s="387">
        <f t="shared" si="274"/>
        <v>5.5476119635863519E-2</v>
      </c>
      <c r="DC44" s="114">
        <f t="shared" si="91"/>
        <v>2.3226025331156142E-2</v>
      </c>
      <c r="DD44" s="378">
        <f t="shared" si="92"/>
        <v>4.7884984099028083E-3</v>
      </c>
      <c r="DE44" s="378">
        <f t="shared" si="275"/>
        <v>1.7716963333013477E-2</v>
      </c>
      <c r="DF44" s="340">
        <f t="shared" si="93"/>
        <v>0</v>
      </c>
      <c r="DG44" s="378">
        <f t="shared" si="94"/>
        <v>0</v>
      </c>
      <c r="DH44" s="378">
        <f t="shared" si="276"/>
        <v>0</v>
      </c>
      <c r="DI44" s="340">
        <f>DI43+(DI48-DI38)/10</f>
        <v>0.15999999999999995</v>
      </c>
      <c r="DJ44" s="378">
        <f t="shared" ref="DJ44" si="307">DJ43+(DJ48-DJ38)/10</f>
        <v>9.3999999999999986E-2</v>
      </c>
      <c r="DK44" s="350">
        <f t="shared" si="278"/>
        <v>0.14027945431996688</v>
      </c>
      <c r="DL44" s="340">
        <f t="shared" ref="DL44" si="308">DL43+(DL48-DL38)/10</f>
        <v>1.2E-2</v>
      </c>
      <c r="DM44" s="378">
        <f t="shared" ref="DM44" si="309">DM43+(DM48-DM38)/10</f>
        <v>5.9999999999999997E-7</v>
      </c>
      <c r="DN44" s="396">
        <f t="shared" si="281"/>
        <v>8.4146255176819878E-3</v>
      </c>
      <c r="DO44" s="335">
        <f t="shared" si="103"/>
        <v>1.26E-2</v>
      </c>
      <c r="DP44" s="350">
        <f t="shared" si="104"/>
        <v>1.7000000000000015E-2</v>
      </c>
      <c r="DQ44" s="349">
        <f t="shared" si="282"/>
        <v>1.3914703045335545E-2</v>
      </c>
      <c r="DR44" s="335">
        <f t="shared" si="105"/>
        <v>4.9999999999999989E-2</v>
      </c>
      <c r="DS44" s="350">
        <f t="shared" si="106"/>
        <v>4.0399999999999991E-2</v>
      </c>
      <c r="DT44" s="349">
        <f t="shared" si="283"/>
        <v>4.7131556991995185E-2</v>
      </c>
      <c r="DU44" s="335">
        <f>DU43+(DU48-DU43)/5</f>
        <v>0.35559999999999997</v>
      </c>
      <c r="DV44" s="350">
        <f>DV43+(DV48-DV43)/5</f>
        <v>0.29700000000000004</v>
      </c>
      <c r="DW44" s="350">
        <f t="shared" si="284"/>
        <v>0.33809054580530395</v>
      </c>
      <c r="DX44" s="335">
        <f>DX43+(DX48-DX43)/5</f>
        <v>0.503</v>
      </c>
      <c r="DY44" s="350">
        <f>DY43+(DY48-DY43)/5</f>
        <v>0.3584</v>
      </c>
      <c r="DZ44" s="396">
        <f t="shared" si="285"/>
        <v>0.45979407719192755</v>
      </c>
      <c r="EA44" s="350">
        <f t="shared" si="286"/>
        <v>0</v>
      </c>
      <c r="EB44" s="350">
        <f t="shared" si="287"/>
        <v>0</v>
      </c>
      <c r="EC44" s="349">
        <f t="shared" si="288"/>
        <v>0</v>
      </c>
      <c r="ED44" s="335">
        <f t="shared" si="289"/>
        <v>1.4695944838056474E-2</v>
      </c>
      <c r="EE44" s="350">
        <f t="shared" si="290"/>
        <v>1.7265078675919865E-3</v>
      </c>
      <c r="EF44" s="387">
        <f t="shared" si="291"/>
        <v>1.0820727046838981E-2</v>
      </c>
      <c r="EG44" s="335">
        <f t="shared" si="292"/>
        <v>0</v>
      </c>
      <c r="EH44" s="350">
        <f t="shared" si="293"/>
        <v>0</v>
      </c>
      <c r="EI44" s="387">
        <f t="shared" si="294"/>
        <v>0</v>
      </c>
      <c r="EJ44" s="335">
        <f t="shared" si="295"/>
        <v>0</v>
      </c>
      <c r="EK44" s="350">
        <f t="shared" si="296"/>
        <v>0</v>
      </c>
      <c r="EL44" s="387">
        <f t="shared" si="297"/>
        <v>0</v>
      </c>
      <c r="EN44" s="337"/>
      <c r="EO44" s="317">
        <v>80</v>
      </c>
      <c r="EP44" s="315" t="s">
        <v>202</v>
      </c>
      <c r="EQ44" s="308">
        <v>0.44</v>
      </c>
      <c r="ER44" s="308">
        <v>0.36</v>
      </c>
      <c r="ES44" s="308">
        <v>0.53</v>
      </c>
      <c r="ET44" s="320">
        <f t="shared" si="239"/>
        <v>57.203681592300889</v>
      </c>
      <c r="EU44" s="320">
        <f t="shared" si="240"/>
        <v>72.804685662928406</v>
      </c>
      <c r="EV44" s="350">
        <f t="shared" ca="1" si="241"/>
        <v>0.46985571107766266</v>
      </c>
      <c r="EW44" s="362">
        <f t="shared" si="214"/>
        <v>0.44</v>
      </c>
      <c r="EY44" s="363">
        <v>60</v>
      </c>
      <c r="EZ44" s="346">
        <v>0</v>
      </c>
      <c r="FA44" s="347">
        <f t="shared" si="182"/>
        <v>0</v>
      </c>
      <c r="FB44" s="347">
        <f t="shared" si="183"/>
        <v>0</v>
      </c>
      <c r="FC44" s="33" t="e">
        <f t="shared" si="184"/>
        <v>#DIV/0!</v>
      </c>
      <c r="FD44" s="33" t="e">
        <f t="shared" si="185"/>
        <v>#DIV/0!</v>
      </c>
      <c r="FE44" s="308">
        <f t="shared" ca="1" si="189"/>
        <v>0</v>
      </c>
      <c r="FF44" s="364">
        <f t="shared" si="190"/>
        <v>0.46500000000000008</v>
      </c>
      <c r="FH44" s="498" t="s">
        <v>318</v>
      </c>
      <c r="FI44" s="426"/>
      <c r="FJ44" s="427" t="s">
        <v>314</v>
      </c>
      <c r="FK44" s="428">
        <v>198</v>
      </c>
      <c r="FL44" s="429">
        <v>360</v>
      </c>
      <c r="FM44" s="429">
        <v>1824</v>
      </c>
      <c r="FN44" s="429">
        <v>1750</v>
      </c>
      <c r="FO44" s="429">
        <v>289</v>
      </c>
      <c r="FP44" s="430" t="s">
        <v>317</v>
      </c>
    </row>
    <row r="45" spans="2:172" ht="15" customHeight="1" x14ac:dyDescent="0.25">
      <c r="B45" s="386" t="s">
        <v>258</v>
      </c>
      <c r="M45" s="413"/>
      <c r="N45" s="413"/>
      <c r="Q45" s="10">
        <v>39</v>
      </c>
      <c r="R45" s="10">
        <f t="shared" si="215"/>
        <v>84</v>
      </c>
      <c r="S45" s="309">
        <f t="shared" si="242"/>
        <v>7.2687853413258285E-2</v>
      </c>
      <c r="T45" s="309">
        <f t="shared" si="243"/>
        <v>0</v>
      </c>
      <c r="U45" s="309">
        <f t="shared" si="244"/>
        <v>1.8347493839554379E-5</v>
      </c>
      <c r="V45" s="235">
        <f t="shared" si="245"/>
        <v>7.6322602582292107E-3</v>
      </c>
      <c r="W45" s="235">
        <f t="shared" si="246"/>
        <v>2.9838062628417265E-2</v>
      </c>
      <c r="X45" s="309">
        <f t="shared" si="247"/>
        <v>1.901028231364132E-6</v>
      </c>
      <c r="Y45" s="235">
        <f t="shared" si="248"/>
        <v>3.6872151633664378E-3</v>
      </c>
      <c r="Z45" s="235">
        <f t="shared" si="249"/>
        <v>1.1660918282161686E-3</v>
      </c>
      <c r="AA45" s="235">
        <f t="shared" si="250"/>
        <v>0.10179222334144059</v>
      </c>
      <c r="AB45" s="235">
        <f t="shared" si="251"/>
        <v>8.3724398930031571E-4</v>
      </c>
      <c r="AC45" s="235">
        <f t="shared" si="252"/>
        <v>3.5271809161309562E-3</v>
      </c>
      <c r="AD45" s="235">
        <f t="shared" si="253"/>
        <v>0.77881161993956982</v>
      </c>
      <c r="AE45" s="235">
        <f t="shared" si="38"/>
        <v>1</v>
      </c>
      <c r="AF45" s="101">
        <f t="shared" si="216"/>
        <v>0</v>
      </c>
      <c r="AG45" s="101">
        <f t="shared" si="217"/>
        <v>3.4236017433544715E-2</v>
      </c>
      <c r="AH45" s="101">
        <f t="shared" si="218"/>
        <v>9.778224452405107</v>
      </c>
      <c r="AI45" s="101">
        <f t="shared" si="219"/>
        <v>25.044670287954951</v>
      </c>
      <c r="AJ45" s="101">
        <f t="shared" si="220"/>
        <v>92.271472616480892</v>
      </c>
      <c r="AK45" s="101">
        <f t="shared" si="254"/>
        <v>346.18270415038222</v>
      </c>
      <c r="AL45" s="235">
        <f t="shared" si="255"/>
        <v>2.1803875092840572E-2</v>
      </c>
      <c r="AM45" s="235">
        <f t="shared" si="221"/>
        <v>5.4940395612393741E-6</v>
      </c>
      <c r="AN45" s="235">
        <f t="shared" si="222"/>
        <v>1.2345856654608949E-2</v>
      </c>
      <c r="AO45" s="235">
        <f t="shared" si="223"/>
        <v>2.4411502850263904E-4</v>
      </c>
      <c r="AP45" s="235">
        <f t="shared" si="224"/>
        <v>1.6601981232937542E-4</v>
      </c>
      <c r="AQ45" s="235">
        <f t="shared" si="225"/>
        <v>2.6836295249516071E-2</v>
      </c>
      <c r="AR45" s="101">
        <f t="shared" si="41"/>
        <v>473.31130752465674</v>
      </c>
      <c r="AS45" s="235">
        <f t="shared" si="42"/>
        <v>6.1401655877358845E-2</v>
      </c>
      <c r="AT45" s="235">
        <f t="shared" si="226"/>
        <v>6.98410153374176E-2</v>
      </c>
      <c r="AV45" s="10">
        <v>39</v>
      </c>
      <c r="AW45" s="10">
        <f t="shared" si="43"/>
        <v>84</v>
      </c>
      <c r="AX45" s="309">
        <f t="shared" si="256"/>
        <v>8.9636170890463274E-2</v>
      </c>
      <c r="AY45" s="309">
        <f t="shared" si="257"/>
        <v>9.8155126142651837E-6</v>
      </c>
      <c r="AZ45" s="309">
        <f t="shared" si="258"/>
        <v>9.8155126142651837E-6</v>
      </c>
      <c r="BA45" s="235">
        <f t="shared" si="259"/>
        <v>1.3703286928371406E-3</v>
      </c>
      <c r="BB45" s="235">
        <f t="shared" si="260"/>
        <v>2.1578171290964204E-3</v>
      </c>
      <c r="BC45" s="309">
        <f t="shared" si="261"/>
        <v>3.386623623299569E-7</v>
      </c>
      <c r="BD45" s="235">
        <f t="shared" si="262"/>
        <v>2.3681439322532321E-3</v>
      </c>
      <c r="BE45" s="235">
        <f t="shared" si="263"/>
        <v>1.214642144399687E-3</v>
      </c>
      <c r="BF45" s="235">
        <f t="shared" si="264"/>
        <v>0.10661388639961361</v>
      </c>
      <c r="BG45" s="235">
        <f t="shared" si="265"/>
        <v>9.0482674247732578E-4</v>
      </c>
      <c r="BH45" s="235">
        <f t="shared" si="266"/>
        <v>3.7798711703153393E-3</v>
      </c>
      <c r="BI45" s="235">
        <f t="shared" si="267"/>
        <v>0.79193434321095368</v>
      </c>
      <c r="BJ45" s="235">
        <f t="shared" si="56"/>
        <v>1.0000000000000007</v>
      </c>
      <c r="BK45" s="101">
        <f t="shared" si="227"/>
        <v>2.3098533043207477E-2</v>
      </c>
      <c r="BL45" s="101">
        <f t="shared" si="228"/>
        <v>1.8315529298977146E-2</v>
      </c>
      <c r="BM45" s="101">
        <f t="shared" si="229"/>
        <v>10.185341522768173</v>
      </c>
      <c r="BN45" s="101">
        <f t="shared" si="230"/>
        <v>27.06628858811731</v>
      </c>
      <c r="BO45" s="101">
        <f t="shared" si="231"/>
        <v>96.900248470097907</v>
      </c>
      <c r="BP45" s="101">
        <f t="shared" si="268"/>
        <v>364.10822535982095</v>
      </c>
      <c r="BQ45" s="235">
        <f t="shared" si="232"/>
        <v>2.6887791867845793E-2</v>
      </c>
      <c r="BR45" s="235">
        <f t="shared" si="233"/>
        <v>5.7090338164940935E-6</v>
      </c>
      <c r="BS45" s="235">
        <f t="shared" si="234"/>
        <v>1.7686856782048641E-3</v>
      </c>
      <c r="BT45" s="235">
        <f t="shared" si="235"/>
        <v>2.5427877507230861E-4</v>
      </c>
      <c r="BU45" s="235">
        <f t="shared" si="236"/>
        <v>1.7942101453869355E-4</v>
      </c>
      <c r="BV45" s="235">
        <f t="shared" si="237"/>
        <v>2.8126932835709335E-2</v>
      </c>
      <c r="BW45" s="101">
        <f t="shared" si="58"/>
        <v>498.3015180031465</v>
      </c>
      <c r="BX45" s="235">
        <f t="shared" si="59"/>
        <v>5.7222819205187486E-2</v>
      </c>
      <c r="BY45" s="235">
        <f t="shared" si="238"/>
        <v>6.5697468931340708E-2</v>
      </c>
      <c r="CA45" s="23"/>
      <c r="CB45" s="21">
        <v>4</v>
      </c>
      <c r="CC45" t="str">
        <f>$M$43</f>
        <v>boc_known</v>
      </c>
      <c r="CD45" s="235">
        <f>$F$43</f>
        <v>8.0000000000000002E-3</v>
      </c>
      <c r="CE45" s="235">
        <f>$G$43</f>
        <v>1.2E-2</v>
      </c>
      <c r="CF45" s="447">
        <v>-17175.32033380272</v>
      </c>
      <c r="CG45" s="447">
        <v>-16740.530576252815</v>
      </c>
      <c r="CH45" s="266">
        <f t="shared" si="151"/>
        <v>434.78975754990461</v>
      </c>
      <c r="CJ45" s="10">
        <v>37</v>
      </c>
      <c r="CK45" s="450">
        <v>0.14775338593620191</v>
      </c>
      <c r="CL45" s="450">
        <v>5.7775233353618062E-4</v>
      </c>
      <c r="CM45" s="450">
        <v>0.14775338593620191</v>
      </c>
      <c r="CN45" s="450">
        <v>5.7775233353618062E-4</v>
      </c>
      <c r="CO45" s="451">
        <v>0.39695165185208914</v>
      </c>
      <c r="CP45" s="451">
        <v>0.47727228864643723</v>
      </c>
      <c r="CQ45" s="451">
        <v>0.11493647329208684</v>
      </c>
      <c r="CR45" s="451">
        <v>0.13709886016970727</v>
      </c>
      <c r="CS45" s="451">
        <v>18.589317756705395</v>
      </c>
      <c r="CT45" s="451">
        <v>18.202521363225639</v>
      </c>
      <c r="CU45" s="234">
        <v>0.38679639347975581</v>
      </c>
      <c r="CX45" s="402">
        <v>37</v>
      </c>
      <c r="CY45" s="200">
        <f t="shared" si="272"/>
        <v>1.0809999999999999E-3</v>
      </c>
      <c r="CZ45" s="403">
        <v>1.0809999999999999E-3</v>
      </c>
      <c r="DA45" s="345">
        <f t="shared" si="273"/>
        <v>2.8426105064446872E-2</v>
      </c>
      <c r="DB45" s="387">
        <f t="shared" si="274"/>
        <v>5.5476119635863519E-2</v>
      </c>
      <c r="DC45" s="114">
        <f t="shared" si="91"/>
        <v>2.3226025331156142E-2</v>
      </c>
      <c r="DD45" s="378">
        <f t="shared" si="92"/>
        <v>4.7884984099028083E-3</v>
      </c>
      <c r="DE45" s="378">
        <f t="shared" si="275"/>
        <v>1.7716963333013477E-2</v>
      </c>
      <c r="DF45" s="340">
        <f t="shared" si="93"/>
        <v>0</v>
      </c>
      <c r="DG45" s="378">
        <f t="shared" si="94"/>
        <v>0</v>
      </c>
      <c r="DH45" s="378">
        <f t="shared" si="276"/>
        <v>0</v>
      </c>
      <c r="DI45" s="340">
        <f>DI44+(DI48-DI38)/10</f>
        <v>0.17999999999999994</v>
      </c>
      <c r="DJ45" s="378">
        <f t="shared" ref="DJ45" si="310">DJ44+(DJ48-DJ38)/10</f>
        <v>0.10299999999999998</v>
      </c>
      <c r="DK45" s="350">
        <f t="shared" si="278"/>
        <v>0.15699269670662805</v>
      </c>
      <c r="DL45" s="340">
        <f t="shared" ref="DL45" si="311">DL44+(DL48-DL38)/10</f>
        <v>1.4E-2</v>
      </c>
      <c r="DM45" s="378">
        <f t="shared" ref="DM45" si="312">DM44+(DM48-DM38)/10</f>
        <v>6.9999999999999997E-7</v>
      </c>
      <c r="DN45" s="396">
        <f t="shared" si="281"/>
        <v>9.8170631039623188E-3</v>
      </c>
      <c r="DO45" s="335">
        <f t="shared" si="103"/>
        <v>1.26E-2</v>
      </c>
      <c r="DP45" s="350">
        <f t="shared" si="104"/>
        <v>1.7000000000000015E-2</v>
      </c>
      <c r="DQ45" s="349">
        <f t="shared" si="282"/>
        <v>1.3914703045335545E-2</v>
      </c>
      <c r="DR45" s="335">
        <f t="shared" si="105"/>
        <v>5.0000000000000044E-2</v>
      </c>
      <c r="DS45" s="350">
        <f t="shared" si="106"/>
        <v>4.0399999999999991E-2</v>
      </c>
      <c r="DT45" s="349">
        <f t="shared" si="283"/>
        <v>4.7131556991995227E-2</v>
      </c>
      <c r="DU45" s="335">
        <f>DU44+(DU48-DU43)/5</f>
        <v>0.36819999999999997</v>
      </c>
      <c r="DV45" s="350">
        <f>DV44+(DV48-DV43)/5</f>
        <v>0.31400000000000006</v>
      </c>
      <c r="DW45" s="350">
        <f t="shared" si="284"/>
        <v>0.3520052488506395</v>
      </c>
      <c r="DX45" s="335">
        <f>DX44+(DX48-DX43)/5</f>
        <v>0.55300000000000005</v>
      </c>
      <c r="DY45" s="350">
        <f>DY44+(DY48-DY43)/5</f>
        <v>0.39879999999999999</v>
      </c>
      <c r="DZ45" s="396">
        <f t="shared" si="285"/>
        <v>0.50692563418392278</v>
      </c>
      <c r="EA45" s="350">
        <f t="shared" si="286"/>
        <v>0</v>
      </c>
      <c r="EB45" s="350">
        <f t="shared" si="287"/>
        <v>0</v>
      </c>
      <c r="EC45" s="349">
        <f t="shared" si="288"/>
        <v>0</v>
      </c>
      <c r="ED45" s="335">
        <f t="shared" si="289"/>
        <v>1.4695944838056474E-2</v>
      </c>
      <c r="EE45" s="350">
        <f t="shared" si="290"/>
        <v>1.7265078675919865E-3</v>
      </c>
      <c r="EF45" s="387">
        <f t="shared" si="291"/>
        <v>1.0820727046838981E-2</v>
      </c>
      <c r="EG45" s="335">
        <f t="shared" si="292"/>
        <v>0</v>
      </c>
      <c r="EH45" s="350">
        <f t="shared" si="293"/>
        <v>0</v>
      </c>
      <c r="EI45" s="387">
        <f t="shared" si="294"/>
        <v>0</v>
      </c>
      <c r="EJ45" s="335">
        <f t="shared" si="295"/>
        <v>0</v>
      </c>
      <c r="EK45" s="350">
        <f t="shared" si="296"/>
        <v>0</v>
      </c>
      <c r="EL45" s="387">
        <f t="shared" si="297"/>
        <v>0</v>
      </c>
      <c r="EN45" s="337"/>
      <c r="EO45" s="317">
        <v>90</v>
      </c>
      <c r="EP45" s="315"/>
      <c r="EQ45" s="308">
        <v>0.44</v>
      </c>
      <c r="ER45" s="308">
        <v>0.36</v>
      </c>
      <c r="ES45" s="308">
        <v>0.53</v>
      </c>
      <c r="ET45" s="320">
        <f t="shared" ref="ET45:ET46" si="313">EQ45^2*(1-EQ45)/((ES45-ER45)/(2*z))^2-EQ45</f>
        <v>57.203681592300889</v>
      </c>
      <c r="EU45" s="320">
        <f t="shared" ref="EU45:EU46" si="314">(EQ45^2*(1-EQ45)/((ES45-ER45)/(2*z))^2-EQ45)*(1-EQ45)/EQ45</f>
        <v>72.804685662928406</v>
      </c>
      <c r="EV45" s="350">
        <f t="shared" ref="EV45:EV46" ca="1" si="315">_xlfn.BETA.INV(RAND(),ET45,EU45)</f>
        <v>0.47610917575582334</v>
      </c>
      <c r="EW45" s="362">
        <f t="shared" si="214"/>
        <v>0.44</v>
      </c>
      <c r="EY45" s="363">
        <v>65</v>
      </c>
      <c r="EZ45" s="346">
        <v>0</v>
      </c>
      <c r="FA45" s="347">
        <f t="shared" si="182"/>
        <v>0</v>
      </c>
      <c r="FB45" s="347">
        <f t="shared" si="183"/>
        <v>0</v>
      </c>
      <c r="FC45" s="33" t="e">
        <f t="shared" si="184"/>
        <v>#DIV/0!</v>
      </c>
      <c r="FD45" s="33" t="e">
        <f t="shared" si="185"/>
        <v>#DIV/0!</v>
      </c>
      <c r="FE45" s="308">
        <f t="shared" ca="1" si="189"/>
        <v>0</v>
      </c>
      <c r="FF45" s="364">
        <f t="shared" si="190"/>
        <v>0.46500000000000008</v>
      </c>
      <c r="FH45" s="499"/>
      <c r="FI45" s="424" t="s">
        <v>315</v>
      </c>
      <c r="FJ45" s="431"/>
      <c r="FK45" s="416">
        <v>0.28999999999999998</v>
      </c>
      <c r="FL45" s="432">
        <f>FL49+FL48</f>
        <v>0.17499999999999999</v>
      </c>
      <c r="FM45" s="432">
        <v>0.112</v>
      </c>
      <c r="FN45" s="432">
        <v>9.2999999999999999E-2</v>
      </c>
      <c r="FO45" s="432">
        <v>0.18</v>
      </c>
      <c r="FP45" s="433"/>
    </row>
    <row r="46" spans="2:172" ht="15" customHeight="1" x14ac:dyDescent="0.2">
      <c r="B46" s="15" t="s">
        <v>254</v>
      </c>
      <c r="M46" s="413"/>
      <c r="N46" s="413"/>
      <c r="Q46" s="10">
        <v>40</v>
      </c>
      <c r="R46" s="10">
        <f t="shared" si="215"/>
        <v>85</v>
      </c>
      <c r="S46" s="309">
        <f t="shared" si="242"/>
        <v>6.5841222265872884E-2</v>
      </c>
      <c r="T46" s="309">
        <f t="shared" si="243"/>
        <v>0</v>
      </c>
      <c r="U46" s="309">
        <f t="shared" si="244"/>
        <v>1.6754541821533063E-5</v>
      </c>
      <c r="V46" s="235">
        <f t="shared" si="245"/>
        <v>7.0067309347418673E-3</v>
      </c>
      <c r="W46" s="235">
        <f t="shared" si="246"/>
        <v>2.7471590064773732E-2</v>
      </c>
      <c r="X46" s="309">
        <f t="shared" si="247"/>
        <v>1.759235108544306E-6</v>
      </c>
      <c r="Y46" s="235">
        <f t="shared" si="248"/>
        <v>3.4164689999641646E-3</v>
      </c>
      <c r="Z46" s="235">
        <f t="shared" si="249"/>
        <v>1.0677131941836786E-3</v>
      </c>
      <c r="AA46" s="235">
        <f t="shared" si="250"/>
        <v>8.691649468410087E-2</v>
      </c>
      <c r="AB46" s="235">
        <f t="shared" si="251"/>
        <v>7.6615771714710359E-4</v>
      </c>
      <c r="AC46" s="235">
        <f t="shared" si="252"/>
        <v>2.7694493548699466E-3</v>
      </c>
      <c r="AD46" s="235">
        <f t="shared" si="253"/>
        <v>0.80472565900741566</v>
      </c>
      <c r="AE46" s="235">
        <f t="shared" si="38"/>
        <v>1</v>
      </c>
      <c r="AF46" s="101">
        <f t="shared" si="216"/>
        <v>0</v>
      </c>
      <c r="AG46" s="101">
        <f t="shared" si="217"/>
        <v>3.0353013809230053E-2</v>
      </c>
      <c r="AH46" s="101">
        <f t="shared" si="218"/>
        <v>8.6924987096973574</v>
      </c>
      <c r="AI46" s="101">
        <f t="shared" si="219"/>
        <v>22.250728569017344</v>
      </c>
      <c r="AJ46" s="101">
        <f t="shared" si="220"/>
        <v>75.783251222562768</v>
      </c>
      <c r="AK46" s="101">
        <f t="shared" si="254"/>
        <v>411.82075018506015</v>
      </c>
      <c r="AL46" s="235">
        <f t="shared" si="255"/>
        <v>1.9174873235986416E-2</v>
      </c>
      <c r="AM46" s="235">
        <f t="shared" si="221"/>
        <v>4.8593659893547058E-6</v>
      </c>
      <c r="AN46" s="235">
        <f t="shared" si="222"/>
        <v>1.1036061748825998E-2</v>
      </c>
      <c r="AO46" s="235">
        <f t="shared" si="223"/>
        <v>2.1700970156754711E-4</v>
      </c>
      <c r="AP46" s="235">
        <f t="shared" si="224"/>
        <v>1.4749891848233926E-4</v>
      </c>
      <c r="AQ46" s="235">
        <f t="shared" si="225"/>
        <v>2.2193600701744618E-2</v>
      </c>
      <c r="AR46" s="101">
        <f t="shared" si="41"/>
        <v>518.57758170014688</v>
      </c>
      <c r="AS46" s="235">
        <f t="shared" si="42"/>
        <v>5.2773903672596274E-2</v>
      </c>
      <c r="AT46" s="235">
        <f t="shared" si="226"/>
        <v>5.9862685058873745E-2</v>
      </c>
      <c r="AV46" s="10">
        <v>40</v>
      </c>
      <c r="AW46" s="10">
        <f t="shared" si="43"/>
        <v>85</v>
      </c>
      <c r="AX46" s="309">
        <f t="shared" si="256"/>
        <v>8.1195873785263051E-2</v>
      </c>
      <c r="AY46" s="309">
        <f t="shared" si="257"/>
        <v>8.9636170890463273E-6</v>
      </c>
      <c r="AZ46" s="309">
        <f t="shared" si="258"/>
        <v>8.9636170890463273E-6</v>
      </c>
      <c r="BA46" s="235">
        <f t="shared" si="259"/>
        <v>1.2678339918077491E-3</v>
      </c>
      <c r="BB46" s="235">
        <f t="shared" si="260"/>
        <v>1.995168174632694E-3</v>
      </c>
      <c r="BC46" s="309">
        <f t="shared" si="261"/>
        <v>3.158606055244828E-7</v>
      </c>
      <c r="BD46" s="235">
        <f t="shared" si="262"/>
        <v>2.1933727179454993E-3</v>
      </c>
      <c r="BE46" s="235">
        <f t="shared" si="263"/>
        <v>1.1094833985960284E-3</v>
      </c>
      <c r="BF46" s="235">
        <f t="shared" si="264"/>
        <v>9.1027885533544864E-2</v>
      </c>
      <c r="BG46" s="235">
        <f t="shared" si="265"/>
        <v>8.2667208558235043E-4</v>
      </c>
      <c r="BH46" s="235">
        <f t="shared" si="266"/>
        <v>2.9726788508146408E-3</v>
      </c>
      <c r="BI46" s="235">
        <f t="shared" si="267"/>
        <v>0.81739278836703</v>
      </c>
      <c r="BJ46" s="235">
        <f t="shared" si="56"/>
        <v>1.0000000000000004</v>
      </c>
      <c r="BK46" s="101">
        <f t="shared" si="227"/>
        <v>2.0479412088496737E-2</v>
      </c>
      <c r="BL46" s="101">
        <f t="shared" si="228"/>
        <v>1.6238748643952989E-2</v>
      </c>
      <c r="BM46" s="101">
        <f t="shared" si="229"/>
        <v>9.0325595518186788</v>
      </c>
      <c r="BN46" s="101">
        <f t="shared" si="230"/>
        <v>24.008184973153075</v>
      </c>
      <c r="BO46" s="101">
        <f t="shared" si="231"/>
        <v>79.57939508875107</v>
      </c>
      <c r="BP46" s="101">
        <f t="shared" si="268"/>
        <v>432.76426462061391</v>
      </c>
      <c r="BQ46" s="235">
        <f t="shared" si="232"/>
        <v>2.3646593023905052E-2</v>
      </c>
      <c r="BR46" s="235">
        <f t="shared" si="233"/>
        <v>5.0612672508090441E-6</v>
      </c>
      <c r="BS46" s="235">
        <f t="shared" si="234"/>
        <v>1.5890545943031552E-3</v>
      </c>
      <c r="BT46" s="235">
        <f t="shared" si="235"/>
        <v>2.2549937804931973E-4</v>
      </c>
      <c r="BU46" s="235">
        <f t="shared" si="236"/>
        <v>1.591490052687482E-4</v>
      </c>
      <c r="BV46" s="235">
        <f t="shared" si="237"/>
        <v>2.325936144604283E-2</v>
      </c>
      <c r="BW46" s="101">
        <f t="shared" si="58"/>
        <v>545.42112239506923</v>
      </c>
      <c r="BX46" s="235">
        <f t="shared" si="59"/>
        <v>4.8884718714819912E-2</v>
      </c>
      <c r="BY46" s="235">
        <f t="shared" si="238"/>
        <v>5.5979489900717383E-2</v>
      </c>
      <c r="CA46" s="23"/>
      <c r="CB46" s="21">
        <v>34</v>
      </c>
      <c r="CC46" t="str">
        <f>$M$90</f>
        <v>boc_cost_oc_cont_65</v>
      </c>
      <c r="CD46" s="101">
        <f>$F$90</f>
        <v>7637.6</v>
      </c>
      <c r="CE46" s="101">
        <f>$G$90</f>
        <v>11456.4</v>
      </c>
      <c r="CF46" s="447">
        <v>-16778.982547440934</v>
      </c>
      <c r="CG46" s="447">
        <v>-17138.199263890947</v>
      </c>
      <c r="CH46" s="266">
        <f t="shared" si="151"/>
        <v>359.21671645001334</v>
      </c>
      <c r="CJ46" s="10">
        <v>38</v>
      </c>
      <c r="CK46" s="450">
        <v>0.16316713001522115</v>
      </c>
      <c r="CL46" s="450">
        <v>6.8069161217463323E-4</v>
      </c>
      <c r="CM46" s="450">
        <v>0.16316713001522115</v>
      </c>
      <c r="CN46" s="450">
        <v>6.8069161217463323E-4</v>
      </c>
      <c r="CO46" s="451">
        <v>0.39191542533824608</v>
      </c>
      <c r="CP46" s="451">
        <v>0.46243411024679631</v>
      </c>
      <c r="CQ46" s="451">
        <v>0.1164294987899228</v>
      </c>
      <c r="CR46" s="451">
        <v>0.13714449004229409</v>
      </c>
      <c r="CS46" s="451">
        <v>18.248603491272</v>
      </c>
      <c r="CT46" s="451">
        <v>17.904827928669732</v>
      </c>
      <c r="CU46" s="234">
        <v>0.34377556260226783</v>
      </c>
      <c r="CX46" s="402">
        <v>38</v>
      </c>
      <c r="CY46" s="200">
        <f t="shared" si="272"/>
        <v>1.165E-3</v>
      </c>
      <c r="CZ46" s="403">
        <v>1.165E-3</v>
      </c>
      <c r="DA46" s="345">
        <f t="shared" si="273"/>
        <v>2.8426105064446872E-2</v>
      </c>
      <c r="DB46" s="387">
        <f t="shared" si="274"/>
        <v>5.5476119635863519E-2</v>
      </c>
      <c r="DC46" s="114">
        <f t="shared" si="91"/>
        <v>2.3226025331156142E-2</v>
      </c>
      <c r="DD46" s="378">
        <f t="shared" si="92"/>
        <v>4.7884984099028083E-3</v>
      </c>
      <c r="DE46" s="378">
        <f t="shared" si="275"/>
        <v>1.7716963333013477E-2</v>
      </c>
      <c r="DF46" s="340">
        <f t="shared" si="93"/>
        <v>0</v>
      </c>
      <c r="DG46" s="378">
        <f t="shared" si="94"/>
        <v>0</v>
      </c>
      <c r="DH46" s="378">
        <f t="shared" si="276"/>
        <v>0</v>
      </c>
      <c r="DI46" s="340">
        <f>DI45+(DI48-DI38)/10</f>
        <v>0.19999999999999993</v>
      </c>
      <c r="DJ46" s="378">
        <f t="shared" ref="DJ46" si="316">DJ45+(DJ48-DJ38)/10</f>
        <v>0.11199999999999997</v>
      </c>
      <c r="DK46" s="350">
        <f t="shared" si="278"/>
        <v>0.17370593909328919</v>
      </c>
      <c r="DL46" s="340">
        <f t="shared" ref="DL46" si="317">DL45+(DL48-DL38)/10</f>
        <v>1.6E-2</v>
      </c>
      <c r="DM46" s="378">
        <f t="shared" ref="DM46" si="318">DM45+(DM48-DM38)/10</f>
        <v>7.9999999999999996E-7</v>
      </c>
      <c r="DN46" s="396">
        <f t="shared" si="281"/>
        <v>1.121950069024265E-2</v>
      </c>
      <c r="DO46" s="335">
        <f t="shared" si="103"/>
        <v>1.26E-2</v>
      </c>
      <c r="DP46" s="350">
        <f t="shared" si="104"/>
        <v>1.7000000000000015E-2</v>
      </c>
      <c r="DQ46" s="349">
        <f t="shared" si="282"/>
        <v>1.3914703045335545E-2</v>
      </c>
      <c r="DR46" s="335">
        <f t="shared" si="105"/>
        <v>5.0000000000000044E-2</v>
      </c>
      <c r="DS46" s="350">
        <f t="shared" si="106"/>
        <v>4.0399999999999991E-2</v>
      </c>
      <c r="DT46" s="349">
        <f t="shared" si="283"/>
        <v>4.7131556991995227E-2</v>
      </c>
      <c r="DU46" s="335">
        <f>DU45+(DU48-DU43)/5</f>
        <v>0.38079999999999997</v>
      </c>
      <c r="DV46" s="350">
        <f>DV45+(DV48-DV43)/5</f>
        <v>0.33100000000000007</v>
      </c>
      <c r="DW46" s="350">
        <f t="shared" si="284"/>
        <v>0.36591995189597504</v>
      </c>
      <c r="DX46" s="335">
        <f>DX45+(DX48-DX43)/5</f>
        <v>0.60300000000000009</v>
      </c>
      <c r="DY46" s="350">
        <f>DY45+(DY48-DY43)/5</f>
        <v>0.43919999999999998</v>
      </c>
      <c r="DZ46" s="396">
        <f t="shared" si="285"/>
        <v>0.55405719117591801</v>
      </c>
      <c r="EA46" s="350">
        <f t="shared" si="286"/>
        <v>0</v>
      </c>
      <c r="EB46" s="350">
        <f t="shared" si="287"/>
        <v>0</v>
      </c>
      <c r="EC46" s="349">
        <f t="shared" si="288"/>
        <v>0</v>
      </c>
      <c r="ED46" s="335">
        <f t="shared" si="289"/>
        <v>1.4695944838056474E-2</v>
      </c>
      <c r="EE46" s="350">
        <f t="shared" si="290"/>
        <v>1.7265078675919865E-3</v>
      </c>
      <c r="EF46" s="387">
        <f t="shared" si="291"/>
        <v>1.0820727046838981E-2</v>
      </c>
      <c r="EG46" s="335">
        <f t="shared" si="292"/>
        <v>0</v>
      </c>
      <c r="EH46" s="350">
        <f t="shared" si="293"/>
        <v>0</v>
      </c>
      <c r="EI46" s="387">
        <f t="shared" si="294"/>
        <v>0</v>
      </c>
      <c r="EJ46" s="335">
        <f t="shared" si="295"/>
        <v>0</v>
      </c>
      <c r="EK46" s="350">
        <f t="shared" si="296"/>
        <v>0</v>
      </c>
      <c r="EL46" s="387">
        <f t="shared" si="297"/>
        <v>0</v>
      </c>
      <c r="EN46" s="337"/>
      <c r="EO46" s="317">
        <v>100</v>
      </c>
      <c r="EP46" s="315"/>
      <c r="EQ46" s="308">
        <v>0.44</v>
      </c>
      <c r="ER46" s="308">
        <v>0.36</v>
      </c>
      <c r="ES46" s="308">
        <v>0.53</v>
      </c>
      <c r="ET46" s="320">
        <f t="shared" si="313"/>
        <v>57.203681592300889</v>
      </c>
      <c r="EU46" s="320">
        <f t="shared" si="314"/>
        <v>72.804685662928406</v>
      </c>
      <c r="EV46" s="350">
        <f t="shared" ca="1" si="315"/>
        <v>0.49715961493768324</v>
      </c>
      <c r="EW46" s="362">
        <f t="shared" si="214"/>
        <v>0.44</v>
      </c>
      <c r="EY46" s="363">
        <v>70</v>
      </c>
      <c r="EZ46" s="346">
        <v>0</v>
      </c>
      <c r="FA46" s="347">
        <f t="shared" si="182"/>
        <v>0</v>
      </c>
      <c r="FB46" s="347">
        <f t="shared" si="183"/>
        <v>0</v>
      </c>
      <c r="FC46" s="33" t="e">
        <f t="shared" si="184"/>
        <v>#DIV/0!</v>
      </c>
      <c r="FD46" s="33" t="e">
        <f t="shared" si="185"/>
        <v>#DIV/0!</v>
      </c>
      <c r="FE46" s="308">
        <f t="shared" ca="1" si="189"/>
        <v>0</v>
      </c>
      <c r="FF46" s="364">
        <f t="shared" si="190"/>
        <v>0.46500000000000008</v>
      </c>
      <c r="FH46" s="499"/>
      <c r="FI46" s="424" t="s">
        <v>238</v>
      </c>
      <c r="FJ46" s="431"/>
      <c r="FK46" s="416">
        <v>0.114</v>
      </c>
      <c r="FL46" s="432">
        <v>0.06</v>
      </c>
      <c r="FM46" s="432">
        <v>3.6999999999999998E-2</v>
      </c>
      <c r="FN46" s="432">
        <v>3.9E-2</v>
      </c>
      <c r="FO46" s="432">
        <v>0.04</v>
      </c>
      <c r="FP46" s="433"/>
    </row>
    <row r="47" spans="2:172" ht="15" customHeight="1" x14ac:dyDescent="0.2">
      <c r="B47" s="330" t="s">
        <v>207</v>
      </c>
      <c r="C47" s="263">
        <f t="shared" ref="C47:C57" si="319">IF(psa,J47,IF(owsa_low=L47,F47,IF(owsa_high=L47,G47,IF(ISNUMBER(D47),D47,E47))))</f>
        <v>0</v>
      </c>
      <c r="D47" s="332"/>
      <c r="E47" s="23">
        <v>0</v>
      </c>
      <c r="F47" s="23">
        <f>IF(ISNUMBER(D47),D47,E47)*(1-owsa)</f>
        <v>0</v>
      </c>
      <c r="G47" s="23">
        <f>IF(ISNUMBER(D47),D47,E47)*(1+owsa)</f>
        <v>0</v>
      </c>
      <c r="H47" s="54" t="e">
        <f>(LN(G47)-LN(F47))/(2*z)</f>
        <v>#NUM!</v>
      </c>
      <c r="I47" s="33"/>
      <c r="J47" s="23">
        <f ca="1">IFERROR(_xlfn.LOGNORM.INV(RAND(),LN(IF(ISNUMBER(D47),D47,E47))-(H47^2)/2,H47),E47)</f>
        <v>0</v>
      </c>
      <c r="K47" s="10" t="s">
        <v>267</v>
      </c>
      <c r="L47" s="10">
        <v>5</v>
      </c>
      <c r="M47" s="413" t="s">
        <v>259</v>
      </c>
      <c r="N47" s="413" t="s">
        <v>311</v>
      </c>
      <c r="Q47" s="10">
        <v>41</v>
      </c>
      <c r="R47" s="10">
        <f t="shared" si="215"/>
        <v>86</v>
      </c>
      <c r="S47" s="309">
        <f t="shared" si="242"/>
        <v>5.9047830388127588E-2</v>
      </c>
      <c r="T47" s="309">
        <f t="shared" si="243"/>
        <v>0</v>
      </c>
      <c r="U47" s="309">
        <f t="shared" si="244"/>
        <v>1.0117596088233459E-5</v>
      </c>
      <c r="V47" s="235">
        <f t="shared" si="245"/>
        <v>6.3695054631773213E-3</v>
      </c>
      <c r="W47" s="235">
        <f t="shared" si="246"/>
        <v>2.5043690871261414E-2</v>
      </c>
      <c r="X47" s="309">
        <f t="shared" si="247"/>
        <v>1.0767004477891256E-6</v>
      </c>
      <c r="Y47" s="235">
        <f t="shared" si="248"/>
        <v>3.1346376211058014E-3</v>
      </c>
      <c r="Z47" s="235">
        <f t="shared" si="249"/>
        <v>9.6979893716533157E-4</v>
      </c>
      <c r="AA47" s="235">
        <f t="shared" si="250"/>
        <v>7.4275486382390843E-2</v>
      </c>
      <c r="AB47" s="235">
        <f t="shared" si="251"/>
        <v>6.954784779836271E-4</v>
      </c>
      <c r="AC47" s="235">
        <f t="shared" si="252"/>
        <v>2.2435223281046857E-3</v>
      </c>
      <c r="AD47" s="235">
        <f t="shared" si="253"/>
        <v>0.82820885523414745</v>
      </c>
      <c r="AE47" s="235">
        <f t="shared" si="38"/>
        <v>1</v>
      </c>
      <c r="AF47" s="101">
        <f t="shared" si="216"/>
        <v>0</v>
      </c>
      <c r="AG47" s="101">
        <f t="shared" si="217"/>
        <v>1.7795466467734198E-2</v>
      </c>
      <c r="AH47" s="101">
        <f t="shared" si="218"/>
        <v>7.665394389350964</v>
      </c>
      <c r="AI47" s="101">
        <f t="shared" si="219"/>
        <v>19.609771170533712</v>
      </c>
      <c r="AJ47" s="101">
        <f t="shared" si="220"/>
        <v>62.525286539751704</v>
      </c>
      <c r="AK47" s="101">
        <f t="shared" si="254"/>
        <v>339.25377204142251</v>
      </c>
      <c r="AL47" s="235">
        <f t="shared" si="255"/>
        <v>1.6695573321762507E-2</v>
      </c>
      <c r="AM47" s="235">
        <f t="shared" si="221"/>
        <v>2.8420200415051669E-6</v>
      </c>
      <c r="AN47" s="235">
        <f t="shared" si="222"/>
        <v>9.7682826129517428E-3</v>
      </c>
      <c r="AO47" s="235">
        <f t="shared" si="223"/>
        <v>1.9136786836388485E-4</v>
      </c>
      <c r="AP47" s="235">
        <f t="shared" si="224"/>
        <v>1.2999214971177981E-4</v>
      </c>
      <c r="AQ47" s="235">
        <f t="shared" si="225"/>
        <v>1.8387005505534786E-2</v>
      </c>
      <c r="AR47" s="101">
        <f t="shared" si="41"/>
        <v>429.07201960752661</v>
      </c>
      <c r="AS47" s="235">
        <f t="shared" si="42"/>
        <v>4.5175063478366209E-2</v>
      </c>
      <c r="AT47" s="235">
        <f t="shared" si="226"/>
        <v>5.112985496343251E-2</v>
      </c>
      <c r="AV47" s="10">
        <v>41</v>
      </c>
      <c r="AW47" s="10">
        <f t="shared" si="43"/>
        <v>86</v>
      </c>
      <c r="AX47" s="309">
        <f t="shared" si="256"/>
        <v>7.2814451470372715E-2</v>
      </c>
      <c r="AY47" s="309">
        <f t="shared" si="257"/>
        <v>8.1195873785263055E-6</v>
      </c>
      <c r="AZ47" s="309">
        <f t="shared" si="258"/>
        <v>8.1195873785263055E-6</v>
      </c>
      <c r="BA47" s="235">
        <f t="shared" si="259"/>
        <v>1.1614947492865574E-3</v>
      </c>
      <c r="BB47" s="235">
        <f t="shared" si="260"/>
        <v>1.8265849034915847E-3</v>
      </c>
      <c r="BC47" s="309">
        <f t="shared" si="261"/>
        <v>1.9482372584526374E-7</v>
      </c>
      <c r="BD47" s="235">
        <f t="shared" si="262"/>
        <v>2.0116234359295183E-3</v>
      </c>
      <c r="BE47" s="235">
        <f t="shared" si="263"/>
        <v>1.0052549792427758E-3</v>
      </c>
      <c r="BF47" s="235">
        <f t="shared" si="264"/>
        <v>7.7781548035253875E-2</v>
      </c>
      <c r="BG47" s="235">
        <f t="shared" si="265"/>
        <v>7.4918050615803032E-4</v>
      </c>
      <c r="BH47" s="235">
        <f t="shared" si="266"/>
        <v>2.4108812106344237E-3</v>
      </c>
      <c r="BI47" s="235">
        <f t="shared" si="267"/>
        <v>0.84022254671114815</v>
      </c>
      <c r="BJ47" s="235">
        <f t="shared" si="56"/>
        <v>1.0000000000000004</v>
      </c>
      <c r="BK47" s="101">
        <f t="shared" si="227"/>
        <v>1.8010713762056596E-2</v>
      </c>
      <c r="BL47" s="101">
        <f t="shared" si="228"/>
        <v>1.4281242665384074E-2</v>
      </c>
      <c r="BM47" s="101">
        <f t="shared" si="229"/>
        <v>7.9456427332019519</v>
      </c>
      <c r="BN47" s="101">
        <f t="shared" si="230"/>
        <v>21.123958190305721</v>
      </c>
      <c r="BO47" s="101">
        <f t="shared" si="231"/>
        <v>65.651324578949769</v>
      </c>
      <c r="BP47" s="101">
        <f t="shared" si="268"/>
        <v>356.47652859839405</v>
      </c>
      <c r="BQ47" s="235">
        <f t="shared" si="232"/>
        <v>2.0588038636080948E-2</v>
      </c>
      <c r="BR47" s="235">
        <f t="shared" si="233"/>
        <v>4.4507678946563697E-6</v>
      </c>
      <c r="BS47" s="235">
        <f t="shared" si="234"/>
        <v>1.413649052909904E-3</v>
      </c>
      <c r="BT47" s="235">
        <f t="shared" si="235"/>
        <v>1.9836431570256031E-4</v>
      </c>
      <c r="BU47" s="235">
        <f t="shared" si="236"/>
        <v>1.4002961644477276E-4</v>
      </c>
      <c r="BV47" s="235">
        <f t="shared" si="237"/>
        <v>1.926810591946217E-2</v>
      </c>
      <c r="BW47" s="101">
        <f t="shared" si="58"/>
        <v>451.22974605727893</v>
      </c>
      <c r="BX47" s="235">
        <f t="shared" si="59"/>
        <v>4.1612638308495015E-2</v>
      </c>
      <c r="BY47" s="235">
        <f t="shared" si="238"/>
        <v>4.7554243987490363E-2</v>
      </c>
      <c r="CA47" s="23"/>
      <c r="CB47" s="21">
        <v>30</v>
      </c>
      <c r="CC47" t="str">
        <f>$M$86</f>
        <v>boc_cost_bc_initial_65</v>
      </c>
      <c r="CD47" s="101">
        <f>$F$86</f>
        <v>21245.600000000002</v>
      </c>
      <c r="CE47" s="101">
        <f>$G$86</f>
        <v>31868.399999999998</v>
      </c>
      <c r="CF47" s="447">
        <v>-16811.779815732276</v>
      </c>
      <c r="CG47" s="447">
        <v>-17105.401995600027</v>
      </c>
      <c r="CH47" s="266">
        <f t="shared" si="151"/>
        <v>293.62217986775067</v>
      </c>
      <c r="CJ47" s="10">
        <v>39</v>
      </c>
      <c r="CK47" s="450">
        <v>0.1785818789759617</v>
      </c>
      <c r="CL47" s="450">
        <v>7.8463577253433034E-4</v>
      </c>
      <c r="CM47" s="450">
        <v>0.1785818789759617</v>
      </c>
      <c r="CN47" s="450">
        <v>7.8463577253433034E-4</v>
      </c>
      <c r="CO47" s="451">
        <v>0.38710100461112917</v>
      </c>
      <c r="CP47" s="451">
        <v>0.44776055982008323</v>
      </c>
      <c r="CQ47" s="451">
        <v>0.11800726815969358</v>
      </c>
      <c r="CR47" s="451">
        <v>0.13715451669988402</v>
      </c>
      <c r="CS47" s="451">
        <v>17.901706368312126</v>
      </c>
      <c r="CT47" s="451">
        <v>17.603908632617106</v>
      </c>
      <c r="CU47" s="234">
        <v>0.29779773569502055</v>
      </c>
      <c r="CX47" s="402">
        <v>39</v>
      </c>
      <c r="CY47" s="200">
        <f t="shared" si="272"/>
        <v>1.2520000000000001E-3</v>
      </c>
      <c r="CZ47" s="403">
        <v>1.2520000000000001E-3</v>
      </c>
      <c r="DA47" s="345">
        <f t="shared" si="273"/>
        <v>2.8426105064446872E-2</v>
      </c>
      <c r="DB47" s="387">
        <f t="shared" si="274"/>
        <v>5.5476119635863519E-2</v>
      </c>
      <c r="DC47" s="114">
        <f t="shared" si="91"/>
        <v>2.3226025331156142E-2</v>
      </c>
      <c r="DD47" s="378">
        <f t="shared" si="92"/>
        <v>4.7884984099028083E-3</v>
      </c>
      <c r="DE47" s="378">
        <f t="shared" si="275"/>
        <v>1.7716963333013477E-2</v>
      </c>
      <c r="DF47" s="340">
        <f t="shared" si="93"/>
        <v>0</v>
      </c>
      <c r="DG47" s="378">
        <f t="shared" si="94"/>
        <v>0</v>
      </c>
      <c r="DH47" s="378">
        <f t="shared" si="276"/>
        <v>0</v>
      </c>
      <c r="DI47" s="340">
        <f>DI46+(DI48-DI38)/10</f>
        <v>0.21999999999999992</v>
      </c>
      <c r="DJ47" s="378">
        <f t="shared" ref="DJ47" si="320">DJ46+(DJ48-DJ38)/10</f>
        <v>0.12099999999999997</v>
      </c>
      <c r="DK47" s="350">
        <f t="shared" si="278"/>
        <v>0.19041918147995035</v>
      </c>
      <c r="DL47" s="340">
        <f t="shared" ref="DL47" si="321">DL46+(DL48-DL38)/10</f>
        <v>1.8000000000000002E-2</v>
      </c>
      <c r="DM47" s="378">
        <f t="shared" ref="DM47" si="322">DM46+(DM48-DM38)/10</f>
        <v>8.9999999999999996E-7</v>
      </c>
      <c r="DN47" s="396">
        <f t="shared" si="281"/>
        <v>1.2621938276522984E-2</v>
      </c>
      <c r="DO47" s="335">
        <f t="shared" si="103"/>
        <v>1.26E-2</v>
      </c>
      <c r="DP47" s="350">
        <f t="shared" si="104"/>
        <v>1.7000000000000015E-2</v>
      </c>
      <c r="DQ47" s="349">
        <f t="shared" si="282"/>
        <v>1.3914703045335545E-2</v>
      </c>
      <c r="DR47" s="335">
        <f t="shared" si="105"/>
        <v>5.0000000000000044E-2</v>
      </c>
      <c r="DS47" s="350">
        <f t="shared" si="106"/>
        <v>4.0399999999999991E-2</v>
      </c>
      <c r="DT47" s="349">
        <f t="shared" si="283"/>
        <v>4.7131556991995227E-2</v>
      </c>
      <c r="DU47" s="335">
        <f>DU46+(DU48-DU43)/5</f>
        <v>0.39339999999999997</v>
      </c>
      <c r="DV47" s="350">
        <f>DV46+(DV48-DV43)/5</f>
        <v>0.34800000000000009</v>
      </c>
      <c r="DW47" s="350">
        <f t="shared" si="284"/>
        <v>0.37983465494131063</v>
      </c>
      <c r="DX47" s="335">
        <f>DX46+(DX48-DX43)/5</f>
        <v>0.65300000000000014</v>
      </c>
      <c r="DY47" s="350">
        <f>DY46+(DY48-DY43)/5</f>
        <v>0.47959999999999997</v>
      </c>
      <c r="DZ47" s="396">
        <f t="shared" si="285"/>
        <v>0.60118874816791323</v>
      </c>
      <c r="EA47" s="350">
        <f t="shared" si="286"/>
        <v>0</v>
      </c>
      <c r="EB47" s="350">
        <f t="shared" si="287"/>
        <v>0</v>
      </c>
      <c r="EC47" s="349">
        <f t="shared" si="288"/>
        <v>0</v>
      </c>
      <c r="ED47" s="335">
        <f t="shared" si="289"/>
        <v>1.4695944838056474E-2</v>
      </c>
      <c r="EE47" s="350">
        <f t="shared" si="290"/>
        <v>1.7265078675919865E-3</v>
      </c>
      <c r="EF47" s="387">
        <f t="shared" si="291"/>
        <v>1.0820727046838981E-2</v>
      </c>
      <c r="EG47" s="335">
        <f t="shared" si="292"/>
        <v>0</v>
      </c>
      <c r="EH47" s="350">
        <f t="shared" si="293"/>
        <v>0</v>
      </c>
      <c r="EI47" s="387">
        <f t="shared" si="294"/>
        <v>0</v>
      </c>
      <c r="EJ47" s="335">
        <f t="shared" si="295"/>
        <v>0</v>
      </c>
      <c r="EK47" s="350">
        <f t="shared" si="296"/>
        <v>0</v>
      </c>
      <c r="EL47" s="387">
        <f t="shared" si="297"/>
        <v>0</v>
      </c>
      <c r="EO47" s="267"/>
      <c r="EP47" s="47"/>
      <c r="EQ47" s="47"/>
      <c r="ER47" s="47"/>
      <c r="ES47" s="47"/>
      <c r="ET47" s="47"/>
      <c r="EU47" s="47"/>
      <c r="EV47" s="47"/>
      <c r="EW47" s="352"/>
      <c r="EY47" s="363">
        <v>75</v>
      </c>
      <c r="EZ47" s="346">
        <v>0</v>
      </c>
      <c r="FA47" s="347">
        <f t="shared" si="182"/>
        <v>0</v>
      </c>
      <c r="FB47" s="347">
        <f t="shared" si="183"/>
        <v>0</v>
      </c>
      <c r="FC47" s="33" t="e">
        <f t="shared" si="184"/>
        <v>#DIV/0!</v>
      </c>
      <c r="FD47" s="33" t="e">
        <f t="shared" si="185"/>
        <v>#DIV/0!</v>
      </c>
      <c r="FE47" s="308">
        <f t="shared" ca="1" si="189"/>
        <v>0</v>
      </c>
      <c r="FF47" s="364">
        <f t="shared" si="190"/>
        <v>0.46500000000000008</v>
      </c>
      <c r="FH47" s="499"/>
      <c r="FI47" s="425" t="s">
        <v>313</v>
      </c>
      <c r="FJ47" s="423"/>
      <c r="FK47" s="420">
        <f>1-(FK45+FK46)</f>
        <v>0.59600000000000009</v>
      </c>
      <c r="FL47" s="422">
        <f>1-(FL45+FL46)</f>
        <v>0.76500000000000001</v>
      </c>
      <c r="FM47" s="422">
        <f t="shared" ref="FM47:FO47" si="323">1-(FM45+FM46)</f>
        <v>0.85099999999999998</v>
      </c>
      <c r="FN47" s="422">
        <f t="shared" si="323"/>
        <v>0.86799999999999999</v>
      </c>
      <c r="FO47" s="422">
        <f t="shared" si="323"/>
        <v>0.78</v>
      </c>
      <c r="FP47" s="434"/>
    </row>
    <row r="48" spans="2:172" ht="15" customHeight="1" x14ac:dyDescent="0.2">
      <c r="B48" s="330" t="s">
        <v>208</v>
      </c>
      <c r="C48" s="263">
        <f t="shared" si="319"/>
        <v>0</v>
      </c>
      <c r="D48" s="332"/>
      <c r="E48" s="23">
        <v>0</v>
      </c>
      <c r="F48" s="23">
        <f>IF(ISNUMBER(D48),D48,E48)*(1-owsa)</f>
        <v>0</v>
      </c>
      <c r="G48" s="23">
        <f>IF(ISNUMBER(D48),D48,E48)*(1+owsa)</f>
        <v>0</v>
      </c>
      <c r="H48" s="54" t="e">
        <f t="shared" ref="H48:H57" si="324">(LN(G48)-LN(F48))/(2*z)</f>
        <v>#NUM!</v>
      </c>
      <c r="J48" s="23">
        <f t="shared" ref="J48:J57" ca="1" si="325">IFERROR(_xlfn.LOGNORM.INV(RAND(),LN(IF(ISNUMBER(D48),D48,E48))-(H48^2)/2,H48),E48)</f>
        <v>0</v>
      </c>
      <c r="K48" s="10" t="s">
        <v>267</v>
      </c>
      <c r="L48" s="10">
        <v>6</v>
      </c>
      <c r="M48" s="413" t="s">
        <v>260</v>
      </c>
      <c r="N48" s="413" t="s">
        <v>311</v>
      </c>
      <c r="Q48" s="10">
        <v>42</v>
      </c>
      <c r="R48" s="10">
        <f t="shared" si="215"/>
        <v>87</v>
      </c>
      <c r="S48" s="309">
        <f t="shared" si="242"/>
        <v>5.2363828640818531E-2</v>
      </c>
      <c r="T48" s="309">
        <f t="shared" si="243"/>
        <v>0</v>
      </c>
      <c r="U48" s="309">
        <f t="shared" si="244"/>
        <v>9.0736787257859109E-6</v>
      </c>
      <c r="V48" s="235">
        <f t="shared" si="245"/>
        <v>5.7264226042166386E-3</v>
      </c>
      <c r="W48" s="235">
        <f t="shared" si="246"/>
        <v>2.2574321980117575E-2</v>
      </c>
      <c r="X48" s="309">
        <f t="shared" si="247"/>
        <v>9.7878018269456485E-7</v>
      </c>
      <c r="Y48" s="235">
        <f t="shared" si="248"/>
        <v>2.8441148663293347E-3</v>
      </c>
      <c r="Z48" s="235">
        <f t="shared" si="249"/>
        <v>8.7216856673093908E-4</v>
      </c>
      <c r="AA48" s="235">
        <f t="shared" si="250"/>
        <v>6.3521401168074892E-2</v>
      </c>
      <c r="AB48" s="235">
        <f t="shared" si="251"/>
        <v>6.2508427997402718E-4</v>
      </c>
      <c r="AC48" s="235">
        <f t="shared" si="252"/>
        <v>1.8649453393629264E-3</v>
      </c>
      <c r="AD48" s="235">
        <f t="shared" si="253"/>
        <v>0.84959766009546678</v>
      </c>
      <c r="AE48" s="235">
        <f t="shared" si="38"/>
        <v>1</v>
      </c>
      <c r="AF48" s="101">
        <f t="shared" si="216"/>
        <v>0</v>
      </c>
      <c r="AG48" s="101">
        <f t="shared" si="217"/>
        <v>1.5494523043283016E-2</v>
      </c>
      <c r="AH48" s="101">
        <f t="shared" si="218"/>
        <v>6.6929257407345801</v>
      </c>
      <c r="AI48" s="101">
        <f t="shared" si="219"/>
        <v>17.111582805730002</v>
      </c>
      <c r="AJ48" s="101">
        <f t="shared" si="220"/>
        <v>51.766753749338385</v>
      </c>
      <c r="AK48" s="101">
        <f t="shared" si="254"/>
        <v>280.65757089367833</v>
      </c>
      <c r="AL48" s="235">
        <f t="shared" si="255"/>
        <v>1.437446072674408E-2</v>
      </c>
      <c r="AM48" s="235">
        <f t="shared" si="221"/>
        <v>2.4683977685697274E-6</v>
      </c>
      <c r="AN48" s="235">
        <f t="shared" si="222"/>
        <v>8.5496146984283868E-3</v>
      </c>
      <c r="AO48" s="235">
        <f t="shared" si="223"/>
        <v>1.6709002395251825E-4</v>
      </c>
      <c r="AP48" s="235">
        <f t="shared" si="224"/>
        <v>1.1343178941477833E-4</v>
      </c>
      <c r="AQ48" s="235">
        <f t="shared" si="225"/>
        <v>1.5255629854434247E-2</v>
      </c>
      <c r="AR48" s="101">
        <f t="shared" si="41"/>
        <v>356.24432771252458</v>
      </c>
      <c r="AS48" s="235">
        <f t="shared" si="42"/>
        <v>3.8462695490742577E-2</v>
      </c>
      <c r="AT48" s="235">
        <f t="shared" si="226"/>
        <v>4.3460143431164104E-2</v>
      </c>
      <c r="AV48" s="10">
        <v>42</v>
      </c>
      <c r="AW48" s="10">
        <f t="shared" si="43"/>
        <v>87</v>
      </c>
      <c r="AX48" s="309">
        <f t="shared" si="256"/>
        <v>6.4568744053288218E-2</v>
      </c>
      <c r="AY48" s="309">
        <f t="shared" si="257"/>
        <v>7.2814451470372718E-6</v>
      </c>
      <c r="AZ48" s="309">
        <f t="shared" si="258"/>
        <v>7.2814451470372718E-6</v>
      </c>
      <c r="BA48" s="235">
        <f t="shared" si="259"/>
        <v>1.052346619672433E-3</v>
      </c>
      <c r="BB48" s="235">
        <f t="shared" si="260"/>
        <v>1.6538608361040847E-3</v>
      </c>
      <c r="BC48" s="309">
        <f t="shared" si="261"/>
        <v>1.7848293709420524E-7</v>
      </c>
      <c r="BD48" s="235">
        <f t="shared" si="262"/>
        <v>1.8246871239592179E-3</v>
      </c>
      <c r="BE48" s="235">
        <f t="shared" si="263"/>
        <v>9.0171131661853383E-4</v>
      </c>
      <c r="BF48" s="235">
        <f t="shared" si="264"/>
        <v>6.6511118932965629E-2</v>
      </c>
      <c r="BG48" s="235">
        <f t="shared" si="265"/>
        <v>6.7216943017531108E-4</v>
      </c>
      <c r="BH48" s="235">
        <f t="shared" si="266"/>
        <v>2.0052197191041559E-3</v>
      </c>
      <c r="BI48" s="235">
        <f t="shared" si="267"/>
        <v>0.8607954005948818</v>
      </c>
      <c r="BJ48" s="235">
        <f t="shared" si="56"/>
        <v>1.0000000000000007</v>
      </c>
      <c r="BK48" s="101">
        <f t="shared" si="227"/>
        <v>1.5681128796091591E-2</v>
      </c>
      <c r="BL48" s="101">
        <f t="shared" si="228"/>
        <v>1.2434043900909467E-2</v>
      </c>
      <c r="BM48" s="101">
        <f t="shared" si="229"/>
        <v>6.9196335569952465</v>
      </c>
      <c r="BN48" s="101">
        <f t="shared" si="230"/>
        <v>18.40053130819911</v>
      </c>
      <c r="BO48" s="101">
        <f t="shared" si="231"/>
        <v>54.348050373207677</v>
      </c>
      <c r="BP48" s="101">
        <f t="shared" si="268"/>
        <v>294.86960208476802</v>
      </c>
      <c r="BQ48" s="235">
        <f t="shared" si="232"/>
        <v>1.7724847469340308E-2</v>
      </c>
      <c r="BR48" s="235">
        <f t="shared" si="233"/>
        <v>3.8747407456997909E-6</v>
      </c>
      <c r="BS48" s="235">
        <f t="shared" si="234"/>
        <v>1.2437815928276034E-3</v>
      </c>
      <c r="BT48" s="235">
        <f t="shared" si="235"/>
        <v>1.727498229577079E-4</v>
      </c>
      <c r="BU48" s="235">
        <f t="shared" si="236"/>
        <v>1.2197616177112229E-4</v>
      </c>
      <c r="BV48" s="235">
        <f t="shared" si="237"/>
        <v>1.5984578314681839E-2</v>
      </c>
      <c r="BW48" s="101">
        <f t="shared" si="58"/>
        <v>374.56593249586706</v>
      </c>
      <c r="BX48" s="235">
        <f t="shared" si="59"/>
        <v>3.5251808102324284E-2</v>
      </c>
      <c r="BY48" s="235">
        <f t="shared" si="238"/>
        <v>4.0224453025559957E-2</v>
      </c>
      <c r="CA48" s="23"/>
      <c r="CB48" s="21">
        <v>28</v>
      </c>
      <c r="CC48" t="str">
        <f>$M$83</f>
        <v>boc_cost_oc_cont_64</v>
      </c>
      <c r="CD48" s="101">
        <f>$F$83</f>
        <v>7637.6</v>
      </c>
      <c r="CE48" s="101">
        <f>$G$83</f>
        <v>11456.4</v>
      </c>
      <c r="CF48" s="447">
        <v>-16817.848499659642</v>
      </c>
      <c r="CG48" s="447">
        <v>-17099.333311672941</v>
      </c>
      <c r="CH48" s="266">
        <f t="shared" si="151"/>
        <v>281.48481201329923</v>
      </c>
      <c r="CJ48" s="10">
        <v>40</v>
      </c>
      <c r="CK48" s="450">
        <v>0.19399738587893497</v>
      </c>
      <c r="CL48" s="450">
        <v>8.8933787512670496E-4</v>
      </c>
      <c r="CM48" s="450">
        <v>0.19399738587893497</v>
      </c>
      <c r="CN48" s="450">
        <v>8.8933787512670496E-4</v>
      </c>
      <c r="CO48" s="451">
        <v>0.3824100885857884</v>
      </c>
      <c r="CP48" s="451">
        <v>0.43315584326772799</v>
      </c>
      <c r="CQ48" s="451">
        <v>0.1189831074916473</v>
      </c>
      <c r="CR48" s="451">
        <v>0.13652174502458161</v>
      </c>
      <c r="CS48" s="451">
        <v>17.57120856443996</v>
      </c>
      <c r="CT48" s="451">
        <v>17.321084520618168</v>
      </c>
      <c r="CU48" s="234">
        <v>0.25012404382179199</v>
      </c>
      <c r="CX48" s="402">
        <v>40</v>
      </c>
      <c r="CY48" s="200">
        <f t="shared" si="272"/>
        <v>1.3489999999999999E-3</v>
      </c>
      <c r="CZ48" s="403">
        <v>1.3489999999999999E-3</v>
      </c>
      <c r="DA48" s="345">
        <f t="shared" si="273"/>
        <v>2.9480386882917764E-2</v>
      </c>
      <c r="DB48" s="387">
        <f t="shared" si="274"/>
        <v>5.6501048732219616E-2</v>
      </c>
      <c r="DC48" s="114">
        <f t="shared" si="91"/>
        <v>2.3226025331156142E-2</v>
      </c>
      <c r="DD48" s="378">
        <f t="shared" si="92"/>
        <v>1.0741889386351788E-2</v>
      </c>
      <c r="DE48" s="378">
        <f t="shared" si="275"/>
        <v>1.9495813616379521E-2</v>
      </c>
      <c r="DF48" s="340">
        <f t="shared" si="93"/>
        <v>1.7983809715627075E-3</v>
      </c>
      <c r="DG48" s="378">
        <f t="shared" si="94"/>
        <v>9.9999997171806854E-10</v>
      </c>
      <c r="DH48" s="378">
        <f t="shared" si="276"/>
        <v>1.2610319658163515E-3</v>
      </c>
      <c r="DI48" s="340">
        <f>VLOOKUP($CX48,$EO$8:$EW$18,9,FALSE)</f>
        <v>0.24</v>
      </c>
      <c r="DJ48" s="378">
        <f>VLOOKUP($CX48,$EO$22:$EW$32,9,FALSE)</f>
        <v>0.13</v>
      </c>
      <c r="DK48" s="350">
        <f t="shared" si="278"/>
        <v>0.20713242386661157</v>
      </c>
      <c r="DL48" s="340">
        <f>VLOOKUP($CX48,$EO$36:$EW$46,9,FALSE)</f>
        <v>0.02</v>
      </c>
      <c r="DM48" s="378">
        <f>VLOOKUP($CX48,$EO$50:$EW$60,9,FALSE)</f>
        <v>9.9999999999999995E-7</v>
      </c>
      <c r="DN48" s="396">
        <f t="shared" si="281"/>
        <v>1.4024375862803314E-2</v>
      </c>
      <c r="DO48" s="335">
        <f t="shared" si="103"/>
        <v>1.26E-2</v>
      </c>
      <c r="DP48" s="350">
        <f t="shared" si="104"/>
        <v>1.699999999999996E-2</v>
      </c>
      <c r="DQ48" s="349">
        <f t="shared" si="282"/>
        <v>1.3914703045335527E-2</v>
      </c>
      <c r="DR48" s="335">
        <f t="shared" si="105"/>
        <v>4.9999999999999933E-2</v>
      </c>
      <c r="DS48" s="350">
        <f t="shared" si="106"/>
        <v>4.0400000000000047E-2</v>
      </c>
      <c r="DT48" s="349">
        <f t="shared" si="283"/>
        <v>4.7131556991995158E-2</v>
      </c>
      <c r="DU48" s="335">
        <f>VLOOKUP($CX48,$EY$8:$FF$28,8,FALSE)</f>
        <v>0.40599999999999997</v>
      </c>
      <c r="DV48" s="350">
        <f>VLOOKUP($CX48,$EY$32:$FF$52,8,FALSE)</f>
        <v>0.36500000000000005</v>
      </c>
      <c r="DW48" s="350">
        <f t="shared" si="284"/>
        <v>0.39374935798664612</v>
      </c>
      <c r="DX48" s="335">
        <f>VLOOKUP($CX48,$EY$56:$FF$76,8,FALSE)</f>
        <v>0.70300000000000007</v>
      </c>
      <c r="DY48" s="350">
        <f>VLOOKUP($CX48,$EY$80:$FF$100,8,FALSE)</f>
        <v>0.52</v>
      </c>
      <c r="DZ48" s="396">
        <f t="shared" si="285"/>
        <v>0.64832030515990835</v>
      </c>
      <c r="EA48" s="350">
        <f t="shared" si="286"/>
        <v>0</v>
      </c>
      <c r="EB48" s="350">
        <f t="shared" si="287"/>
        <v>0</v>
      </c>
      <c r="EC48" s="349">
        <f t="shared" si="288"/>
        <v>0</v>
      </c>
      <c r="ED48" s="335">
        <f t="shared" si="289"/>
        <v>1.4695944838056474E-2</v>
      </c>
      <c r="EE48" s="350">
        <f t="shared" si="290"/>
        <v>3.880451514006622E-3</v>
      </c>
      <c r="EF48" s="387">
        <f t="shared" si="291"/>
        <v>1.1464317108525902E-2</v>
      </c>
      <c r="EG48" s="335">
        <f t="shared" si="292"/>
        <v>1.7983809715627075E-3</v>
      </c>
      <c r="EH48" s="350">
        <f t="shared" si="293"/>
        <v>9.9999997171806854E-10</v>
      </c>
      <c r="EI48" s="387">
        <f t="shared" si="294"/>
        <v>1.2610319658163515E-3</v>
      </c>
      <c r="EJ48" s="335">
        <f t="shared" si="295"/>
        <v>5.5784434695282936E-4</v>
      </c>
      <c r="EK48" s="350">
        <f t="shared" si="296"/>
        <v>0</v>
      </c>
      <c r="EL48" s="387">
        <f t="shared" si="297"/>
        <v>3.9116260564326137E-4</v>
      </c>
      <c r="EO48" s="351" t="s">
        <v>379</v>
      </c>
      <c r="EP48" s="20"/>
      <c r="EQ48" s="19"/>
      <c r="ER48" s="19"/>
      <c r="ES48" s="19"/>
      <c r="ET48" s="19"/>
      <c r="EU48" s="19"/>
      <c r="EV48" s="19"/>
      <c r="EW48" s="334"/>
      <c r="EY48" s="363">
        <v>80</v>
      </c>
      <c r="EZ48" s="346">
        <v>0</v>
      </c>
      <c r="FA48" s="347">
        <f t="shared" si="182"/>
        <v>0</v>
      </c>
      <c r="FB48" s="347">
        <f t="shared" si="183"/>
        <v>0</v>
      </c>
      <c r="FC48" s="33" t="e">
        <f t="shared" si="184"/>
        <v>#DIV/0!</v>
      </c>
      <c r="FD48" s="33" t="e">
        <f t="shared" si="185"/>
        <v>#DIV/0!</v>
      </c>
      <c r="FE48" s="308">
        <f t="shared" ca="1" si="189"/>
        <v>0</v>
      </c>
      <c r="FF48" s="364">
        <f t="shared" si="190"/>
        <v>0.46500000000000008</v>
      </c>
      <c r="FH48" s="499"/>
      <c r="FI48" s="424" t="s">
        <v>207</v>
      </c>
      <c r="FJ48" s="431"/>
      <c r="FK48" s="417"/>
      <c r="FL48" s="421">
        <v>0.111</v>
      </c>
      <c r="FM48" s="421">
        <v>8.5000000000000006E-2</v>
      </c>
      <c r="FN48" s="421"/>
      <c r="FO48" s="421">
        <v>0.1</v>
      </c>
      <c r="FP48" s="435">
        <f>SUMPRODUCT($FL$51:$FO$51,FL48:FO48)</f>
        <v>9.0537808329963609E-2</v>
      </c>
    </row>
    <row r="49" spans="2:172" ht="15" customHeight="1" x14ac:dyDescent="0.2">
      <c r="B49" s="15" t="s">
        <v>255</v>
      </c>
      <c r="C49" s="263"/>
      <c r="E49" s="23"/>
      <c r="F49" s="23"/>
      <c r="G49" s="23"/>
      <c r="H49" s="54"/>
      <c r="J49" s="23"/>
      <c r="K49" s="10"/>
      <c r="L49" s="10"/>
      <c r="M49" s="413"/>
      <c r="N49" s="413"/>
      <c r="Q49" s="10">
        <v>43</v>
      </c>
      <c r="R49" s="10">
        <f t="shared" si="215"/>
        <v>88</v>
      </c>
      <c r="S49" s="309">
        <f t="shared" si="242"/>
        <v>4.585885878988509E-2</v>
      </c>
      <c r="T49" s="309">
        <f t="shared" si="243"/>
        <v>0</v>
      </c>
      <c r="U49" s="309">
        <f t="shared" si="244"/>
        <v>8.0465709716309294E-6</v>
      </c>
      <c r="V49" s="235">
        <f t="shared" si="245"/>
        <v>5.0851047250444108E-3</v>
      </c>
      <c r="W49" s="235">
        <f t="shared" si="246"/>
        <v>2.0099397804356371E-2</v>
      </c>
      <c r="X49" s="309">
        <f t="shared" si="247"/>
        <v>8.7995983285420279E-7</v>
      </c>
      <c r="Y49" s="235">
        <f t="shared" si="248"/>
        <v>2.5491494641604138E-3</v>
      </c>
      <c r="Z49" s="235">
        <f t="shared" si="249"/>
        <v>7.756283845287129E-4</v>
      </c>
      <c r="AA49" s="235">
        <f t="shared" si="250"/>
        <v>5.4360479309737225E-2</v>
      </c>
      <c r="AB49" s="235">
        <f t="shared" si="251"/>
        <v>5.555620681091648E-4</v>
      </c>
      <c r="AC49" s="235">
        <f t="shared" si="252"/>
        <v>1.5800503095603964E-3</v>
      </c>
      <c r="AD49" s="235">
        <f t="shared" si="253"/>
        <v>0.8691268426138139</v>
      </c>
      <c r="AE49" s="235">
        <f t="shared" si="38"/>
        <v>1.0000000000000002</v>
      </c>
      <c r="AF49" s="101">
        <f t="shared" si="216"/>
        <v>0</v>
      </c>
      <c r="AG49" s="101">
        <f t="shared" si="217"/>
        <v>1.3340387219586084E-2</v>
      </c>
      <c r="AH49" s="101">
        <f t="shared" si="218"/>
        <v>5.7787252340454396</v>
      </c>
      <c r="AI49" s="101">
        <f t="shared" si="219"/>
        <v>14.765459521011737</v>
      </c>
      <c r="AJ49" s="101">
        <f t="shared" si="220"/>
        <v>42.96805643520436</v>
      </c>
      <c r="AK49" s="101">
        <f t="shared" si="254"/>
        <v>232.89068309121026</v>
      </c>
      <c r="AL49" s="235">
        <f t="shared" si="255"/>
        <v>1.2222109940097873E-2</v>
      </c>
      <c r="AM49" s="235">
        <f t="shared" si="221"/>
        <v>2.1199196706199292E-6</v>
      </c>
      <c r="AN49" s="235">
        <f t="shared" si="222"/>
        <v>7.3914561471922942E-3</v>
      </c>
      <c r="AO49" s="235">
        <f t="shared" si="223"/>
        <v>1.4426685356674801E-4</v>
      </c>
      <c r="AP49" s="235">
        <f t="shared" si="224"/>
        <v>9.7879460597823109E-5</v>
      </c>
      <c r="AQ49" s="235">
        <f t="shared" si="225"/>
        <v>1.2672019062906643E-2</v>
      </c>
      <c r="AR49" s="101">
        <f t="shared" si="41"/>
        <v>296.41626466869138</v>
      </c>
      <c r="AS49" s="235">
        <f t="shared" si="42"/>
        <v>3.2529851384031999E-2</v>
      </c>
      <c r="AT49" s="235">
        <f t="shared" si="226"/>
        <v>3.6715539810403208E-2</v>
      </c>
      <c r="AV49" s="10">
        <v>43</v>
      </c>
      <c r="AW49" s="10">
        <f t="shared" si="43"/>
        <v>88</v>
      </c>
      <c r="AX49" s="309">
        <f t="shared" si="256"/>
        <v>5.6544609824875393E-2</v>
      </c>
      <c r="AY49" s="309">
        <f t="shared" si="257"/>
        <v>6.4568744053288218E-6</v>
      </c>
      <c r="AZ49" s="309">
        <f t="shared" si="258"/>
        <v>6.4568744053288218E-6</v>
      </c>
      <c r="BA49" s="235">
        <f t="shared" si="259"/>
        <v>9.4177286115611583E-4</v>
      </c>
      <c r="BB49" s="235">
        <f t="shared" si="260"/>
        <v>1.4791573351641074E-3</v>
      </c>
      <c r="BC49" s="309">
        <f t="shared" si="261"/>
        <v>1.6171051624268259E-7</v>
      </c>
      <c r="BD49" s="235">
        <f t="shared" si="262"/>
        <v>1.6349979101514993E-3</v>
      </c>
      <c r="BE49" s="235">
        <f t="shared" si="263"/>
        <v>7.9980317268112089E-4</v>
      </c>
      <c r="BF49" s="235">
        <f t="shared" si="264"/>
        <v>5.690931220439191E-2</v>
      </c>
      <c r="BG49" s="235">
        <f t="shared" si="265"/>
        <v>5.9634589756836227E-4</v>
      </c>
      <c r="BH49" s="235">
        <f t="shared" si="266"/>
        <v>1.6989394508725338E-3</v>
      </c>
      <c r="BI49" s="235">
        <f t="shared" si="267"/>
        <v>0.87938198588381256</v>
      </c>
      <c r="BJ49" s="235">
        <f t="shared" si="56"/>
        <v>1.0000000000000004</v>
      </c>
      <c r="BK49" s="101">
        <f t="shared" si="227"/>
        <v>1.3500344591868906E-2</v>
      </c>
      <c r="BL49" s="101">
        <f t="shared" si="228"/>
        <v>1.070483378559728E-2</v>
      </c>
      <c r="BM49" s="101">
        <f t="shared" si="229"/>
        <v>5.9588365619836345</v>
      </c>
      <c r="BN49" s="101">
        <f t="shared" si="230"/>
        <v>15.849392383889082</v>
      </c>
      <c r="BO49" s="101">
        <f t="shared" si="231"/>
        <v>45.102727324635694</v>
      </c>
      <c r="BP49" s="101">
        <f t="shared" si="268"/>
        <v>244.64104151844285</v>
      </c>
      <c r="BQ49" s="235">
        <f t="shared" si="232"/>
        <v>1.507003130989377E-2</v>
      </c>
      <c r="BR49" s="235">
        <f t="shared" si="233"/>
        <v>3.3355775338746539E-6</v>
      </c>
      <c r="BS49" s="235">
        <f t="shared" si="234"/>
        <v>1.0809688800490669E-3</v>
      </c>
      <c r="BT49" s="235">
        <f t="shared" si="235"/>
        <v>1.4876336335411191E-4</v>
      </c>
      <c r="BU49" s="235">
        <f t="shared" si="236"/>
        <v>1.0506479497849122E-4</v>
      </c>
      <c r="BV49" s="235">
        <f t="shared" si="237"/>
        <v>1.3275229810660056E-2</v>
      </c>
      <c r="BW49" s="101">
        <f t="shared" si="58"/>
        <v>311.57620296732875</v>
      </c>
      <c r="BX49" s="235">
        <f t="shared" si="59"/>
        <v>2.968339373646937E-2</v>
      </c>
      <c r="BY49" s="235">
        <f t="shared" si="238"/>
        <v>3.3838531808831493E-2</v>
      </c>
      <c r="CA49" s="23"/>
      <c r="CB49" s="21">
        <v>17</v>
      </c>
      <c r="CC49" t="str">
        <f>$M$66</f>
        <v>boc_util_oc</v>
      </c>
      <c r="CD49" s="235">
        <f>$F$66</f>
        <v>0.50240000000000007</v>
      </c>
      <c r="CE49" s="235">
        <f>$G$66</f>
        <v>0.75359999999999994</v>
      </c>
      <c r="CF49" s="447">
        <v>-16854.391079581615</v>
      </c>
      <c r="CG49" s="447">
        <v>-17064.08714724964</v>
      </c>
      <c r="CH49" s="266">
        <f t="shared" si="151"/>
        <v>209.69606766802463</v>
      </c>
      <c r="CJ49" s="10">
        <v>41</v>
      </c>
      <c r="CK49" s="450">
        <v>0.21015247159693626</v>
      </c>
      <c r="CL49" s="450">
        <v>1.3552582731234813E-3</v>
      </c>
      <c r="CM49" s="450">
        <v>0.21015247159693626</v>
      </c>
      <c r="CN49" s="450">
        <v>1.3552582731234813E-3</v>
      </c>
      <c r="CO49" s="451">
        <v>0.37182450587266702</v>
      </c>
      <c r="CP49" s="451">
        <v>0.41699176023564583</v>
      </c>
      <c r="CQ49" s="451">
        <v>0.12010089934222247</v>
      </c>
      <c r="CR49" s="451">
        <v>0.13613929661563359</v>
      </c>
      <c r="CS49" s="451">
        <v>17.262844754913441</v>
      </c>
      <c r="CT49" s="451">
        <v>17.040170305943857</v>
      </c>
      <c r="CU49" s="234">
        <v>0.22267444896958466</v>
      </c>
      <c r="CX49" s="402">
        <v>41</v>
      </c>
      <c r="CY49" s="200">
        <f t="shared" si="272"/>
        <v>1.4580000000000001E-3</v>
      </c>
      <c r="CZ49" s="403">
        <v>1.4580000000000001E-3</v>
      </c>
      <c r="DA49" s="345">
        <f t="shared" si="273"/>
        <v>2.9480386882917764E-2</v>
      </c>
      <c r="DB49" s="387">
        <f t="shared" si="274"/>
        <v>5.6501048732219616E-2</v>
      </c>
      <c r="DC49" s="114">
        <f t="shared" si="91"/>
        <v>2.7903305955692348E-2</v>
      </c>
      <c r="DD49" s="378">
        <f t="shared" si="92"/>
        <v>1.0741889386351788E-2</v>
      </c>
      <c r="DE49" s="378">
        <f t="shared" si="275"/>
        <v>2.2775540813423305E-2</v>
      </c>
      <c r="DF49" s="340">
        <f t="shared" si="93"/>
        <v>1.7983809715627075E-3</v>
      </c>
      <c r="DG49" s="378">
        <f t="shared" si="94"/>
        <v>9.9999997171806854E-10</v>
      </c>
      <c r="DH49" s="378">
        <f t="shared" si="276"/>
        <v>1.2610319658163515E-3</v>
      </c>
      <c r="DI49" s="340">
        <f>DI48+(DI58-DI48)/10</f>
        <v>0.25900000000000001</v>
      </c>
      <c r="DJ49" s="378">
        <f t="shared" ref="DJ49" si="326">DJ48+(DJ58-DJ48)/10</f>
        <v>0.152</v>
      </c>
      <c r="DK49" s="350">
        <f t="shared" si="278"/>
        <v>0.22702881230661306</v>
      </c>
      <c r="DL49" s="340">
        <f t="shared" ref="DL49" si="327">DL48+(DL58-DL48)/10</f>
        <v>2.6000000000000002E-2</v>
      </c>
      <c r="DM49" s="378">
        <f t="shared" ref="DM49" si="328">DM48+(DM58-DM48)/10</f>
        <v>9.9999999999999995E-7</v>
      </c>
      <c r="DN49" s="396">
        <f t="shared" si="281"/>
        <v>1.8231598982800312E-2</v>
      </c>
      <c r="DO49" s="335">
        <f t="shared" si="103"/>
        <v>4.400000000000015E-3</v>
      </c>
      <c r="DP49" s="350">
        <f t="shared" si="104"/>
        <v>1.1799999999999977E-2</v>
      </c>
      <c r="DQ49" s="349">
        <f t="shared" si="282"/>
        <v>6.6110914853370461E-3</v>
      </c>
      <c r="DR49" s="335">
        <f t="shared" si="105"/>
        <v>3.2000000000000028E-2</v>
      </c>
      <c r="DS49" s="350">
        <f t="shared" si="106"/>
        <v>3.7000000000000033E-2</v>
      </c>
      <c r="DT49" s="349">
        <f t="shared" si="283"/>
        <v>3.3493980733335871E-2</v>
      </c>
      <c r="DU49" s="335">
        <f>DU48+(DU53-DU48)/5</f>
        <v>0.41039999999999999</v>
      </c>
      <c r="DV49" s="350">
        <f>DV48+(DV53-DV48)/5</f>
        <v>0.37680000000000002</v>
      </c>
      <c r="DW49" s="350">
        <f t="shared" si="284"/>
        <v>0.40036044947198318</v>
      </c>
      <c r="DX49" s="335">
        <f>DX48+(DX53-DX48)/5</f>
        <v>0.7350000000000001</v>
      </c>
      <c r="DY49" s="350">
        <f>DY48+(DY53-DY48)/5</f>
        <v>0.55700000000000005</v>
      </c>
      <c r="DZ49" s="396">
        <f t="shared" si="285"/>
        <v>0.68181428589324433</v>
      </c>
      <c r="EA49" s="350">
        <f t="shared" si="286"/>
        <v>0</v>
      </c>
      <c r="EB49" s="350">
        <f t="shared" si="287"/>
        <v>0</v>
      </c>
      <c r="EC49" s="349">
        <f t="shared" si="288"/>
        <v>0</v>
      </c>
      <c r="ED49" s="335">
        <f t="shared" si="289"/>
        <v>1.7671003744662017E-2</v>
      </c>
      <c r="EE49" s="350">
        <f t="shared" si="290"/>
        <v>3.880451514006622E-3</v>
      </c>
      <c r="EF49" s="387">
        <f t="shared" si="291"/>
        <v>1.3550439877729871E-2</v>
      </c>
      <c r="EG49" s="335">
        <f t="shared" si="292"/>
        <v>1.7983809715627075E-3</v>
      </c>
      <c r="EH49" s="350">
        <f t="shared" si="293"/>
        <v>9.9999997171806854E-10</v>
      </c>
      <c r="EI49" s="387">
        <f t="shared" si="294"/>
        <v>1.2610319658163515E-3</v>
      </c>
      <c r="EJ49" s="335">
        <f t="shared" si="295"/>
        <v>5.5784434695282936E-4</v>
      </c>
      <c r="EK49" s="350">
        <f t="shared" si="296"/>
        <v>0</v>
      </c>
      <c r="EL49" s="387">
        <f t="shared" si="297"/>
        <v>3.9116260564326137E-4</v>
      </c>
      <c r="EO49" s="318" t="s">
        <v>160</v>
      </c>
      <c r="EP49" s="315" t="s">
        <v>159</v>
      </c>
      <c r="EQ49" s="315" t="s">
        <v>243</v>
      </c>
      <c r="ER49" s="315" t="s">
        <v>79</v>
      </c>
      <c r="ES49" s="315" t="s">
        <v>81</v>
      </c>
      <c r="ET49" s="315" t="s">
        <v>162</v>
      </c>
      <c r="EU49" s="315" t="s">
        <v>21</v>
      </c>
      <c r="EV49" s="315" t="s">
        <v>163</v>
      </c>
      <c r="EW49" s="316" t="s">
        <v>247</v>
      </c>
      <c r="EY49" s="363">
        <v>85</v>
      </c>
      <c r="EZ49" s="346">
        <v>0</v>
      </c>
      <c r="FA49" s="347">
        <f t="shared" si="182"/>
        <v>0</v>
      </c>
      <c r="FB49" s="347">
        <f t="shared" si="183"/>
        <v>0</v>
      </c>
      <c r="FC49" s="33" t="e">
        <f t="shared" si="184"/>
        <v>#DIV/0!</v>
      </c>
      <c r="FD49" s="33" t="e">
        <f t="shared" si="185"/>
        <v>#DIV/0!</v>
      </c>
      <c r="FE49" s="308">
        <f t="shared" ca="1" si="189"/>
        <v>0</v>
      </c>
      <c r="FF49" s="364">
        <f t="shared" si="190"/>
        <v>0.46500000000000008</v>
      </c>
      <c r="FH49" s="499"/>
      <c r="FI49" s="424" t="s">
        <v>208</v>
      </c>
      <c r="FJ49" s="431"/>
      <c r="FK49" s="418"/>
      <c r="FL49" s="436">
        <v>6.4000000000000001E-2</v>
      </c>
      <c r="FM49" s="436">
        <f>FM45-FM48</f>
        <v>2.6999999999999996E-2</v>
      </c>
      <c r="FN49" s="436"/>
      <c r="FO49" s="436">
        <f>FO45-FO48</f>
        <v>7.9999999999999988E-2</v>
      </c>
      <c r="FP49" s="435">
        <f>SUMPRODUCT($FL$51:$FO$51,FL49:FO49)</f>
        <v>3.8579862515163765E-2</v>
      </c>
    </row>
    <row r="50" spans="2:172" ht="15" customHeight="1" x14ac:dyDescent="0.2">
      <c r="B50" s="330" t="s">
        <v>207</v>
      </c>
      <c r="C50" s="263">
        <f t="shared" si="319"/>
        <v>0.63</v>
      </c>
      <c r="D50" s="332"/>
      <c r="E50" s="23">
        <v>0.63</v>
      </c>
      <c r="F50" s="23">
        <v>0.41</v>
      </c>
      <c r="G50" s="23">
        <v>0.96</v>
      </c>
      <c r="H50" s="54">
        <f t="shared" si="324"/>
        <v>0.21703871384228032</v>
      </c>
      <c r="J50" s="23">
        <f t="shared" ca="1" si="325"/>
        <v>0.64484316507785</v>
      </c>
      <c r="K50" s="10" t="s">
        <v>267</v>
      </c>
      <c r="L50" s="10">
        <v>7</v>
      </c>
      <c r="M50" s="413" t="s">
        <v>261</v>
      </c>
      <c r="N50" s="413" t="s">
        <v>311</v>
      </c>
      <c r="Q50" s="10">
        <v>44</v>
      </c>
      <c r="R50" s="10">
        <f t="shared" si="215"/>
        <v>89</v>
      </c>
      <c r="S50" s="309">
        <f t="shared" si="242"/>
        <v>3.9607544314010576E-2</v>
      </c>
      <c r="T50" s="309">
        <f t="shared" si="243"/>
        <v>0</v>
      </c>
      <c r="U50" s="309">
        <f t="shared" si="244"/>
        <v>7.0469744384421134E-6</v>
      </c>
      <c r="V50" s="235">
        <f t="shared" si="245"/>
        <v>4.4541308898337489E-3</v>
      </c>
      <c r="W50" s="235">
        <f t="shared" si="246"/>
        <v>1.7652776628141693E-2</v>
      </c>
      <c r="X50" s="309">
        <f t="shared" si="247"/>
        <v>7.8141070143884767E-7</v>
      </c>
      <c r="Y50" s="235">
        <f t="shared" si="248"/>
        <v>2.2539586298309234E-3</v>
      </c>
      <c r="Z50" s="235">
        <f t="shared" si="249"/>
        <v>6.8124518470816101E-4</v>
      </c>
      <c r="AA50" s="235">
        <f t="shared" si="250"/>
        <v>4.6545412125421196E-2</v>
      </c>
      <c r="AB50" s="235">
        <f t="shared" si="251"/>
        <v>4.8765864599232845E-4</v>
      </c>
      <c r="AC50" s="235">
        <f t="shared" si="252"/>
        <v>1.355154562111729E-3</v>
      </c>
      <c r="AD50" s="235">
        <f t="shared" si="253"/>
        <v>0.88695429063481002</v>
      </c>
      <c r="AE50" s="235">
        <f t="shared" si="38"/>
        <v>1.0000000000000002</v>
      </c>
      <c r="AF50" s="101">
        <f t="shared" si="216"/>
        <v>0</v>
      </c>
      <c r="AG50" s="101">
        <f t="shared" si="217"/>
        <v>1.1342872775595886E-2</v>
      </c>
      <c r="AH50" s="101">
        <f t="shared" si="218"/>
        <v>4.9277035414937833</v>
      </c>
      <c r="AI50" s="101">
        <f t="shared" si="219"/>
        <v>12.583257535673583</v>
      </c>
      <c r="AJ50" s="101">
        <f t="shared" si="220"/>
        <v>35.725102121475715</v>
      </c>
      <c r="AK50" s="101">
        <f t="shared" si="254"/>
        <v>193.64204775322693</v>
      </c>
      <c r="AL50" s="235">
        <f t="shared" si="255"/>
        <v>1.0248578572144678E-2</v>
      </c>
      <c r="AM50" s="235">
        <f t="shared" si="221"/>
        <v>1.7980336255528871E-6</v>
      </c>
      <c r="AN50" s="235">
        <f t="shared" si="222"/>
        <v>6.3034519086046445E-3</v>
      </c>
      <c r="AO50" s="235">
        <f t="shared" si="223"/>
        <v>1.2302095296947617E-4</v>
      </c>
      <c r="AP50" s="235">
        <f t="shared" si="224"/>
        <v>8.3413757519876385E-5</v>
      </c>
      <c r="AQ50" s="235">
        <f t="shared" si="225"/>
        <v>1.0534658283870088E-2</v>
      </c>
      <c r="AR50" s="101">
        <f t="shared" si="41"/>
        <v>246.88945382464561</v>
      </c>
      <c r="AS50" s="235">
        <f t="shared" si="42"/>
        <v>2.7294921508734318E-2</v>
      </c>
      <c r="AT50" s="235">
        <f t="shared" si="226"/>
        <v>3.0790461361227969E-2</v>
      </c>
      <c r="AV50" s="10">
        <v>44</v>
      </c>
      <c r="AW50" s="10">
        <f t="shared" si="43"/>
        <v>89</v>
      </c>
      <c r="AX50" s="309">
        <f t="shared" si="256"/>
        <v>4.8834032346564887E-2</v>
      </c>
      <c r="AY50" s="309">
        <f t="shared" si="257"/>
        <v>5.6544609824875394E-6</v>
      </c>
      <c r="AZ50" s="309">
        <f t="shared" si="258"/>
        <v>5.6544609824875394E-6</v>
      </c>
      <c r="BA50" s="235">
        <f t="shared" si="259"/>
        <v>8.313719585378253E-4</v>
      </c>
      <c r="BB50" s="235">
        <f t="shared" si="260"/>
        <v>1.3049700012710947E-3</v>
      </c>
      <c r="BC50" s="309">
        <f t="shared" si="261"/>
        <v>1.4471902385956151E-7</v>
      </c>
      <c r="BD50" s="235">
        <f t="shared" si="262"/>
        <v>1.4452628976555576E-3</v>
      </c>
      <c r="BE50" s="235">
        <f t="shared" si="263"/>
        <v>7.0059383482237432E-4</v>
      </c>
      <c r="BF50" s="235">
        <f t="shared" si="264"/>
        <v>4.8717522345138174E-2</v>
      </c>
      <c r="BG50" s="235">
        <f t="shared" si="265"/>
        <v>5.2250269875614213E-4</v>
      </c>
      <c r="BH50" s="235">
        <f t="shared" si="266"/>
        <v>1.4564751749014096E-3</v>
      </c>
      <c r="BI50" s="235">
        <f t="shared" si="267"/>
        <v>0.89617581510136424</v>
      </c>
      <c r="BJ50" s="235">
        <f t="shared" si="56"/>
        <v>1.0000000000000004</v>
      </c>
      <c r="BK50" s="101">
        <f t="shared" si="227"/>
        <v>1.1478271733832391E-2</v>
      </c>
      <c r="BL50" s="101">
        <f t="shared" si="228"/>
        <v>9.1014707232436268E-3</v>
      </c>
      <c r="BM50" s="101">
        <f t="shared" si="229"/>
        <v>5.0676596304777775</v>
      </c>
      <c r="BN50" s="101">
        <f t="shared" si="230"/>
        <v>13.482353026170768</v>
      </c>
      <c r="BO50" s="101">
        <f t="shared" si="231"/>
        <v>37.491288187758023</v>
      </c>
      <c r="BP50" s="101">
        <f t="shared" si="268"/>
        <v>203.36408368485931</v>
      </c>
      <c r="BQ50" s="235">
        <f t="shared" si="232"/>
        <v>1.2635961814006932E-2</v>
      </c>
      <c r="BR50" s="235">
        <f t="shared" si="233"/>
        <v>2.8357220399982989E-6</v>
      </c>
      <c r="BS50" s="235">
        <f t="shared" si="234"/>
        <v>9.2675169419971883E-4</v>
      </c>
      <c r="BT50" s="235">
        <f t="shared" si="235"/>
        <v>1.2651498041972987E-4</v>
      </c>
      <c r="BU50" s="235">
        <f t="shared" si="236"/>
        <v>8.9373814605168489E-5</v>
      </c>
      <c r="BV50" s="235">
        <f t="shared" si="237"/>
        <v>1.1033741475671608E-2</v>
      </c>
      <c r="BW50" s="101">
        <f t="shared" si="58"/>
        <v>259.42596427172293</v>
      </c>
      <c r="BX50" s="235">
        <f t="shared" si="59"/>
        <v>2.4815179500943155E-2</v>
      </c>
      <c r="BY50" s="235">
        <f t="shared" si="238"/>
        <v>2.8278778305112988E-2</v>
      </c>
      <c r="CA50" s="23"/>
      <c r="CB50" s="21">
        <v>2</v>
      </c>
      <c r="CC50" t="str">
        <f>$M$37</f>
        <v>boc_mut_brca2</v>
      </c>
      <c r="CD50" s="23">
        <f>$F$37</f>
        <v>0.23903691733373422</v>
      </c>
      <c r="CE50" s="23">
        <f>$G$37</f>
        <v>0.35855537600060128</v>
      </c>
      <c r="CF50" s="447">
        <v>-17061.73056112379</v>
      </c>
      <c r="CG50" s="447">
        <v>-16858.757912648103</v>
      </c>
      <c r="CH50" s="266">
        <f t="shared" si="151"/>
        <v>202.97264847568658</v>
      </c>
      <c r="CJ50" s="10">
        <v>42</v>
      </c>
      <c r="CK50" s="450">
        <v>0.22635559908400377</v>
      </c>
      <c r="CL50" s="450">
        <v>1.8692204401865029E-3</v>
      </c>
      <c r="CM50" s="450">
        <v>0.22635559908400377</v>
      </c>
      <c r="CN50" s="450">
        <v>1.8692204401865029E-3</v>
      </c>
      <c r="CO50" s="451">
        <v>0.36133743457400974</v>
      </c>
      <c r="CP50" s="451">
        <v>0.40095384013375879</v>
      </c>
      <c r="CQ50" s="451">
        <v>0.12126535986296862</v>
      </c>
      <c r="CR50" s="451">
        <v>0.13571466926345341</v>
      </c>
      <c r="CS50" s="451">
        <v>16.949873543954489</v>
      </c>
      <c r="CT50" s="451">
        <v>16.755493241817039</v>
      </c>
      <c r="CU50" s="234">
        <v>0.19438030213744995</v>
      </c>
      <c r="CX50" s="402">
        <v>42</v>
      </c>
      <c r="CY50" s="200">
        <f t="shared" si="272"/>
        <v>1.5740000000000001E-3</v>
      </c>
      <c r="CZ50" s="403">
        <v>1.5740000000000001E-3</v>
      </c>
      <c r="DA50" s="345">
        <f t="shared" si="273"/>
        <v>2.9480386882917764E-2</v>
      </c>
      <c r="DB50" s="387">
        <f t="shared" si="274"/>
        <v>5.6501048732219616E-2</v>
      </c>
      <c r="DC50" s="114">
        <f t="shared" si="91"/>
        <v>2.7903305955692348E-2</v>
      </c>
      <c r="DD50" s="378">
        <f t="shared" si="92"/>
        <v>1.0741889386351788E-2</v>
      </c>
      <c r="DE50" s="378">
        <f t="shared" si="275"/>
        <v>2.2775540813423305E-2</v>
      </c>
      <c r="DF50" s="340">
        <f t="shared" si="93"/>
        <v>1.7983809715627075E-3</v>
      </c>
      <c r="DG50" s="378">
        <f t="shared" si="94"/>
        <v>9.9999997171806854E-10</v>
      </c>
      <c r="DH50" s="378">
        <f t="shared" si="276"/>
        <v>1.2610319658163515E-3</v>
      </c>
      <c r="DI50" s="340">
        <f>DI49+(DI58-DI48)/10</f>
        <v>0.27800000000000002</v>
      </c>
      <c r="DJ50" s="378">
        <f t="shared" ref="DJ50" si="329">DJ49+(DJ58-DJ48)/10</f>
        <v>0.17399999999999999</v>
      </c>
      <c r="DK50" s="350">
        <f t="shared" si="278"/>
        <v>0.24692520074661459</v>
      </c>
      <c r="DL50" s="340">
        <f t="shared" ref="DL50" si="330">DL49+(DL58-DL48)/10</f>
        <v>3.2000000000000001E-2</v>
      </c>
      <c r="DM50" s="378">
        <f t="shared" ref="DM50" si="331">DM49+(DM58-DM48)/10</f>
        <v>9.9999999999999995E-7</v>
      </c>
      <c r="DN50" s="396">
        <f t="shared" si="281"/>
        <v>2.2438822102797303E-2</v>
      </c>
      <c r="DO50" s="335">
        <f t="shared" si="103"/>
        <v>4.400000000000015E-3</v>
      </c>
      <c r="DP50" s="350">
        <f t="shared" si="104"/>
        <v>1.1799999999999977E-2</v>
      </c>
      <c r="DQ50" s="349">
        <f t="shared" si="282"/>
        <v>6.6110914853370461E-3</v>
      </c>
      <c r="DR50" s="335">
        <f t="shared" si="105"/>
        <v>3.2000000000000028E-2</v>
      </c>
      <c r="DS50" s="350">
        <f t="shared" si="106"/>
        <v>3.7000000000000033E-2</v>
      </c>
      <c r="DT50" s="349">
        <f t="shared" si="283"/>
        <v>3.3493980733335871E-2</v>
      </c>
      <c r="DU50" s="335">
        <f>DU49+(DU53-DU48)/5</f>
        <v>0.4148</v>
      </c>
      <c r="DV50" s="350">
        <f>DV49+(DV53-DV48)/5</f>
        <v>0.3886</v>
      </c>
      <c r="DW50" s="350">
        <f t="shared" si="284"/>
        <v>0.40697154095732024</v>
      </c>
      <c r="DX50" s="335">
        <f>DX49+(DX53-DX48)/5</f>
        <v>0.76700000000000013</v>
      </c>
      <c r="DY50" s="350">
        <f>DY49+(DY53-DY48)/5</f>
        <v>0.59400000000000008</v>
      </c>
      <c r="DZ50" s="396">
        <f t="shared" si="285"/>
        <v>0.71530826662658009</v>
      </c>
      <c r="EA50" s="350">
        <f t="shared" si="286"/>
        <v>0</v>
      </c>
      <c r="EB50" s="350">
        <f t="shared" si="287"/>
        <v>0</v>
      </c>
      <c r="EC50" s="349">
        <f t="shared" si="288"/>
        <v>0</v>
      </c>
      <c r="ED50" s="335">
        <f t="shared" si="289"/>
        <v>1.7671003744662017E-2</v>
      </c>
      <c r="EE50" s="350">
        <f t="shared" si="290"/>
        <v>3.880451514006622E-3</v>
      </c>
      <c r="EF50" s="387">
        <f t="shared" si="291"/>
        <v>1.3550439877729871E-2</v>
      </c>
      <c r="EG50" s="335">
        <f t="shared" si="292"/>
        <v>1.7983809715627075E-3</v>
      </c>
      <c r="EH50" s="350">
        <f t="shared" si="293"/>
        <v>9.9999997171806854E-10</v>
      </c>
      <c r="EI50" s="387">
        <f t="shared" si="294"/>
        <v>1.2610319658163515E-3</v>
      </c>
      <c r="EJ50" s="335">
        <f t="shared" si="295"/>
        <v>5.5784434695282936E-4</v>
      </c>
      <c r="EK50" s="350">
        <f t="shared" si="296"/>
        <v>0</v>
      </c>
      <c r="EL50" s="387">
        <f t="shared" si="297"/>
        <v>3.9116260564326137E-4</v>
      </c>
      <c r="EO50" s="318">
        <v>0</v>
      </c>
      <c r="EP50" s="315"/>
      <c r="EQ50" s="320">
        <v>0</v>
      </c>
      <c r="ER50" s="315">
        <v>0</v>
      </c>
      <c r="ES50" s="315">
        <v>0</v>
      </c>
      <c r="ET50" s="320" t="e">
        <f t="shared" ref="ET50:ET51" si="332">EQ50^2*(1-EQ50)/((ES50-ER50)/(2*z))^2-EQ50</f>
        <v>#DIV/0!</v>
      </c>
      <c r="EU50" s="320" t="e">
        <f t="shared" ref="EU50:EU51" si="333">(EQ50^2*(1-EQ50)/((ES50-ER50)/(2*z))^2-EQ50)*(1-EQ50)/EQ50</f>
        <v>#DIV/0!</v>
      </c>
      <c r="EV50" s="350" t="e">
        <f t="shared" ref="EV50:EV51" ca="1" si="334">_xlfn.BETA.INV(RAND(),ET50,EU50)</f>
        <v>#DIV/0!</v>
      </c>
      <c r="EW50" s="362">
        <f>IFERROR(IF(psa,EV50,EQ50),EQ50)</f>
        <v>0</v>
      </c>
      <c r="EY50" s="363">
        <v>90</v>
      </c>
      <c r="EZ50" s="346">
        <v>0</v>
      </c>
      <c r="FA50" s="347">
        <f t="shared" si="182"/>
        <v>0</v>
      </c>
      <c r="FB50" s="347">
        <f t="shared" si="183"/>
        <v>0</v>
      </c>
      <c r="FC50" s="33" t="e">
        <f t="shared" si="184"/>
        <v>#DIV/0!</v>
      </c>
      <c r="FD50" s="33" t="e">
        <f t="shared" si="185"/>
        <v>#DIV/0!</v>
      </c>
      <c r="FE50" s="308">
        <f t="shared" ca="1" si="189"/>
        <v>0</v>
      </c>
      <c r="FF50" s="364">
        <f t="shared" si="190"/>
        <v>0.46500000000000008</v>
      </c>
      <c r="FH50" s="499"/>
      <c r="FI50" s="425" t="s">
        <v>238</v>
      </c>
      <c r="FJ50" s="423"/>
      <c r="FK50" s="325"/>
      <c r="FL50" s="419">
        <f>1-SUM(FL47:FL49)</f>
        <v>6.0000000000000053E-2</v>
      </c>
      <c r="FM50" s="419">
        <f>1-SUM(FM47:FM49)</f>
        <v>3.7000000000000033E-2</v>
      </c>
      <c r="FN50" s="419"/>
      <c r="FO50" s="419">
        <f>1-SUM(FO47:FO49)</f>
        <v>4.0000000000000036E-2</v>
      </c>
      <c r="FP50" s="437">
        <f>SUMPRODUCT($FL$51:$FO$51,FL50:FO50)</f>
        <v>4.0698746461787338E-2</v>
      </c>
    </row>
    <row r="51" spans="2:172" ht="15" customHeight="1" x14ac:dyDescent="0.2">
      <c r="B51" s="330" t="s">
        <v>208</v>
      </c>
      <c r="C51" s="263">
        <f t="shared" si="319"/>
        <v>0.36</v>
      </c>
      <c r="D51" s="332"/>
      <c r="E51" s="23">
        <v>0.36</v>
      </c>
      <c r="F51" s="23">
        <v>0.16</v>
      </c>
      <c r="G51" s="23">
        <v>0.82</v>
      </c>
      <c r="H51" s="54">
        <f t="shared" si="324"/>
        <v>0.41687769211941789</v>
      </c>
      <c r="J51" s="23">
        <f t="shared" ca="1" si="325"/>
        <v>0.34111339149651154</v>
      </c>
      <c r="K51" s="10" t="s">
        <v>267</v>
      </c>
      <c r="L51" s="10">
        <v>8</v>
      </c>
      <c r="M51" s="413" t="s">
        <v>262</v>
      </c>
      <c r="N51" s="413" t="s">
        <v>311</v>
      </c>
      <c r="Q51" s="10">
        <v>45</v>
      </c>
      <c r="R51" s="10">
        <f t="shared" si="215"/>
        <v>90</v>
      </c>
      <c r="S51" s="309">
        <f t="shared" si="242"/>
        <v>3.3991615934466139E-2</v>
      </c>
      <c r="T51" s="309">
        <f t="shared" si="243"/>
        <v>0</v>
      </c>
      <c r="U51" s="309">
        <f t="shared" si="244"/>
        <v>6.0863562617026794E-6</v>
      </c>
      <c r="V51" s="235">
        <f t="shared" si="245"/>
        <v>3.8627369736289421E-3</v>
      </c>
      <c r="W51" s="235">
        <f t="shared" si="246"/>
        <v>1.5302721983736072E-2</v>
      </c>
      <c r="X51" s="309">
        <f t="shared" si="247"/>
        <v>6.8445110398307146E-7</v>
      </c>
      <c r="Y51" s="235">
        <f t="shared" si="248"/>
        <v>1.9646212145101039E-3</v>
      </c>
      <c r="Z51" s="235">
        <f t="shared" si="249"/>
        <v>4.4198637899119808E-4</v>
      </c>
      <c r="AA51" s="235">
        <f t="shared" si="250"/>
        <v>3.616368861554696E-2</v>
      </c>
      <c r="AB51" s="235">
        <f t="shared" si="251"/>
        <v>2.116880477417792E-4</v>
      </c>
      <c r="AC51" s="235">
        <f t="shared" si="252"/>
        <v>1.0606997250302732E-3</v>
      </c>
      <c r="AD51" s="235">
        <f t="shared" si="253"/>
        <v>0.90699347031898314</v>
      </c>
      <c r="AE51" s="235">
        <f t="shared" si="38"/>
        <v>1.0000000000000002</v>
      </c>
      <c r="AF51" s="101">
        <f t="shared" si="216"/>
        <v>0</v>
      </c>
      <c r="AG51" s="101">
        <f t="shared" si="217"/>
        <v>9.5113137947791561E-3</v>
      </c>
      <c r="AH51" s="101">
        <f t="shared" si="218"/>
        <v>3.1039362106299531</v>
      </c>
      <c r="AI51" s="101">
        <f t="shared" si="219"/>
        <v>5.3031787982154759</v>
      </c>
      <c r="AJ51" s="101">
        <f t="shared" si="220"/>
        <v>26.968050957507895</v>
      </c>
      <c r="AK51" s="101">
        <f t="shared" si="254"/>
        <v>235.34097558818829</v>
      </c>
      <c r="AL51" s="235">
        <f t="shared" si="255"/>
        <v>8.5392613303809858E-3</v>
      </c>
      <c r="AM51" s="235">
        <f t="shared" si="221"/>
        <v>1.5041079206909676E-6</v>
      </c>
      <c r="AN51" s="235">
        <f t="shared" si="222"/>
        <v>5.308228854650863E-3</v>
      </c>
      <c r="AO51" s="235">
        <f t="shared" si="223"/>
        <v>7.749029286619945E-5</v>
      </c>
      <c r="AP51" s="235">
        <f t="shared" si="224"/>
        <v>3.5154495495686103E-5</v>
      </c>
      <c r="AQ51" s="235">
        <f t="shared" si="225"/>
        <v>7.9480443810436164E-3</v>
      </c>
      <c r="AR51" s="101">
        <f t="shared" si="41"/>
        <v>270.7256528683364</v>
      </c>
      <c r="AS51" s="235">
        <f t="shared" si="42"/>
        <v>2.1909683462358043E-2</v>
      </c>
      <c r="AT51" s="235">
        <f t="shared" si="226"/>
        <v>2.4594518709964319E-2</v>
      </c>
      <c r="AV51" s="10">
        <v>45</v>
      </c>
      <c r="AW51" s="10">
        <f t="shared" si="43"/>
        <v>90</v>
      </c>
      <c r="AX51" s="309">
        <f t="shared" si="256"/>
        <v>4.1907623481900573E-2</v>
      </c>
      <c r="AY51" s="309">
        <f t="shared" si="257"/>
        <v>4.8834032346564889E-6</v>
      </c>
      <c r="AZ51" s="309">
        <f t="shared" si="258"/>
        <v>4.8834032346564889E-6</v>
      </c>
      <c r="BA51" s="235">
        <f t="shared" si="259"/>
        <v>7.2664162604584525E-4</v>
      </c>
      <c r="BB51" s="235">
        <f t="shared" si="260"/>
        <v>1.1363772620915735E-3</v>
      </c>
      <c r="BC51" s="309">
        <f t="shared" si="261"/>
        <v>1.277540936528298E-7</v>
      </c>
      <c r="BD51" s="235">
        <f t="shared" si="262"/>
        <v>1.2593802559231059E-3</v>
      </c>
      <c r="BE51" s="235">
        <f t="shared" si="263"/>
        <v>4.4652156540596631E-4</v>
      </c>
      <c r="BF51" s="235">
        <f t="shared" si="264"/>
        <v>3.7841792480953401E-2</v>
      </c>
      <c r="BG51" s="235">
        <f t="shared" si="265"/>
        <v>2.2641862980083056E-4</v>
      </c>
      <c r="BH51" s="235">
        <f t="shared" si="266"/>
        <v>1.1390743658654255E-3</v>
      </c>
      <c r="BI51" s="235">
        <f t="shared" si="267"/>
        <v>0.91530627577145085</v>
      </c>
      <c r="BJ51" s="235">
        <f t="shared" si="56"/>
        <v>1.0000000000000004</v>
      </c>
      <c r="BK51" s="101">
        <f t="shared" si="227"/>
        <v>9.6243332437060212E-3</v>
      </c>
      <c r="BL51" s="101">
        <f t="shared" si="228"/>
        <v>7.6314265143367635E-3</v>
      </c>
      <c r="BM51" s="101">
        <f t="shared" si="229"/>
        <v>3.1357854485338126</v>
      </c>
      <c r="BN51" s="101">
        <f t="shared" si="230"/>
        <v>5.6722072402757728</v>
      </c>
      <c r="BO51" s="101">
        <f t="shared" si="231"/>
        <v>28.293054137117259</v>
      </c>
      <c r="BP51" s="101">
        <f t="shared" si="268"/>
        <v>246.9138291965605</v>
      </c>
      <c r="BQ51" s="235">
        <f t="shared" si="232"/>
        <v>1.0527894564856621E-2</v>
      </c>
      <c r="BR51" s="235">
        <f t="shared" si="233"/>
        <v>2.3774972846481729E-6</v>
      </c>
      <c r="BS51" s="235">
        <f t="shared" si="234"/>
        <v>7.8439878587400526E-4</v>
      </c>
      <c r="BT51" s="235">
        <f t="shared" si="235"/>
        <v>7.8285414481225952E-5</v>
      </c>
      <c r="BU51" s="235">
        <f t="shared" si="236"/>
        <v>3.7600765779568323E-5</v>
      </c>
      <c r="BV51" s="235">
        <f t="shared" si="237"/>
        <v>8.3224085203278189E-3</v>
      </c>
      <c r="BW51" s="101">
        <f t="shared" si="58"/>
        <v>284.03213178224541</v>
      </c>
      <c r="BX51" s="235">
        <f t="shared" si="59"/>
        <v>1.9752965548603889E-2</v>
      </c>
      <c r="BY51" s="235">
        <f t="shared" si="238"/>
        <v>2.2396291876491434E-2</v>
      </c>
      <c r="CA51" s="23"/>
      <c r="CB51" s="21">
        <v>10</v>
      </c>
      <c r="CC51" t="str">
        <f>$M$54</f>
        <v>boc_hr_oc_mast_2</v>
      </c>
      <c r="CD51" s="23">
        <f>$F$54</f>
        <v>0.8</v>
      </c>
      <c r="CE51" s="23">
        <f>$G$54</f>
        <v>1.2</v>
      </c>
      <c r="CF51" s="447">
        <v>-17050.597927024148</v>
      </c>
      <c r="CG51" s="447">
        <v>-16867.444956953994</v>
      </c>
      <c r="CH51" s="266">
        <f t="shared" si="151"/>
        <v>183.15297007015397</v>
      </c>
      <c r="CJ51" s="10">
        <v>43</v>
      </c>
      <c r="CK51" s="450">
        <v>0.24259493078119285</v>
      </c>
      <c r="CL51" s="450">
        <v>2.4193868173710662E-3</v>
      </c>
      <c r="CM51" s="450">
        <v>0.24259493078119285</v>
      </c>
      <c r="CN51" s="450">
        <v>2.4193868173710662E-3</v>
      </c>
      <c r="CO51" s="451">
        <v>0.35096698256466613</v>
      </c>
      <c r="CP51" s="451">
        <v>0.38506499037596137</v>
      </c>
      <c r="CQ51" s="451">
        <v>0.12248009888331711</v>
      </c>
      <c r="CR51" s="451">
        <v>0.1352503718257185</v>
      </c>
      <c r="CS51" s="451">
        <v>16.632350867442106</v>
      </c>
      <c r="CT51" s="451">
        <v>16.467197543594459</v>
      </c>
      <c r="CU51" s="234">
        <v>0.16515332384764747</v>
      </c>
      <c r="CX51" s="402">
        <v>43</v>
      </c>
      <c r="CY51" s="200">
        <f t="shared" si="272"/>
        <v>1.702E-3</v>
      </c>
      <c r="CZ51" s="403">
        <v>1.702E-3</v>
      </c>
      <c r="DA51" s="345">
        <f t="shared" si="273"/>
        <v>2.9480386882917764E-2</v>
      </c>
      <c r="DB51" s="387">
        <f t="shared" si="274"/>
        <v>5.6501048732219616E-2</v>
      </c>
      <c r="DC51" s="114">
        <f t="shared" si="91"/>
        <v>2.7903305955692348E-2</v>
      </c>
      <c r="DD51" s="378">
        <f t="shared" si="92"/>
        <v>1.0741889386351788E-2</v>
      </c>
      <c r="DE51" s="378">
        <f t="shared" si="275"/>
        <v>2.2775540813423305E-2</v>
      </c>
      <c r="DF51" s="340">
        <f t="shared" si="93"/>
        <v>1.7983809715627075E-3</v>
      </c>
      <c r="DG51" s="378">
        <f t="shared" si="94"/>
        <v>9.9999997171806854E-10</v>
      </c>
      <c r="DH51" s="378">
        <f t="shared" si="276"/>
        <v>1.2610319658163515E-3</v>
      </c>
      <c r="DI51" s="340">
        <f>DI50+(DI58-DI48)/10</f>
        <v>0.29700000000000004</v>
      </c>
      <c r="DJ51" s="378">
        <f t="shared" ref="DJ51" si="335">DJ50+(DJ58-DJ48)/10</f>
        <v>0.19599999999999998</v>
      </c>
      <c r="DK51" s="350">
        <f t="shared" si="278"/>
        <v>0.26682158918661608</v>
      </c>
      <c r="DL51" s="340">
        <f t="shared" ref="DL51" si="336">DL50+(DL58-DL48)/10</f>
        <v>3.7999999999999999E-2</v>
      </c>
      <c r="DM51" s="378">
        <f t="shared" ref="DM51" si="337">DM50+(DM58-DM48)/10</f>
        <v>9.9999999999999995E-7</v>
      </c>
      <c r="DN51" s="396">
        <f t="shared" si="281"/>
        <v>2.6646045222794297E-2</v>
      </c>
      <c r="DO51" s="335">
        <f t="shared" si="103"/>
        <v>4.400000000000015E-3</v>
      </c>
      <c r="DP51" s="350">
        <f t="shared" si="104"/>
        <v>1.1799999999999977E-2</v>
      </c>
      <c r="DQ51" s="349">
        <f t="shared" si="282"/>
        <v>6.6110914853370461E-3</v>
      </c>
      <c r="DR51" s="335">
        <f t="shared" si="105"/>
        <v>3.2000000000000028E-2</v>
      </c>
      <c r="DS51" s="350">
        <f t="shared" si="106"/>
        <v>3.7000000000000033E-2</v>
      </c>
      <c r="DT51" s="349">
        <f t="shared" si="283"/>
        <v>3.3493980733335871E-2</v>
      </c>
      <c r="DU51" s="335">
        <f>DU50+(DU53-DU48)/5</f>
        <v>0.41920000000000002</v>
      </c>
      <c r="DV51" s="350">
        <f>DV50+(DV53-DV48)/5</f>
        <v>0.40039999999999998</v>
      </c>
      <c r="DW51" s="350">
        <f t="shared" si="284"/>
        <v>0.41358263244265731</v>
      </c>
      <c r="DX51" s="335">
        <f>DX50+(DX53-DX48)/5</f>
        <v>0.79900000000000015</v>
      </c>
      <c r="DY51" s="350">
        <f>DY50+(DY53-DY48)/5</f>
        <v>0.63100000000000012</v>
      </c>
      <c r="DZ51" s="396">
        <f t="shared" si="285"/>
        <v>0.74880224735991596</v>
      </c>
      <c r="EA51" s="350">
        <f t="shared" si="286"/>
        <v>0</v>
      </c>
      <c r="EB51" s="350">
        <f t="shared" si="287"/>
        <v>0</v>
      </c>
      <c r="EC51" s="349">
        <f t="shared" si="288"/>
        <v>0</v>
      </c>
      <c r="ED51" s="335">
        <f t="shared" si="289"/>
        <v>1.7671003744662017E-2</v>
      </c>
      <c r="EE51" s="350">
        <f t="shared" si="290"/>
        <v>3.880451514006622E-3</v>
      </c>
      <c r="EF51" s="387">
        <f t="shared" si="291"/>
        <v>1.3550439877729871E-2</v>
      </c>
      <c r="EG51" s="335">
        <f t="shared" si="292"/>
        <v>1.7983809715627075E-3</v>
      </c>
      <c r="EH51" s="350">
        <f t="shared" si="293"/>
        <v>9.9999997171806854E-10</v>
      </c>
      <c r="EI51" s="387">
        <f t="shared" si="294"/>
        <v>1.2610319658163515E-3</v>
      </c>
      <c r="EJ51" s="335">
        <f t="shared" si="295"/>
        <v>5.5784434695282936E-4</v>
      </c>
      <c r="EK51" s="350">
        <f t="shared" si="296"/>
        <v>0</v>
      </c>
      <c r="EL51" s="387">
        <f t="shared" si="297"/>
        <v>3.9116260564326137E-4</v>
      </c>
      <c r="EO51" s="318">
        <v>10</v>
      </c>
      <c r="EP51" s="315"/>
      <c r="EQ51" s="320">
        <v>0</v>
      </c>
      <c r="ER51" s="315">
        <v>0</v>
      </c>
      <c r="ES51" s="315">
        <v>0</v>
      </c>
      <c r="ET51" s="320" t="e">
        <f t="shared" si="332"/>
        <v>#DIV/0!</v>
      </c>
      <c r="EU51" s="320" t="e">
        <f t="shared" si="333"/>
        <v>#DIV/0!</v>
      </c>
      <c r="EV51" s="350" t="e">
        <f t="shared" ca="1" si="334"/>
        <v>#DIV/0!</v>
      </c>
      <c r="EW51" s="362">
        <f t="shared" ref="EW51:EW60" si="338">MAX(EW50,IFERROR(IF(psa,EV51,EQ51),EQ51))</f>
        <v>0</v>
      </c>
      <c r="EY51" s="363">
        <v>95</v>
      </c>
      <c r="EZ51" s="346">
        <v>0</v>
      </c>
      <c r="FA51" s="347">
        <f t="shared" si="182"/>
        <v>0</v>
      </c>
      <c r="FB51" s="347">
        <f t="shared" si="183"/>
        <v>0</v>
      </c>
      <c r="FC51" s="33" t="e">
        <f t="shared" si="184"/>
        <v>#DIV/0!</v>
      </c>
      <c r="FD51" s="33" t="e">
        <f t="shared" si="185"/>
        <v>#DIV/0!</v>
      </c>
      <c r="FE51" s="308">
        <f t="shared" ca="1" si="189"/>
        <v>0</v>
      </c>
      <c r="FF51" s="364">
        <f t="shared" si="190"/>
        <v>0.46500000000000008</v>
      </c>
      <c r="FH51" s="500"/>
      <c r="FI51" s="438"/>
      <c r="FJ51" s="423" t="s">
        <v>316</v>
      </c>
      <c r="FK51" s="325"/>
      <c r="FL51" s="422">
        <f>FL44/SUM($FL$44,$FM$44,$FO$44)</f>
        <v>0.14557217953902143</v>
      </c>
      <c r="FM51" s="422">
        <f>FM44/SUM($FL$44,$FM$44,$FO$44)</f>
        <v>0.73756570966437529</v>
      </c>
      <c r="FN51" s="327"/>
      <c r="FO51" s="422">
        <f>FO44/SUM($FL$44,$FM$44,$FO$44)</f>
        <v>0.11686211079660332</v>
      </c>
      <c r="FP51" s="434"/>
    </row>
    <row r="52" spans="2:172" ht="15" customHeight="1" x14ac:dyDescent="0.2">
      <c r="B52" s="15" t="s">
        <v>256</v>
      </c>
      <c r="C52" s="263"/>
      <c r="E52" s="23"/>
      <c r="F52" s="23"/>
      <c r="G52" s="23"/>
      <c r="H52" s="54"/>
      <c r="J52" s="23"/>
      <c r="K52" s="10"/>
      <c r="L52" s="10"/>
      <c r="M52" s="413"/>
      <c r="N52" s="413"/>
      <c r="Q52" s="10">
        <v>46</v>
      </c>
      <c r="R52" s="10">
        <f t="shared" si="215"/>
        <v>91</v>
      </c>
      <c r="S52" s="309">
        <f t="shared" si="242"/>
        <v>2.8688090129107276E-2</v>
      </c>
      <c r="T52" s="309">
        <f t="shared" si="243"/>
        <v>0</v>
      </c>
      <c r="U52" s="309">
        <f t="shared" si="244"/>
        <v>2.6116878497678457E-6</v>
      </c>
      <c r="V52" s="235">
        <f t="shared" si="245"/>
        <v>3.2948782400501701E-3</v>
      </c>
      <c r="W52" s="235">
        <f t="shared" si="246"/>
        <v>1.3046487156771005E-2</v>
      </c>
      <c r="X52" s="309">
        <f t="shared" si="247"/>
        <v>2.9678680885090348E-7</v>
      </c>
      <c r="Y52" s="235">
        <f t="shared" si="248"/>
        <v>1.6843113156280588E-3</v>
      </c>
      <c r="Z52" s="235">
        <f t="shared" si="249"/>
        <v>3.8005305418723574E-4</v>
      </c>
      <c r="AA52" s="235">
        <f t="shared" si="250"/>
        <v>2.8030699343619618E-2</v>
      </c>
      <c r="AB52" s="235">
        <f t="shared" si="251"/>
        <v>1.8196804419273434E-4</v>
      </c>
      <c r="AC52" s="235">
        <f t="shared" si="252"/>
        <v>7.3237013647179652E-4</v>
      </c>
      <c r="AD52" s="235">
        <f t="shared" si="253"/>
        <v>0.92395823410531375</v>
      </c>
      <c r="AE52" s="235">
        <f t="shared" si="38"/>
        <v>1.0000000000000002</v>
      </c>
      <c r="AF52" s="101">
        <f t="shared" si="216"/>
        <v>0</v>
      </c>
      <c r="AG52" s="101">
        <f t="shared" si="217"/>
        <v>3.9624809195302315E-3</v>
      </c>
      <c r="AH52" s="101">
        <f t="shared" si="218"/>
        <v>2.5912594809285077</v>
      </c>
      <c r="AI52" s="101">
        <f t="shared" si="219"/>
        <v>4.4258616558889763</v>
      </c>
      <c r="AJ52" s="101">
        <f t="shared" si="220"/>
        <v>20.074207045846059</v>
      </c>
      <c r="AK52" s="101">
        <f t="shared" si="254"/>
        <v>175.1508447891112</v>
      </c>
      <c r="AL52" s="235">
        <f t="shared" si="255"/>
        <v>6.9970166199665928E-3</v>
      </c>
      <c r="AM52" s="235">
        <f t="shared" si="221"/>
        <v>6.25184877148162E-7</v>
      </c>
      <c r="AN52" s="235">
        <f t="shared" si="222"/>
        <v>4.3964571700499215E-3</v>
      </c>
      <c r="AO52" s="235">
        <f t="shared" si="223"/>
        <v>6.4691231534269711E-5</v>
      </c>
      <c r="AP52" s="235">
        <f t="shared" si="224"/>
        <v>2.9338805943867978E-5</v>
      </c>
      <c r="AQ52" s="235">
        <f t="shared" si="225"/>
        <v>5.9645474236362179E-3</v>
      </c>
      <c r="AR52" s="101">
        <f t="shared" si="41"/>
        <v>202.24613545269426</v>
      </c>
      <c r="AS52" s="235">
        <f t="shared" si="42"/>
        <v>1.7452676436008018E-2</v>
      </c>
      <c r="AT52" s="235">
        <f t="shared" si="226"/>
        <v>1.9522698953219886E-2</v>
      </c>
      <c r="AV52" s="10">
        <v>46</v>
      </c>
      <c r="AW52" s="10">
        <f t="shared" si="43"/>
        <v>91</v>
      </c>
      <c r="AX52" s="309">
        <f t="shared" si="256"/>
        <v>3.5363844717639231E-2</v>
      </c>
      <c r="AY52" s="309">
        <f t="shared" si="257"/>
        <v>4.1907623481900572E-6</v>
      </c>
      <c r="AZ52" s="309">
        <f t="shared" si="258"/>
        <v>4.1907623481900572E-6</v>
      </c>
      <c r="BA52" s="235">
        <f t="shared" si="259"/>
        <v>6.2470186312938835E-4</v>
      </c>
      <c r="BB52" s="235">
        <f t="shared" si="260"/>
        <v>9.7326111891224312E-4</v>
      </c>
      <c r="BC52" s="309">
        <f t="shared" si="261"/>
        <v>5.5830270309545085E-8</v>
      </c>
      <c r="BD52" s="235">
        <f t="shared" si="262"/>
        <v>1.0793823278828652E-3</v>
      </c>
      <c r="BE52" s="235">
        <f t="shared" si="263"/>
        <v>3.8326823723230902E-4</v>
      </c>
      <c r="BF52" s="235">
        <f t="shared" si="264"/>
        <v>2.931917577172731E-2</v>
      </c>
      <c r="BG52" s="235">
        <f t="shared" si="265"/>
        <v>1.9438610464347212E-4</v>
      </c>
      <c r="BH52" s="235">
        <f t="shared" si="266"/>
        <v>7.8596031256151968E-4</v>
      </c>
      <c r="BI52" s="235">
        <f t="shared" si="267"/>
        <v>0.93126758219130557</v>
      </c>
      <c r="BJ52" s="235">
        <f t="shared" si="56"/>
        <v>1.0000000000000007</v>
      </c>
      <c r="BK52" s="101">
        <f t="shared" si="227"/>
        <v>8.0186983102832864E-3</v>
      </c>
      <c r="BL52" s="101">
        <f t="shared" si="228"/>
        <v>6.3582697466946173E-3</v>
      </c>
      <c r="BM52" s="101">
        <f t="shared" si="229"/>
        <v>2.613181087548099</v>
      </c>
      <c r="BN52" s="101">
        <f t="shared" si="230"/>
        <v>4.7278961028340625</v>
      </c>
      <c r="BO52" s="101">
        <f t="shared" si="231"/>
        <v>21.045789347246565</v>
      </c>
      <c r="BP52" s="101">
        <f t="shared" si="268"/>
        <v>183.63477451330178</v>
      </c>
      <c r="BQ52" s="235">
        <f t="shared" si="232"/>
        <v>8.625231171599761E-3</v>
      </c>
      <c r="BR52" s="235">
        <f t="shared" si="233"/>
        <v>1.9806908581134436E-6</v>
      </c>
      <c r="BS52" s="235">
        <f t="shared" si="234"/>
        <v>6.5300372198441169E-4</v>
      </c>
      <c r="BT52" s="235">
        <f t="shared" si="235"/>
        <v>6.5238508153947714E-5</v>
      </c>
      <c r="BU52" s="235">
        <f t="shared" si="236"/>
        <v>3.1340976530355848E-5</v>
      </c>
      <c r="BV52" s="235">
        <f t="shared" si="237"/>
        <v>6.2424007449881367E-3</v>
      </c>
      <c r="BW52" s="101">
        <f t="shared" si="58"/>
        <v>212.03601801898748</v>
      </c>
      <c r="BX52" s="235">
        <f t="shared" si="59"/>
        <v>1.5619195814114729E-2</v>
      </c>
      <c r="BY52" s="235">
        <f t="shared" si="238"/>
        <v>1.7646122304214459E-2</v>
      </c>
      <c r="CA52" s="23"/>
      <c r="CB52" s="21">
        <v>20</v>
      </c>
      <c r="CC52" t="str">
        <f>$M$70</f>
        <v>boc_disutil_ooph</v>
      </c>
      <c r="CD52" s="235">
        <f>$F$70</f>
        <v>2.4E-2</v>
      </c>
      <c r="CE52" s="235">
        <f>$G$70</f>
        <v>3.5999999999999997E-2</v>
      </c>
      <c r="CF52" s="447">
        <v>-16888.273767866096</v>
      </c>
      <c r="CG52" s="447">
        <v>-17029.496045919706</v>
      </c>
      <c r="CH52" s="266">
        <f t="shared" si="151"/>
        <v>141.22227805361035</v>
      </c>
      <c r="CJ52" s="10">
        <v>44</v>
      </c>
      <c r="CK52" s="450">
        <v>0.25886222300559436</v>
      </c>
      <c r="CL52" s="450">
        <v>2.997513721768074E-3</v>
      </c>
      <c r="CM52" s="450">
        <v>0.25886222300559436</v>
      </c>
      <c r="CN52" s="450">
        <v>2.997513721768074E-3</v>
      </c>
      <c r="CO52" s="451">
        <v>0.34072918727544588</v>
      </c>
      <c r="CP52" s="451">
        <v>0.36934530490469564</v>
      </c>
      <c r="CQ52" s="451">
        <v>0.12374834698474367</v>
      </c>
      <c r="CR52" s="451">
        <v>0.13474840866802426</v>
      </c>
      <c r="CS52" s="451">
        <v>16.31029285496712</v>
      </c>
      <c r="CT52" s="451">
        <v>16.175402690492874</v>
      </c>
      <c r="CU52" s="234">
        <v>0.13489016447424618</v>
      </c>
      <c r="CX52" s="402">
        <v>44</v>
      </c>
      <c r="CY52" s="200">
        <f t="shared" si="272"/>
        <v>1.8469999999999999E-3</v>
      </c>
      <c r="CZ52" s="403">
        <v>1.8469999999999999E-3</v>
      </c>
      <c r="DA52" s="345">
        <f t="shared" si="273"/>
        <v>2.9480386882917764E-2</v>
      </c>
      <c r="DB52" s="387">
        <f t="shared" si="274"/>
        <v>5.6501048732219616E-2</v>
      </c>
      <c r="DC52" s="114">
        <f t="shared" si="91"/>
        <v>2.7903305955692348E-2</v>
      </c>
      <c r="DD52" s="378">
        <f t="shared" si="92"/>
        <v>1.0741889386351788E-2</v>
      </c>
      <c r="DE52" s="378">
        <f t="shared" si="275"/>
        <v>2.2775540813423305E-2</v>
      </c>
      <c r="DF52" s="340">
        <f t="shared" si="93"/>
        <v>1.7983809715627075E-3</v>
      </c>
      <c r="DG52" s="378">
        <f t="shared" si="94"/>
        <v>9.9999997171806854E-10</v>
      </c>
      <c r="DH52" s="378">
        <f t="shared" si="276"/>
        <v>1.2610319658163515E-3</v>
      </c>
      <c r="DI52" s="340">
        <f>DI51+(DI58-DI48)/10</f>
        <v>0.31600000000000006</v>
      </c>
      <c r="DJ52" s="378">
        <f t="shared" ref="DJ52" si="339">DJ51+(DJ58-DJ48)/10</f>
        <v>0.21799999999999997</v>
      </c>
      <c r="DK52" s="350">
        <f t="shared" si="278"/>
        <v>0.2867179776266176</v>
      </c>
      <c r="DL52" s="340">
        <f t="shared" ref="DL52" si="340">DL51+(DL58-DL48)/10</f>
        <v>4.3999999999999997E-2</v>
      </c>
      <c r="DM52" s="378">
        <f t="shared" ref="DM52" si="341">DM51+(DM58-DM48)/10</f>
        <v>9.9999999999999995E-7</v>
      </c>
      <c r="DN52" s="396">
        <f t="shared" si="281"/>
        <v>3.0853268342791288E-2</v>
      </c>
      <c r="DO52" s="335">
        <f t="shared" si="103"/>
        <v>4.400000000000015E-3</v>
      </c>
      <c r="DP52" s="350">
        <f t="shared" si="104"/>
        <v>1.1799999999999977E-2</v>
      </c>
      <c r="DQ52" s="349">
        <f t="shared" si="282"/>
        <v>6.6110914853370461E-3</v>
      </c>
      <c r="DR52" s="335">
        <f t="shared" si="105"/>
        <v>3.2000000000000028E-2</v>
      </c>
      <c r="DS52" s="350">
        <f t="shared" si="106"/>
        <v>3.7000000000000033E-2</v>
      </c>
      <c r="DT52" s="349">
        <f t="shared" si="283"/>
        <v>3.3493980733335871E-2</v>
      </c>
      <c r="DU52" s="335">
        <f>DU51+(DU53-DU48)/5</f>
        <v>0.42360000000000003</v>
      </c>
      <c r="DV52" s="350">
        <f>DV51+(DV53-DV48)/5</f>
        <v>0.41219999999999996</v>
      </c>
      <c r="DW52" s="350">
        <f t="shared" si="284"/>
        <v>0.42019372392799437</v>
      </c>
      <c r="DX52" s="335">
        <f>DX51+(DX53-DX48)/5</f>
        <v>0.83100000000000018</v>
      </c>
      <c r="DY52" s="350">
        <f>DY51+(DY53-DY48)/5</f>
        <v>0.66800000000000015</v>
      </c>
      <c r="DZ52" s="396">
        <f t="shared" si="285"/>
        <v>0.78229622809325183</v>
      </c>
      <c r="EA52" s="350">
        <f t="shared" si="286"/>
        <v>0</v>
      </c>
      <c r="EB52" s="350">
        <f t="shared" si="287"/>
        <v>0</v>
      </c>
      <c r="EC52" s="349">
        <f t="shared" si="288"/>
        <v>0</v>
      </c>
      <c r="ED52" s="335">
        <f t="shared" si="289"/>
        <v>1.7671003744662017E-2</v>
      </c>
      <c r="EE52" s="350">
        <f t="shared" si="290"/>
        <v>3.880451514006622E-3</v>
      </c>
      <c r="EF52" s="387">
        <f t="shared" si="291"/>
        <v>1.3550439877729871E-2</v>
      </c>
      <c r="EG52" s="335">
        <f t="shared" si="292"/>
        <v>1.7983809715627075E-3</v>
      </c>
      <c r="EH52" s="350">
        <f t="shared" si="293"/>
        <v>9.9999997171806854E-10</v>
      </c>
      <c r="EI52" s="387">
        <f t="shared" si="294"/>
        <v>1.2610319658163515E-3</v>
      </c>
      <c r="EJ52" s="335">
        <f t="shared" si="295"/>
        <v>5.5784434695282936E-4</v>
      </c>
      <c r="EK52" s="350">
        <f t="shared" si="296"/>
        <v>0</v>
      </c>
      <c r="EL52" s="387">
        <f t="shared" si="297"/>
        <v>3.9116260564326137E-4</v>
      </c>
      <c r="EO52" s="318">
        <v>20</v>
      </c>
      <c r="EP52" s="315" t="s">
        <v>196</v>
      </c>
      <c r="EQ52" s="320">
        <v>0</v>
      </c>
      <c r="ER52" s="315">
        <v>0</v>
      </c>
      <c r="ES52" s="315">
        <v>0</v>
      </c>
      <c r="ET52" s="320" t="e">
        <f t="shared" ref="ET52:ET58" si="342">EQ52^2*(1-EQ52)/((ES52-ER52)/(2*z))^2-EQ52</f>
        <v>#DIV/0!</v>
      </c>
      <c r="EU52" s="320" t="e">
        <f t="shared" ref="EU52:EU58" si="343">(EQ52^2*(1-EQ52)/((ES52-ER52)/(2*z))^2-EQ52)*(1-EQ52)/EQ52</f>
        <v>#DIV/0!</v>
      </c>
      <c r="EV52" s="350" t="e">
        <f t="shared" ref="EV52:EV58" ca="1" si="344">_xlfn.BETA.INV(RAND(),ET52,EU52)</f>
        <v>#DIV/0!</v>
      </c>
      <c r="EW52" s="362">
        <f t="shared" si="338"/>
        <v>0</v>
      </c>
      <c r="EY52" s="363">
        <v>100</v>
      </c>
      <c r="EZ52" s="346">
        <v>0</v>
      </c>
      <c r="FA52" s="347">
        <f t="shared" si="182"/>
        <v>0</v>
      </c>
      <c r="FB52" s="347">
        <f t="shared" si="183"/>
        <v>0</v>
      </c>
      <c r="FC52" s="33" t="e">
        <f t="shared" si="184"/>
        <v>#DIV/0!</v>
      </c>
      <c r="FD52" s="33" t="e">
        <f t="shared" si="185"/>
        <v>#DIV/0!</v>
      </c>
      <c r="FE52" s="308">
        <f t="shared" ca="1" si="189"/>
        <v>0</v>
      </c>
      <c r="FF52" s="364">
        <f t="shared" si="190"/>
        <v>0.46500000000000008</v>
      </c>
    </row>
    <row r="53" spans="2:172" ht="15" customHeight="1" x14ac:dyDescent="0.2">
      <c r="B53" s="330" t="s">
        <v>207</v>
      </c>
      <c r="C53" s="263">
        <f t="shared" si="319"/>
        <v>1</v>
      </c>
      <c r="D53" s="332"/>
      <c r="E53" s="23">
        <v>1</v>
      </c>
      <c r="F53" s="23">
        <f>IF(ISNUMBER(D53),D53,E53)*(1-owsa)</f>
        <v>0.8</v>
      </c>
      <c r="G53" s="23">
        <f>IF(ISNUMBER(D53),D53,E53)*(1+owsa)</f>
        <v>1.2</v>
      </c>
      <c r="H53" s="54">
        <f t="shared" si="324"/>
        <v>0.10343687723509754</v>
      </c>
      <c r="J53" s="23">
        <f t="shared" ca="1" si="325"/>
        <v>1.0194777226594265</v>
      </c>
      <c r="K53" s="10" t="s">
        <v>267</v>
      </c>
      <c r="L53" s="10">
        <v>9</v>
      </c>
      <c r="M53" s="413" t="s">
        <v>263</v>
      </c>
      <c r="N53" s="413" t="s">
        <v>311</v>
      </c>
      <c r="Q53" s="10">
        <v>47</v>
      </c>
      <c r="R53" s="10">
        <f t="shared" si="215"/>
        <v>92</v>
      </c>
      <c r="S53" s="309">
        <f t="shared" si="242"/>
        <v>2.3769042942314352E-2</v>
      </c>
      <c r="T53" s="309">
        <f t="shared" si="243"/>
        <v>0</v>
      </c>
      <c r="U53" s="309">
        <f t="shared" si="244"/>
        <v>2.2042004877815787E-6</v>
      </c>
      <c r="V53" s="235">
        <f t="shared" si="245"/>
        <v>2.7596205814405359E-3</v>
      </c>
      <c r="W53" s="235">
        <f t="shared" si="246"/>
        <v>1.0918870663388305E-2</v>
      </c>
      <c r="X53" s="309">
        <f t="shared" si="247"/>
        <v>2.5315635133657089E-7</v>
      </c>
      <c r="Y53" s="235">
        <f t="shared" si="248"/>
        <v>1.4176965683008974E-3</v>
      </c>
      <c r="Z53" s="235">
        <f t="shared" si="249"/>
        <v>3.2138739965795459E-4</v>
      </c>
      <c r="AA53" s="235">
        <f t="shared" si="250"/>
        <v>2.1755458920174778E-2</v>
      </c>
      <c r="AB53" s="235">
        <f t="shared" si="251"/>
        <v>1.538317083342706E-4</v>
      </c>
      <c r="AC53" s="235">
        <f t="shared" si="252"/>
        <v>5.2628136837229824E-4</v>
      </c>
      <c r="AD53" s="235">
        <f t="shared" si="253"/>
        <v>0.93837535249117776</v>
      </c>
      <c r="AE53" s="235">
        <f t="shared" si="38"/>
        <v>1.0000000000000002</v>
      </c>
      <c r="AF53" s="101">
        <f t="shared" si="216"/>
        <v>0</v>
      </c>
      <c r="AG53" s="101">
        <f t="shared" si="217"/>
        <v>3.2468317548277367E-3</v>
      </c>
      <c r="AH53" s="101">
        <f t="shared" si="218"/>
        <v>2.127444789128341</v>
      </c>
      <c r="AI53" s="101">
        <f t="shared" si="219"/>
        <v>3.6325478651765257</v>
      </c>
      <c r="AJ53" s="101">
        <f t="shared" si="220"/>
        <v>15.026134396397024</v>
      </c>
      <c r="AK53" s="101">
        <f t="shared" si="254"/>
        <v>131.09178344578785</v>
      </c>
      <c r="AL53" s="235">
        <f t="shared" si="255"/>
        <v>5.6284101740716741E-3</v>
      </c>
      <c r="AM53" s="235">
        <f t="shared" si="221"/>
        <v>5.1116202936589227E-7</v>
      </c>
      <c r="AN53" s="235">
        <f t="shared" si="222"/>
        <v>3.5747142736594802E-3</v>
      </c>
      <c r="AO53" s="235">
        <f t="shared" si="223"/>
        <v>5.3112019248864339E-5</v>
      </c>
      <c r="AP53" s="235">
        <f t="shared" si="224"/>
        <v>2.4079970226005512E-5</v>
      </c>
      <c r="AQ53" s="235">
        <f t="shared" si="225"/>
        <v>4.4868682214033737E-3</v>
      </c>
      <c r="AR53" s="101">
        <f t="shared" si="41"/>
        <v>151.88115732824457</v>
      </c>
      <c r="AS53" s="235">
        <f t="shared" si="42"/>
        <v>1.3767695820638762E-2</v>
      </c>
      <c r="AT53" s="235">
        <f t="shared" si="226"/>
        <v>1.5360483530217845E-2</v>
      </c>
      <c r="AV53" s="10">
        <v>47</v>
      </c>
      <c r="AW53" s="10">
        <f t="shared" si="43"/>
        <v>92</v>
      </c>
      <c r="AX53" s="309">
        <f t="shared" si="256"/>
        <v>2.9295773426793771E-2</v>
      </c>
      <c r="AY53" s="309">
        <f t="shared" si="257"/>
        <v>3.5363844717639232E-6</v>
      </c>
      <c r="AZ53" s="309">
        <f t="shared" si="258"/>
        <v>3.5363844717639232E-6</v>
      </c>
      <c r="BA53" s="235">
        <f t="shared" si="259"/>
        <v>5.2740891888008632E-4</v>
      </c>
      <c r="BB53" s="235">
        <f t="shared" si="260"/>
        <v>8.1853797299596238E-4</v>
      </c>
      <c r="BC53" s="309">
        <f t="shared" si="261"/>
        <v>4.7997902447704961E-8</v>
      </c>
      <c r="BD53" s="235">
        <f t="shared" si="262"/>
        <v>9.0838926096810358E-4</v>
      </c>
      <c r="BE53" s="235">
        <f t="shared" si="263"/>
        <v>3.2349070494784745E-4</v>
      </c>
      <c r="BF53" s="235">
        <f t="shared" si="264"/>
        <v>2.2744568373894762E-2</v>
      </c>
      <c r="BG53" s="235">
        <f t="shared" si="265"/>
        <v>1.641044852477373E-4</v>
      </c>
      <c r="BH53" s="235">
        <f t="shared" si="266"/>
        <v>5.6427486551042301E-4</v>
      </c>
      <c r="BI53" s="235">
        <f t="shared" si="267"/>
        <v>0.94464633122391595</v>
      </c>
      <c r="BJ53" s="235">
        <f t="shared" si="56"/>
        <v>1.0000000000000007</v>
      </c>
      <c r="BK53" s="101">
        <f t="shared" si="227"/>
        <v>6.5695117096237427E-3</v>
      </c>
      <c r="BL53" s="101">
        <f t="shared" si="228"/>
        <v>5.2091656198474676E-3</v>
      </c>
      <c r="BM53" s="101">
        <f t="shared" si="229"/>
        <v>2.1413677552548629</v>
      </c>
      <c r="BN53" s="101">
        <f t="shared" si="230"/>
        <v>3.8751269423415602</v>
      </c>
      <c r="BO53" s="101">
        <f t="shared" si="231"/>
        <v>15.742768782209302</v>
      </c>
      <c r="BP53" s="101">
        <f t="shared" si="268"/>
        <v>137.34851208587531</v>
      </c>
      <c r="BQ53" s="235">
        <f t="shared" si="232"/>
        <v>6.9371168882498445E-3</v>
      </c>
      <c r="BR53" s="235">
        <f t="shared" si="233"/>
        <v>1.6225991226109265E-6</v>
      </c>
      <c r="BS53" s="235">
        <f t="shared" si="234"/>
        <v>5.3381739303678434E-4</v>
      </c>
      <c r="BT53" s="235">
        <f t="shared" si="235"/>
        <v>5.3459608454794372E-5</v>
      </c>
      <c r="BU53" s="235">
        <f t="shared" si="236"/>
        <v>2.5688014269026558E-5</v>
      </c>
      <c r="BV53" s="235">
        <f t="shared" si="237"/>
        <v>4.6933875768665296E-3</v>
      </c>
      <c r="BW53" s="101">
        <f t="shared" si="58"/>
        <v>159.1195542430105</v>
      </c>
      <c r="BX53" s="235">
        <f t="shared" si="59"/>
        <v>1.2245092079999589E-2</v>
      </c>
      <c r="BY53" s="235">
        <f t="shared" si="238"/>
        <v>1.3797387116095954E-2</v>
      </c>
      <c r="CA53" s="23"/>
      <c r="CB53" s="21">
        <v>19</v>
      </c>
      <c r="CC53" t="str">
        <f>$M$69</f>
        <v>boc_disutil_mast</v>
      </c>
      <c r="CD53" s="235">
        <f>$F$69</f>
        <v>2.4E-2</v>
      </c>
      <c r="CE53" s="235">
        <f>$G$69</f>
        <v>3.5999999999999997E-2</v>
      </c>
      <c r="CF53" s="447">
        <v>-16938.440850860909</v>
      </c>
      <c r="CG53" s="447">
        <v>-16978.788958784691</v>
      </c>
      <c r="CH53" s="266">
        <f t="shared" si="151"/>
        <v>40.348107923782663</v>
      </c>
      <c r="CJ53" s="10">
        <v>45</v>
      </c>
      <c r="CK53" s="450">
        <v>0.275151558292062</v>
      </c>
      <c r="CL53" s="450">
        <v>3.5976836882311474E-3</v>
      </c>
      <c r="CM53" s="450">
        <v>0.275151558292062</v>
      </c>
      <c r="CN53" s="450">
        <v>3.5976836882311474E-3</v>
      </c>
      <c r="CO53" s="451">
        <v>0.33063234207086362</v>
      </c>
      <c r="CP53" s="451">
        <v>0.35380896063649064</v>
      </c>
      <c r="CQ53" s="451">
        <v>0.12508996841425135</v>
      </c>
      <c r="CR53" s="451">
        <v>0.13420923626319078</v>
      </c>
      <c r="CS53" s="451">
        <v>15.970986456071696</v>
      </c>
      <c r="CT53" s="451">
        <v>15.867505037090565</v>
      </c>
      <c r="CU53" s="234">
        <v>0.10348141898113106</v>
      </c>
      <c r="CX53" s="402">
        <v>45</v>
      </c>
      <c r="CY53" s="200">
        <f t="shared" si="272"/>
        <v>2.0019999999999999E-3</v>
      </c>
      <c r="CZ53" s="403">
        <v>2.0019999999999999E-3</v>
      </c>
      <c r="DA53" s="345">
        <f t="shared" si="273"/>
        <v>2.5582541128165159E-2</v>
      </c>
      <c r="DB53" s="387">
        <f t="shared" si="274"/>
        <v>0.10538348049452495</v>
      </c>
      <c r="DC53" s="114">
        <f t="shared" si="91"/>
        <v>2.7903305955692348E-2</v>
      </c>
      <c r="DD53" s="378">
        <f t="shared" si="92"/>
        <v>1.0741889386351788E-2</v>
      </c>
      <c r="DE53" s="378">
        <f t="shared" si="275"/>
        <v>2.2775540813423305E-2</v>
      </c>
      <c r="DF53" s="340">
        <f t="shared" si="93"/>
        <v>1.7983809715627075E-3</v>
      </c>
      <c r="DG53" s="378">
        <f t="shared" si="94"/>
        <v>9.9999997171806854E-10</v>
      </c>
      <c r="DH53" s="378">
        <f t="shared" si="276"/>
        <v>1.2610319658163515E-3</v>
      </c>
      <c r="DI53" s="340">
        <f>DI52+(DI58-DI48)/10</f>
        <v>0.33500000000000008</v>
      </c>
      <c r="DJ53" s="378">
        <f t="shared" ref="DJ53" si="345">DJ52+(DJ58-DJ48)/10</f>
        <v>0.23999999999999996</v>
      </c>
      <c r="DK53" s="350">
        <f t="shared" si="278"/>
        <v>0.30661436606661913</v>
      </c>
      <c r="DL53" s="340">
        <f t="shared" ref="DL53" si="346">DL52+(DL58-DL48)/10</f>
        <v>4.9999999999999996E-2</v>
      </c>
      <c r="DM53" s="378">
        <f t="shared" ref="DM53" si="347">DM52+(DM58-DM48)/10</f>
        <v>9.9999999999999995E-7</v>
      </c>
      <c r="DN53" s="396">
        <f t="shared" si="281"/>
        <v>3.5060491462788279E-2</v>
      </c>
      <c r="DO53" s="335">
        <f t="shared" si="103"/>
        <v>4.3999999999999595E-3</v>
      </c>
      <c r="DP53" s="350">
        <f t="shared" si="104"/>
        <v>1.1800000000000088E-2</v>
      </c>
      <c r="DQ53" s="349">
        <f t="shared" si="282"/>
        <v>6.6110914853370392E-3</v>
      </c>
      <c r="DR53" s="335">
        <f t="shared" si="105"/>
        <v>3.1999999999999917E-2</v>
      </c>
      <c r="DS53" s="350">
        <f t="shared" si="106"/>
        <v>3.6999999999999922E-2</v>
      </c>
      <c r="DT53" s="349">
        <f t="shared" si="283"/>
        <v>3.349398073333576E-2</v>
      </c>
      <c r="DU53" s="335">
        <f>VLOOKUP($CX53,$EY$8:$FF$28,8,FALSE)</f>
        <v>0.42799999999999999</v>
      </c>
      <c r="DV53" s="350">
        <f>VLOOKUP($CX53,$EY$32:$FF$52,8,FALSE)</f>
        <v>0.42400000000000004</v>
      </c>
      <c r="DW53" s="350">
        <f t="shared" si="284"/>
        <v>0.42680481541333137</v>
      </c>
      <c r="DX53" s="335">
        <f>VLOOKUP($CX53,$EY$56:$FF$76,8,FALSE)</f>
        <v>0.8630000000000001</v>
      </c>
      <c r="DY53" s="350">
        <f>VLOOKUP($CX53,$EY$80:$FF$100,8,FALSE)</f>
        <v>0.70500000000000007</v>
      </c>
      <c r="DZ53" s="396">
        <f t="shared" si="285"/>
        <v>0.81579020882658759</v>
      </c>
      <c r="EA53" s="350">
        <f t="shared" si="286"/>
        <v>0</v>
      </c>
      <c r="EB53" s="350">
        <f t="shared" si="287"/>
        <v>0</v>
      </c>
      <c r="EC53" s="349">
        <f t="shared" si="288"/>
        <v>0</v>
      </c>
      <c r="ED53" s="335">
        <f t="shared" si="289"/>
        <v>1.7671003744662017E-2</v>
      </c>
      <c r="EE53" s="350">
        <f t="shared" si="290"/>
        <v>3.880451514006622E-3</v>
      </c>
      <c r="EF53" s="387">
        <f t="shared" si="291"/>
        <v>1.3550439877729871E-2</v>
      </c>
      <c r="EG53" s="335">
        <f t="shared" si="292"/>
        <v>1.7983809715627075E-3</v>
      </c>
      <c r="EH53" s="350">
        <f t="shared" si="293"/>
        <v>9.9999997171806854E-10</v>
      </c>
      <c r="EI53" s="387">
        <f t="shared" si="294"/>
        <v>1.2610319658163515E-3</v>
      </c>
      <c r="EJ53" s="335">
        <f t="shared" si="295"/>
        <v>5.5784434695282936E-4</v>
      </c>
      <c r="EK53" s="350">
        <f t="shared" si="296"/>
        <v>0</v>
      </c>
      <c r="EL53" s="387">
        <f t="shared" si="297"/>
        <v>3.9116260564326137E-4</v>
      </c>
      <c r="EO53" s="318">
        <v>30</v>
      </c>
      <c r="EP53" s="315" t="s">
        <v>197</v>
      </c>
      <c r="EQ53" s="308">
        <v>0</v>
      </c>
      <c r="ER53" s="308">
        <v>0</v>
      </c>
      <c r="ES53" s="308">
        <v>0</v>
      </c>
      <c r="ET53" s="320" t="e">
        <f t="shared" si="342"/>
        <v>#DIV/0!</v>
      </c>
      <c r="EU53" s="320" t="e">
        <f t="shared" si="343"/>
        <v>#DIV/0!</v>
      </c>
      <c r="EV53" s="350" t="e">
        <f t="shared" ca="1" si="344"/>
        <v>#DIV/0!</v>
      </c>
      <c r="EW53" s="362">
        <f t="shared" si="338"/>
        <v>0</v>
      </c>
      <c r="EY53" s="339"/>
      <c r="EZ53" s="47"/>
      <c r="FA53" s="47"/>
      <c r="FB53" s="47"/>
      <c r="FC53" s="47"/>
      <c r="FD53" s="47"/>
      <c r="FE53" s="47"/>
      <c r="FF53" s="352"/>
    </row>
    <row r="54" spans="2:172" ht="15" customHeight="1" x14ac:dyDescent="0.2">
      <c r="B54" s="330" t="s">
        <v>208</v>
      </c>
      <c r="C54" s="263">
        <f t="shared" si="319"/>
        <v>1</v>
      </c>
      <c r="D54" s="332"/>
      <c r="E54" s="23">
        <v>1</v>
      </c>
      <c r="F54" s="23">
        <f>IF(ISNUMBER(D54),D54,E54)*(1-owsa)</f>
        <v>0.8</v>
      </c>
      <c r="G54" s="23">
        <f>IF(ISNUMBER(D54),D54,E54)*(1+owsa)</f>
        <v>1.2</v>
      </c>
      <c r="H54" s="54">
        <f t="shared" si="324"/>
        <v>0.10343687723509754</v>
      </c>
      <c r="J54" s="23">
        <f t="shared" ca="1" si="325"/>
        <v>1.071889401950983</v>
      </c>
      <c r="K54" s="10" t="s">
        <v>267</v>
      </c>
      <c r="L54" s="10">
        <v>10</v>
      </c>
      <c r="M54" s="413" t="s">
        <v>264</v>
      </c>
      <c r="N54" s="413" t="s">
        <v>311</v>
      </c>
      <c r="Q54" s="10">
        <v>48</v>
      </c>
      <c r="R54" s="10">
        <f t="shared" si="215"/>
        <v>93</v>
      </c>
      <c r="S54" s="309">
        <f t="shared" si="242"/>
        <v>1.9299832342709766E-2</v>
      </c>
      <c r="T54" s="309">
        <f t="shared" si="243"/>
        <v>0</v>
      </c>
      <c r="U54" s="309">
        <f t="shared" si="244"/>
        <v>1.8262538848619032E-6</v>
      </c>
      <c r="V54" s="235">
        <f t="shared" si="245"/>
        <v>2.2656169742990688E-3</v>
      </c>
      <c r="W54" s="235">
        <f t="shared" si="246"/>
        <v>8.9574270399177015E-3</v>
      </c>
      <c r="X54" s="309">
        <f t="shared" si="247"/>
        <v>2.1203074182800601E-7</v>
      </c>
      <c r="Y54" s="235">
        <f t="shared" si="248"/>
        <v>1.1698113717308486E-3</v>
      </c>
      <c r="Z54" s="235">
        <f t="shared" si="249"/>
        <v>2.6680658978651598E-4</v>
      </c>
      <c r="AA54" s="235">
        <f t="shared" si="250"/>
        <v>1.6905287000959841E-2</v>
      </c>
      <c r="AB54" s="235">
        <f t="shared" si="251"/>
        <v>1.2767061315561423E-4</v>
      </c>
      <c r="AC54" s="235">
        <f t="shared" si="252"/>
        <v>3.9146439274458241E-4</v>
      </c>
      <c r="AD54" s="235">
        <f t="shared" si="253"/>
        <v>0.95061404539006955</v>
      </c>
      <c r="AE54" s="235">
        <f t="shared" si="38"/>
        <v>1.0000000000000002</v>
      </c>
      <c r="AF54" s="101">
        <f t="shared" si="216"/>
        <v>0</v>
      </c>
      <c r="AG54" s="101">
        <f t="shared" si="217"/>
        <v>2.6117561061986838E-3</v>
      </c>
      <c r="AH54" s="101">
        <f t="shared" si="218"/>
        <v>1.7147024944251794</v>
      </c>
      <c r="AI54" s="101">
        <f t="shared" si="219"/>
        <v>2.926976273787989</v>
      </c>
      <c r="AJ54" s="101">
        <f t="shared" si="220"/>
        <v>11.29571500087931</v>
      </c>
      <c r="AK54" s="101">
        <f t="shared" si="254"/>
        <v>98.541076378164362</v>
      </c>
      <c r="AL54" s="235">
        <f t="shared" si="255"/>
        <v>4.4370094711789505E-3</v>
      </c>
      <c r="AM54" s="235">
        <f t="shared" si="221"/>
        <v>4.1035594998716888E-7</v>
      </c>
      <c r="AN54" s="235">
        <f t="shared" si="222"/>
        <v>2.8491033365464075E-3</v>
      </c>
      <c r="AO54" s="235">
        <f t="shared" si="223"/>
        <v>4.2807838001426896E-5</v>
      </c>
      <c r="AP54" s="235">
        <f t="shared" si="224"/>
        <v>1.9402772968447653E-5</v>
      </c>
      <c r="AQ54" s="235">
        <f t="shared" si="225"/>
        <v>3.3819663568174694E-3</v>
      </c>
      <c r="AR54" s="101">
        <f t="shared" si="41"/>
        <v>114.48108190336305</v>
      </c>
      <c r="AS54" s="235">
        <f t="shared" si="42"/>
        <v>1.0730700131462689E-2</v>
      </c>
      <c r="AT54" s="235">
        <f t="shared" si="226"/>
        <v>1.1951341799322479E-2</v>
      </c>
      <c r="AV54" s="10">
        <v>48</v>
      </c>
      <c r="AW54" s="10">
        <f t="shared" si="43"/>
        <v>93</v>
      </c>
      <c r="AX54" s="309">
        <f t="shared" si="256"/>
        <v>2.3783782623466306E-2</v>
      </c>
      <c r="AY54" s="309">
        <f t="shared" si="257"/>
        <v>2.9295773426793772E-6</v>
      </c>
      <c r="AZ54" s="309">
        <f t="shared" si="258"/>
        <v>2.9295773426793772E-6</v>
      </c>
      <c r="BA54" s="235">
        <f t="shared" si="259"/>
        <v>4.3653308229596151E-4</v>
      </c>
      <c r="BB54" s="235">
        <f t="shared" si="260"/>
        <v>6.7486862905020051E-4</v>
      </c>
      <c r="BC54" s="309">
        <f t="shared" si="261"/>
        <v>4.0522564974666603E-8</v>
      </c>
      <c r="BD54" s="235">
        <f t="shared" si="262"/>
        <v>7.4944257688564105E-4</v>
      </c>
      <c r="BE54" s="235">
        <f t="shared" si="263"/>
        <v>2.680421003782628E-4</v>
      </c>
      <c r="BF54" s="235">
        <f t="shared" si="264"/>
        <v>1.766430556399716E-2</v>
      </c>
      <c r="BG54" s="235">
        <f t="shared" si="265"/>
        <v>1.360070453725457E-4</v>
      </c>
      <c r="BH54" s="235">
        <f t="shared" si="266"/>
        <v>4.1924584307802715E-4</v>
      </c>
      <c r="BI54" s="235">
        <f t="shared" si="267"/>
        <v>0.95586187285822621</v>
      </c>
      <c r="BJ54" s="235">
        <f t="shared" si="56"/>
        <v>1.0000000000000007</v>
      </c>
      <c r="BK54" s="101">
        <f t="shared" si="227"/>
        <v>5.2837390351281746E-3</v>
      </c>
      <c r="BL54" s="101">
        <f t="shared" si="228"/>
        <v>4.1896373646333153E-3</v>
      </c>
      <c r="BM54" s="101">
        <f t="shared" si="229"/>
        <v>1.7226428271405452</v>
      </c>
      <c r="BN54" s="101">
        <f t="shared" si="230"/>
        <v>3.1180973055109198</v>
      </c>
      <c r="BO54" s="101">
        <f t="shared" si="231"/>
        <v>11.82645144205696</v>
      </c>
      <c r="BP54" s="101">
        <f t="shared" si="268"/>
        <v>103.17436504825008</v>
      </c>
      <c r="BQ54" s="235">
        <f t="shared" si="232"/>
        <v>5.467864533063852E-3</v>
      </c>
      <c r="BR54" s="235">
        <f t="shared" si="233"/>
        <v>1.304930263058178E-6</v>
      </c>
      <c r="BS54" s="235">
        <f t="shared" si="234"/>
        <v>4.2780598217955862E-4</v>
      </c>
      <c r="BT54" s="235">
        <f t="shared" si="235"/>
        <v>4.3006069751635404E-5</v>
      </c>
      <c r="BU54" s="235">
        <f t="shared" si="236"/>
        <v>2.0669704313680729E-5</v>
      </c>
      <c r="BV54" s="235">
        <f t="shared" si="237"/>
        <v>3.5355890542833291E-3</v>
      </c>
      <c r="BW54" s="101">
        <f t="shared" si="58"/>
        <v>119.85102999935827</v>
      </c>
      <c r="BX54" s="235">
        <f t="shared" si="59"/>
        <v>9.4962402738551135E-3</v>
      </c>
      <c r="BY54" s="235">
        <f t="shared" si="238"/>
        <v>1.0681373844441719E-2</v>
      </c>
      <c r="CA54" s="23"/>
      <c r="CB54" s="21">
        <v>13</v>
      </c>
      <c r="CC54" t="str">
        <f>$M$60</f>
        <v>boc_unkn_mast</v>
      </c>
      <c r="CD54" s="446">
        <f>$F$60</f>
        <v>8.0000000000000007E-5</v>
      </c>
      <c r="CE54" s="446">
        <f>$G$60</f>
        <v>1.2E-4</v>
      </c>
      <c r="CF54" s="447">
        <v>-16948.376420637425</v>
      </c>
      <c r="CG54" s="447">
        <v>-16968.842541333066</v>
      </c>
      <c r="CH54" s="266">
        <f t="shared" si="151"/>
        <v>20.466120695640711</v>
      </c>
      <c r="CJ54" s="10">
        <v>46</v>
      </c>
      <c r="CK54" s="450">
        <v>0.29145857894228483</v>
      </c>
      <c r="CL54" s="450">
        <v>4.2155390184494233E-3</v>
      </c>
      <c r="CM54" s="450">
        <v>0.29145857894228483</v>
      </c>
      <c r="CN54" s="450">
        <v>4.2155390184494233E-3</v>
      </c>
      <c r="CO54" s="451">
        <v>0.31906878625895224</v>
      </c>
      <c r="CP54" s="451">
        <v>0.33852047781308436</v>
      </c>
      <c r="CQ54" s="451">
        <v>0.12512760432833012</v>
      </c>
      <c r="CR54" s="451">
        <v>0.1336434431004945</v>
      </c>
      <c r="CS54" s="451">
        <v>15.641855879208572</v>
      </c>
      <c r="CT54" s="451">
        <v>15.55445136943729</v>
      </c>
      <c r="CU54" s="234">
        <v>8.7404509771282335E-2</v>
      </c>
      <c r="CX54" s="402">
        <v>46</v>
      </c>
      <c r="CY54" s="200">
        <f t="shared" si="272"/>
        <v>2.1789999999999999E-3</v>
      </c>
      <c r="CZ54" s="403">
        <v>2.1789999999999999E-3</v>
      </c>
      <c r="DA54" s="345">
        <f t="shared" si="273"/>
        <v>2.5582541128165159E-2</v>
      </c>
      <c r="DB54" s="387">
        <f t="shared" si="274"/>
        <v>0.10538348049452495</v>
      </c>
      <c r="DC54" s="114">
        <f t="shared" si="91"/>
        <v>2.7903305955692348E-2</v>
      </c>
      <c r="DD54" s="378">
        <f t="shared" si="92"/>
        <v>1.0741889386351788E-2</v>
      </c>
      <c r="DE54" s="378">
        <f t="shared" si="275"/>
        <v>2.2775540813423305E-2</v>
      </c>
      <c r="DF54" s="340">
        <f t="shared" si="93"/>
        <v>1.7983809715627075E-3</v>
      </c>
      <c r="DG54" s="378">
        <f t="shared" si="94"/>
        <v>9.9999997171806854E-10</v>
      </c>
      <c r="DH54" s="378">
        <f t="shared" si="276"/>
        <v>1.2610319658163515E-3</v>
      </c>
      <c r="DI54" s="340">
        <f>DI53+(DI58-DI48)/10</f>
        <v>0.35400000000000009</v>
      </c>
      <c r="DJ54" s="378">
        <f t="shared" ref="DJ54" si="348">DJ53+(DJ58-DJ48)/10</f>
        <v>0.26199999999999996</v>
      </c>
      <c r="DK54" s="350">
        <f t="shared" si="278"/>
        <v>0.32651075450662065</v>
      </c>
      <c r="DL54" s="340">
        <f t="shared" ref="DL54" si="349">DL53+(DL58-DL48)/10</f>
        <v>5.5999999999999994E-2</v>
      </c>
      <c r="DM54" s="378">
        <f t="shared" ref="DM54" si="350">DM53+(DM58-DM48)/10</f>
        <v>9.9999999999999995E-7</v>
      </c>
      <c r="DN54" s="396">
        <f t="shared" si="281"/>
        <v>3.9267714582785274E-2</v>
      </c>
      <c r="DO54" s="335">
        <f t="shared" si="103"/>
        <v>7.1999999999999842E-3</v>
      </c>
      <c r="DP54" s="350">
        <f t="shared" si="104"/>
        <v>6.1999999999999833E-3</v>
      </c>
      <c r="DQ54" s="349">
        <f t="shared" si="282"/>
        <v>6.9012038533328166E-3</v>
      </c>
      <c r="DR54" s="335">
        <f t="shared" si="105"/>
        <v>1.319999999999999E-2</v>
      </c>
      <c r="DS54" s="350">
        <f t="shared" si="106"/>
        <v>2.3199999999999998E-2</v>
      </c>
      <c r="DT54" s="349">
        <f t="shared" si="283"/>
        <v>1.6187961466671671E-2</v>
      </c>
      <c r="DU54" s="335">
        <f>DU53+(DU58-DU53)/5</f>
        <v>0.43519999999999998</v>
      </c>
      <c r="DV54" s="350">
        <f>DV53+(DV58-DV53)/5</f>
        <v>0.43020000000000003</v>
      </c>
      <c r="DW54" s="350">
        <f t="shared" si="284"/>
        <v>0.43370601926666419</v>
      </c>
      <c r="DX54" s="335">
        <f>DX53+(DX58-DX53)/5</f>
        <v>0.87620000000000009</v>
      </c>
      <c r="DY54" s="350">
        <f>DY53+(DY58-DY53)/5</f>
        <v>0.72820000000000007</v>
      </c>
      <c r="DZ54" s="396">
        <f t="shared" si="285"/>
        <v>0.83197817029325938</v>
      </c>
      <c r="EA54" s="350">
        <f t="shared" si="286"/>
        <v>0</v>
      </c>
      <c r="EB54" s="350">
        <f t="shared" si="287"/>
        <v>0</v>
      </c>
      <c r="EC54" s="349">
        <f t="shared" si="288"/>
        <v>0</v>
      </c>
      <c r="ED54" s="335">
        <f t="shared" si="289"/>
        <v>1.7671003744662017E-2</v>
      </c>
      <c r="EE54" s="350">
        <f t="shared" si="290"/>
        <v>3.880451514006622E-3</v>
      </c>
      <c r="EF54" s="387">
        <f t="shared" si="291"/>
        <v>1.3550439877729871E-2</v>
      </c>
      <c r="EG54" s="335">
        <f t="shared" si="292"/>
        <v>1.7983809715627075E-3</v>
      </c>
      <c r="EH54" s="350">
        <f t="shared" si="293"/>
        <v>9.9999997171806854E-10</v>
      </c>
      <c r="EI54" s="387">
        <f t="shared" si="294"/>
        <v>1.2610319658163515E-3</v>
      </c>
      <c r="EJ54" s="335">
        <f t="shared" si="295"/>
        <v>5.5784434695282936E-4</v>
      </c>
      <c r="EK54" s="350">
        <f t="shared" si="296"/>
        <v>0</v>
      </c>
      <c r="EL54" s="387">
        <f t="shared" si="297"/>
        <v>3.9116260564326137E-4</v>
      </c>
      <c r="EO54" s="318">
        <v>40</v>
      </c>
      <c r="EP54" s="315" t="s">
        <v>198</v>
      </c>
      <c r="EQ54" s="308">
        <v>9.9999999999999995E-7</v>
      </c>
      <c r="ER54" s="308">
        <v>0</v>
      </c>
      <c r="ES54" s="308">
        <v>0.02</v>
      </c>
      <c r="ET54" s="320">
        <f t="shared" si="342"/>
        <v>-9.6158545020764693E-7</v>
      </c>
      <c r="EU54" s="320">
        <f t="shared" si="343"/>
        <v>-0.9615844886221967</v>
      </c>
      <c r="EV54" s="350" t="e">
        <f t="shared" ca="1" si="344"/>
        <v>#NUM!</v>
      </c>
      <c r="EW54" s="362">
        <f t="shared" si="338"/>
        <v>9.9999999999999995E-7</v>
      </c>
      <c r="EY54" s="359" t="s">
        <v>289</v>
      </c>
      <c r="EZ54" s="20"/>
      <c r="FA54" s="20"/>
      <c r="FB54" s="20"/>
      <c r="FC54" s="20"/>
      <c r="FD54" s="20"/>
      <c r="FE54" s="20"/>
      <c r="FF54" s="360"/>
    </row>
    <row r="55" spans="2:172" ht="15" customHeight="1" x14ac:dyDescent="0.2">
      <c r="B55" s="15" t="s">
        <v>257</v>
      </c>
      <c r="C55" s="263"/>
      <c r="E55" s="23"/>
      <c r="F55" s="23"/>
      <c r="G55" s="23"/>
      <c r="H55" s="54"/>
      <c r="J55" s="23"/>
      <c r="K55" s="10"/>
      <c r="L55" s="10"/>
      <c r="M55" s="413"/>
      <c r="N55" s="413"/>
      <c r="Q55" s="10">
        <v>49</v>
      </c>
      <c r="R55" s="10">
        <f t="shared" si="215"/>
        <v>94</v>
      </c>
      <c r="S55" s="309">
        <f t="shared" si="242"/>
        <v>1.5330483549171712E-2</v>
      </c>
      <c r="T55" s="309">
        <f t="shared" si="243"/>
        <v>0</v>
      </c>
      <c r="U55" s="309">
        <f t="shared" si="244"/>
        <v>1.4828697090832565E-6</v>
      </c>
      <c r="V55" s="235">
        <f t="shared" si="245"/>
        <v>1.8200779067807878E-3</v>
      </c>
      <c r="W55" s="235">
        <f t="shared" si="246"/>
        <v>7.1903331836510225E-3</v>
      </c>
      <c r="X55" s="309">
        <f t="shared" si="247"/>
        <v>1.740748170199517E-7</v>
      </c>
      <c r="Y55" s="235">
        <f t="shared" si="248"/>
        <v>9.4463556470917795E-4</v>
      </c>
      <c r="Z55" s="235">
        <f t="shared" si="249"/>
        <v>2.1708049288089867E-4</v>
      </c>
      <c r="AA55" s="235">
        <f t="shared" si="250"/>
        <v>1.3149485499571555E-2</v>
      </c>
      <c r="AB55" s="235">
        <f t="shared" si="251"/>
        <v>1.0384600058799434E-4</v>
      </c>
      <c r="AC55" s="235">
        <f t="shared" si="252"/>
        <v>2.9880747304739021E-4</v>
      </c>
      <c r="AD55" s="235">
        <f t="shared" si="253"/>
        <v>0.96094359338507362</v>
      </c>
      <c r="AE55" s="235">
        <f t="shared" si="38"/>
        <v>1.0000000000000002</v>
      </c>
      <c r="AF55" s="101">
        <f t="shared" si="216"/>
        <v>0</v>
      </c>
      <c r="AG55" s="101">
        <f t="shared" si="217"/>
        <v>2.05890939381019E-3</v>
      </c>
      <c r="AH55" s="101">
        <f t="shared" si="218"/>
        <v>1.3544899967249766</v>
      </c>
      <c r="AI55" s="101">
        <f t="shared" si="219"/>
        <v>2.3114303340024245</v>
      </c>
      <c r="AJ55" s="101">
        <f t="shared" si="220"/>
        <v>8.5175138787602158</v>
      </c>
      <c r="AK55" s="101">
        <f t="shared" si="254"/>
        <v>74.302953573838067</v>
      </c>
      <c r="AL55" s="235">
        <f t="shared" si="255"/>
        <v>3.4218065097318443E-3</v>
      </c>
      <c r="AM55" s="235">
        <f t="shared" si="221"/>
        <v>3.2290847299473992E-7</v>
      </c>
      <c r="AN55" s="235">
        <f t="shared" si="222"/>
        <v>2.2219940643089572E-3</v>
      </c>
      <c r="AO55" s="235">
        <f t="shared" si="223"/>
        <v>3.3815072027286947E-5</v>
      </c>
      <c r="AP55" s="235">
        <f t="shared" si="224"/>
        <v>1.5322351057185468E-5</v>
      </c>
      <c r="AQ55" s="235">
        <f t="shared" si="225"/>
        <v>2.5530226529822671E-3</v>
      </c>
      <c r="AR55" s="101">
        <f t="shared" si="41"/>
        <v>86.488446692719492</v>
      </c>
      <c r="AS55" s="235">
        <f t="shared" si="42"/>
        <v>8.2462835585805361E-3</v>
      </c>
      <c r="AT55" s="235">
        <f t="shared" si="226"/>
        <v>9.176314145812511E-3</v>
      </c>
      <c r="AV55" s="10">
        <v>49</v>
      </c>
      <c r="AW55" s="10">
        <f t="shared" si="43"/>
        <v>94</v>
      </c>
      <c r="AX55" s="309">
        <f t="shared" si="256"/>
        <v>1.888930149340037E-2</v>
      </c>
      <c r="AY55" s="309">
        <f t="shared" si="257"/>
        <v>2.3783782623466305E-6</v>
      </c>
      <c r="AZ55" s="309">
        <f t="shared" si="258"/>
        <v>2.3783782623466305E-6</v>
      </c>
      <c r="BA55" s="235">
        <f t="shared" si="259"/>
        <v>3.5361737129849886E-4</v>
      </c>
      <c r="BB55" s="235">
        <f t="shared" si="260"/>
        <v>5.4452459061936321E-4</v>
      </c>
      <c r="BC55" s="309">
        <f t="shared" si="261"/>
        <v>3.3540275026997639E-8</v>
      </c>
      <c r="BD55" s="235">
        <f t="shared" si="262"/>
        <v>6.0508781828470196E-4</v>
      </c>
      <c r="BE55" s="235">
        <f t="shared" si="263"/>
        <v>2.1765979465956269E-4</v>
      </c>
      <c r="BF55" s="235">
        <f t="shared" si="264"/>
        <v>1.3731648056766254E-2</v>
      </c>
      <c r="BG55" s="235">
        <f t="shared" si="265"/>
        <v>1.104689808676947E-4</v>
      </c>
      <c r="BH55" s="235">
        <f t="shared" si="266"/>
        <v>3.1959646453138028E-4</v>
      </c>
      <c r="BI55" s="235">
        <f t="shared" si="267"/>
        <v>0.96522330513277299</v>
      </c>
      <c r="BJ55" s="235">
        <f t="shared" si="56"/>
        <v>1.0000000000000004</v>
      </c>
      <c r="BK55" s="101">
        <f t="shared" si="227"/>
        <v>4.1646651970183501E-3</v>
      </c>
      <c r="BL55" s="101">
        <f t="shared" si="228"/>
        <v>3.3022896862643361E-3</v>
      </c>
      <c r="BM55" s="101">
        <f t="shared" si="229"/>
        <v>1.3581045935681666</v>
      </c>
      <c r="BN55" s="101">
        <f t="shared" si="230"/>
        <v>2.4588462906432147</v>
      </c>
      <c r="BO55" s="101">
        <f t="shared" si="231"/>
        <v>8.911564378818797</v>
      </c>
      <c r="BP55" s="101">
        <f t="shared" si="268"/>
        <v>77.74282992434614</v>
      </c>
      <c r="BQ55" s="235">
        <f t="shared" si="232"/>
        <v>4.2161445597648497E-3</v>
      </c>
      <c r="BR55" s="235">
        <f t="shared" si="233"/>
        <v>1.0284822944646112E-6</v>
      </c>
      <c r="BS55" s="235">
        <f t="shared" si="234"/>
        <v>3.355250622735781E-4</v>
      </c>
      <c r="BT55" s="235">
        <f t="shared" si="235"/>
        <v>3.3905311049278702E-5</v>
      </c>
      <c r="BU55" s="235">
        <f t="shared" si="236"/>
        <v>1.6299563740541493E-5</v>
      </c>
      <c r="BV55" s="235">
        <f t="shared" si="237"/>
        <v>2.6673306092691255E-3</v>
      </c>
      <c r="BW55" s="101">
        <f t="shared" si="58"/>
        <v>90.478812142259599</v>
      </c>
      <c r="BX55" s="235">
        <f t="shared" si="59"/>
        <v>7.2702335883918388E-3</v>
      </c>
      <c r="BY55" s="235">
        <f t="shared" si="238"/>
        <v>8.170794620229677E-3</v>
      </c>
      <c r="CA55" s="23"/>
      <c r="CB55" s="21">
        <v>14</v>
      </c>
      <c r="CC55" t="str">
        <f>$M$61</f>
        <v>boc_unkn_ooph</v>
      </c>
      <c r="CD55" s="446">
        <f>$F$61</f>
        <v>8.0000000000000007E-5</v>
      </c>
      <c r="CE55" s="446">
        <f>$G$61</f>
        <v>1.2E-4</v>
      </c>
      <c r="CF55" s="447">
        <v>-16966.524577706627</v>
      </c>
      <c r="CG55" s="447">
        <v>-16950.623520417663</v>
      </c>
      <c r="CH55" s="266">
        <f t="shared" si="151"/>
        <v>15.901057288963784</v>
      </c>
      <c r="CJ55" s="10">
        <v>47</v>
      </c>
      <c r="CK55" s="450">
        <v>0.30778000487882856</v>
      </c>
      <c r="CL55" s="450">
        <v>4.8477996349886535E-3</v>
      </c>
      <c r="CM55" s="450">
        <v>0.30778000487882856</v>
      </c>
      <c r="CN55" s="450">
        <v>4.8477996349886535E-3</v>
      </c>
      <c r="CO55" s="451">
        <v>0.30762938326623479</v>
      </c>
      <c r="CP55" s="451">
        <v>0.32344748152377417</v>
      </c>
      <c r="CQ55" s="451">
        <v>0.1251709572342046</v>
      </c>
      <c r="CR55" s="451">
        <v>0.13304465232607432</v>
      </c>
      <c r="CS55" s="451">
        <v>15.307641297976502</v>
      </c>
      <c r="CT55" s="451">
        <v>15.236664241289017</v>
      </c>
      <c r="CU55" s="234">
        <v>7.0977056687485884E-2</v>
      </c>
      <c r="CX55" s="402">
        <v>47</v>
      </c>
      <c r="CY55" s="200">
        <f t="shared" si="272"/>
        <v>2.3960000000000001E-3</v>
      </c>
      <c r="CZ55" s="403">
        <v>2.3960000000000001E-3</v>
      </c>
      <c r="DA55" s="345">
        <f t="shared" si="273"/>
        <v>2.5582541128165159E-2</v>
      </c>
      <c r="DB55" s="387">
        <f t="shared" si="274"/>
        <v>0.10538348049452495</v>
      </c>
      <c r="DC55" s="114">
        <f t="shared" si="91"/>
        <v>2.7903305955692348E-2</v>
      </c>
      <c r="DD55" s="378">
        <f t="shared" si="92"/>
        <v>1.0741889386351788E-2</v>
      </c>
      <c r="DE55" s="378">
        <f t="shared" si="275"/>
        <v>2.2775540813423305E-2</v>
      </c>
      <c r="DF55" s="340">
        <f t="shared" si="93"/>
        <v>1.7983809715627075E-3</v>
      </c>
      <c r="DG55" s="378">
        <f t="shared" si="94"/>
        <v>9.9999997171806854E-10</v>
      </c>
      <c r="DH55" s="378">
        <f t="shared" si="276"/>
        <v>1.2610319658163515E-3</v>
      </c>
      <c r="DI55" s="340">
        <f>DI54+(DI58-DI48)/10</f>
        <v>0.37300000000000011</v>
      </c>
      <c r="DJ55" s="378">
        <f t="shared" ref="DJ55" si="351">DJ54+(DJ58-DJ48)/10</f>
        <v>0.28399999999999997</v>
      </c>
      <c r="DK55" s="350">
        <f t="shared" si="278"/>
        <v>0.34640714294662217</v>
      </c>
      <c r="DL55" s="340">
        <f t="shared" ref="DL55" si="352">DL54+(DL58-DL48)/10</f>
        <v>6.1999999999999993E-2</v>
      </c>
      <c r="DM55" s="378">
        <f t="shared" ref="DM55" si="353">DM54+(DM58-DM48)/10</f>
        <v>9.9999999999999995E-7</v>
      </c>
      <c r="DN55" s="396">
        <f t="shared" si="281"/>
        <v>4.3474937702782261E-2</v>
      </c>
      <c r="DO55" s="335">
        <f t="shared" si="103"/>
        <v>7.1999999999999842E-3</v>
      </c>
      <c r="DP55" s="350">
        <f t="shared" si="104"/>
        <v>6.1999999999999833E-3</v>
      </c>
      <c r="DQ55" s="349">
        <f t="shared" si="282"/>
        <v>6.9012038533328166E-3</v>
      </c>
      <c r="DR55" s="335">
        <f t="shared" si="105"/>
        <v>1.319999999999999E-2</v>
      </c>
      <c r="DS55" s="350">
        <f t="shared" si="106"/>
        <v>2.3199999999999998E-2</v>
      </c>
      <c r="DT55" s="349">
        <f t="shared" si="283"/>
        <v>1.6187961466671671E-2</v>
      </c>
      <c r="DU55" s="335">
        <f>DU54+(DU58-DU53)/5</f>
        <v>0.44239999999999996</v>
      </c>
      <c r="DV55" s="350">
        <f>DV54+(DV58-DV53)/5</f>
        <v>0.43640000000000001</v>
      </c>
      <c r="DW55" s="350">
        <f t="shared" si="284"/>
        <v>0.440607223119997</v>
      </c>
      <c r="DX55" s="335">
        <f>DX54+(DX58-DX53)/5</f>
        <v>0.88940000000000008</v>
      </c>
      <c r="DY55" s="350">
        <f>DY54+(DY58-DY53)/5</f>
        <v>0.75140000000000007</v>
      </c>
      <c r="DZ55" s="396">
        <f t="shared" si="285"/>
        <v>0.84816613175993094</v>
      </c>
      <c r="EA55" s="350">
        <f t="shared" si="286"/>
        <v>0</v>
      </c>
      <c r="EB55" s="350">
        <f t="shared" si="287"/>
        <v>0</v>
      </c>
      <c r="EC55" s="349">
        <f t="shared" si="288"/>
        <v>0</v>
      </c>
      <c r="ED55" s="335">
        <f t="shared" si="289"/>
        <v>1.7671003744662017E-2</v>
      </c>
      <c r="EE55" s="350">
        <f t="shared" si="290"/>
        <v>3.880451514006622E-3</v>
      </c>
      <c r="EF55" s="387">
        <f t="shared" si="291"/>
        <v>1.3550439877729871E-2</v>
      </c>
      <c r="EG55" s="335">
        <f t="shared" si="292"/>
        <v>1.7983809715627075E-3</v>
      </c>
      <c r="EH55" s="350">
        <f t="shared" si="293"/>
        <v>9.9999997171806854E-10</v>
      </c>
      <c r="EI55" s="387">
        <f t="shared" si="294"/>
        <v>1.2610319658163515E-3</v>
      </c>
      <c r="EJ55" s="335">
        <f t="shared" si="295"/>
        <v>5.5784434695282936E-4</v>
      </c>
      <c r="EK55" s="350">
        <f t="shared" si="296"/>
        <v>0</v>
      </c>
      <c r="EL55" s="387">
        <f t="shared" si="297"/>
        <v>3.9116260564326137E-4</v>
      </c>
      <c r="EO55" s="318">
        <v>50</v>
      </c>
      <c r="EP55" s="315" t="s">
        <v>199</v>
      </c>
      <c r="EQ55" s="308">
        <v>9.9999999999999995E-7</v>
      </c>
      <c r="ER55" s="308">
        <v>0</v>
      </c>
      <c r="ES55" s="308">
        <v>0.02</v>
      </c>
      <c r="ET55" s="320">
        <f t="shared" si="342"/>
        <v>-9.6158545020764693E-7</v>
      </c>
      <c r="EU55" s="320">
        <f t="shared" si="343"/>
        <v>-0.9615844886221967</v>
      </c>
      <c r="EV55" s="350" t="e">
        <f t="shared" ca="1" si="344"/>
        <v>#NUM!</v>
      </c>
      <c r="EW55" s="362">
        <f t="shared" si="338"/>
        <v>9.9999999999999995E-7</v>
      </c>
      <c r="EY55" s="361"/>
      <c r="EZ55" s="346" t="s">
        <v>244</v>
      </c>
      <c r="FA55" s="315" t="s">
        <v>79</v>
      </c>
      <c r="FB55" s="315" t="s">
        <v>81</v>
      </c>
      <c r="FC55" s="315" t="s">
        <v>162</v>
      </c>
      <c r="FD55" s="315" t="s">
        <v>21</v>
      </c>
      <c r="FE55" s="315" t="s">
        <v>163</v>
      </c>
      <c r="FF55" s="316" t="s">
        <v>247</v>
      </c>
    </row>
    <row r="56" spans="2:172" ht="15" customHeight="1" x14ac:dyDescent="0.2">
      <c r="B56" s="330" t="s">
        <v>207</v>
      </c>
      <c r="C56" s="263">
        <f t="shared" si="319"/>
        <v>0.31</v>
      </c>
      <c r="D56" s="332"/>
      <c r="E56" s="23">
        <v>0.31</v>
      </c>
      <c r="F56" s="23">
        <v>0.12</v>
      </c>
      <c r="G56" s="23">
        <v>0.82</v>
      </c>
      <c r="H56" s="54">
        <f t="shared" si="324"/>
        <v>0.49026732445985383</v>
      </c>
      <c r="J56" s="23">
        <f t="shared" ca="1" si="325"/>
        <v>0.23454249299002794</v>
      </c>
      <c r="K56" s="10" t="s">
        <v>267</v>
      </c>
      <c r="L56" s="10">
        <v>11</v>
      </c>
      <c r="M56" s="413" t="s">
        <v>265</v>
      </c>
      <c r="N56" s="413" t="s">
        <v>311</v>
      </c>
      <c r="Q56" s="10">
        <v>50</v>
      </c>
      <c r="R56" s="10">
        <f t="shared" si="215"/>
        <v>95</v>
      </c>
      <c r="S56" s="309">
        <f t="shared" si="242"/>
        <v>1.1891403422649311E-2</v>
      </c>
      <c r="T56" s="309">
        <f t="shared" si="243"/>
        <v>0</v>
      </c>
      <c r="U56" s="309">
        <f t="shared" si="244"/>
        <v>1.177891562838515E-6</v>
      </c>
      <c r="V56" s="235">
        <f t="shared" si="245"/>
        <v>1.4281888825215085E-3</v>
      </c>
      <c r="W56" s="235">
        <f t="shared" si="246"/>
        <v>5.6376771035320811E-3</v>
      </c>
      <c r="X56" s="309">
        <f t="shared" si="247"/>
        <v>1.3984258247494777E-7</v>
      </c>
      <c r="Y56" s="235">
        <f t="shared" si="248"/>
        <v>7.4517768963850231E-4</v>
      </c>
      <c r="Z56" s="235">
        <f t="shared" si="249"/>
        <v>1.7279563895250145E-4</v>
      </c>
      <c r="AA56" s="235">
        <f t="shared" si="250"/>
        <v>8.6052541576757385E-3</v>
      </c>
      <c r="AB56" s="235">
        <f t="shared" si="251"/>
        <v>8.2636751458243341E-5</v>
      </c>
      <c r="AC56" s="235">
        <f t="shared" si="252"/>
        <v>1.9485023377553674E-4</v>
      </c>
      <c r="AD56" s="235">
        <f t="shared" si="253"/>
        <v>0.97124069838565152</v>
      </c>
      <c r="AE56" s="235">
        <f t="shared" si="38"/>
        <v>1.0000000000000002</v>
      </c>
      <c r="AF56" s="101">
        <f t="shared" si="216"/>
        <v>0</v>
      </c>
      <c r="AG56" s="101">
        <f t="shared" si="217"/>
        <v>1.5878238738171613E-3</v>
      </c>
      <c r="AH56" s="101">
        <f t="shared" si="218"/>
        <v>1.0467682847395898</v>
      </c>
      <c r="AI56" s="101">
        <f t="shared" si="219"/>
        <v>1.785776258145469</v>
      </c>
      <c r="AJ56" s="101">
        <f t="shared" si="220"/>
        <v>5.4101480828154891</v>
      </c>
      <c r="AK56" s="101">
        <f t="shared" si="254"/>
        <v>83.999333321517156</v>
      </c>
      <c r="AL56" s="235">
        <f t="shared" si="255"/>
        <v>2.5768876438752989E-3</v>
      </c>
      <c r="AM56" s="235">
        <f t="shared" si="221"/>
        <v>2.4862959231638007E-7</v>
      </c>
      <c r="AN56" s="235">
        <f t="shared" si="222"/>
        <v>1.6926666448237315E-3</v>
      </c>
      <c r="AO56" s="235">
        <f t="shared" si="223"/>
        <v>2.6132747403033028E-5</v>
      </c>
      <c r="AP56" s="235">
        <f t="shared" si="224"/>
        <v>1.1837817620707594E-5</v>
      </c>
      <c r="AQ56" s="235">
        <f t="shared" si="225"/>
        <v>1.6219663482048817E-3</v>
      </c>
      <c r="AR56" s="101">
        <f t="shared" si="41"/>
        <v>92.243613771091518</v>
      </c>
      <c r="AS56" s="235">
        <f t="shared" si="42"/>
        <v>5.9297398315199699E-3</v>
      </c>
      <c r="AT56" s="235">
        <f t="shared" si="226"/>
        <v>6.5602003080418476E-3</v>
      </c>
      <c r="AV56" s="10">
        <v>50</v>
      </c>
      <c r="AW56" s="10">
        <f t="shared" si="43"/>
        <v>95</v>
      </c>
      <c r="AX56" s="309">
        <f t="shared" si="256"/>
        <v>1.4649546886986938E-2</v>
      </c>
      <c r="AY56" s="309">
        <f t="shared" si="257"/>
        <v>1.8889301493400372E-6</v>
      </c>
      <c r="AZ56" s="309">
        <f t="shared" si="258"/>
        <v>1.8889301493400372E-6</v>
      </c>
      <c r="BA56" s="235">
        <f t="shared" si="259"/>
        <v>2.7985682930747711E-4</v>
      </c>
      <c r="BB56" s="235">
        <f t="shared" si="260"/>
        <v>4.2920788385492601E-4</v>
      </c>
      <c r="BC56" s="309">
        <f t="shared" si="261"/>
        <v>2.7169587755641307E-8</v>
      </c>
      <c r="BD56" s="235">
        <f t="shared" si="262"/>
        <v>4.7724679451591656E-4</v>
      </c>
      <c r="BE56" s="235">
        <f t="shared" si="263"/>
        <v>1.7290850557279095E-4</v>
      </c>
      <c r="BF56" s="235">
        <f t="shared" si="264"/>
        <v>8.9804172180768752E-3</v>
      </c>
      <c r="BG56" s="235">
        <f t="shared" si="265"/>
        <v>8.7778198023475885E-5</v>
      </c>
      <c r="BH56" s="235">
        <f t="shared" si="266"/>
        <v>2.0811531021503656E-4</v>
      </c>
      <c r="BI56" s="235">
        <f t="shared" si="267"/>
        <v>0.97471111734356064</v>
      </c>
      <c r="BJ56" s="235">
        <f t="shared" si="56"/>
        <v>1.0000000000000004</v>
      </c>
      <c r="BK56" s="101">
        <f t="shared" si="227"/>
        <v>3.2112775302814687E-3</v>
      </c>
      <c r="BL56" s="101">
        <f t="shared" si="228"/>
        <v>2.5463196118557471E-3</v>
      </c>
      <c r="BM56" s="101">
        <f t="shared" si="229"/>
        <v>1.0474520126348135</v>
      </c>
      <c r="BN56" s="101">
        <f t="shared" si="230"/>
        <v>1.8968826732295043</v>
      </c>
      <c r="BO56" s="101">
        <f t="shared" si="231"/>
        <v>5.6564024170964</v>
      </c>
      <c r="BP56" s="101">
        <f t="shared" si="268"/>
        <v>87.794610696917488</v>
      </c>
      <c r="BQ56" s="235">
        <f t="shared" si="232"/>
        <v>3.1745820926019877E-3</v>
      </c>
      <c r="BR56" s="235">
        <f t="shared" si="233"/>
        <v>7.9299183527404078E-7</v>
      </c>
      <c r="BS56" s="235">
        <f t="shared" si="234"/>
        <v>2.5707575105060772E-4</v>
      </c>
      <c r="BT56" s="235">
        <f t="shared" si="235"/>
        <v>2.6149816785664094E-5</v>
      </c>
      <c r="BU56" s="235">
        <f t="shared" si="236"/>
        <v>1.2574336247974675E-5</v>
      </c>
      <c r="BV56" s="235">
        <f t="shared" si="237"/>
        <v>1.6934626194807427E-3</v>
      </c>
      <c r="BW56" s="101">
        <f t="shared" si="58"/>
        <v>96.401105397020345</v>
      </c>
      <c r="BX56" s="235">
        <f t="shared" si="59"/>
        <v>5.1646376080022507E-3</v>
      </c>
      <c r="BY56" s="235">
        <f t="shared" si="238"/>
        <v>5.7685731739062556E-3</v>
      </c>
      <c r="CA56" s="23"/>
      <c r="CB56" s="21">
        <v>5</v>
      </c>
      <c r="CC56" t="str">
        <f>$M$47</f>
        <v>boc_hr_bc_mast_1</v>
      </c>
      <c r="CD56" s="23">
        <f>$F$47</f>
        <v>0</v>
      </c>
      <c r="CE56" s="23">
        <f>$G$47</f>
        <v>0</v>
      </c>
      <c r="CF56" s="447">
        <v>-16958.590905666293</v>
      </c>
      <c r="CG56" s="447">
        <v>-16958.590905666293</v>
      </c>
      <c r="CH56" s="266">
        <f t="shared" si="151"/>
        <v>0</v>
      </c>
      <c r="CJ56" s="10">
        <v>48</v>
      </c>
      <c r="CK56" s="450">
        <v>0.32411331993193843</v>
      </c>
      <c r="CL56" s="450">
        <v>5.4919493680939922E-3</v>
      </c>
      <c r="CM56" s="450">
        <v>0.32411331993193843</v>
      </c>
      <c r="CN56" s="450">
        <v>5.4919493680939922E-3</v>
      </c>
      <c r="CO56" s="451">
        <v>0.29632935012260631</v>
      </c>
      <c r="CP56" s="451">
        <v>0.30860789636179536</v>
      </c>
      <c r="CQ56" s="451">
        <v>0.12522229182009637</v>
      </c>
      <c r="CR56" s="451">
        <v>0.13241550690759366</v>
      </c>
      <c r="CS56" s="451">
        <v>14.968320005794901</v>
      </c>
      <c r="CT56" s="451">
        <v>14.91415700779433</v>
      </c>
      <c r="CU56" s="234">
        <v>5.4162998000570894E-2</v>
      </c>
      <c r="CX56" s="402">
        <v>48</v>
      </c>
      <c r="CY56" s="200">
        <f t="shared" si="272"/>
        <v>2.653E-3</v>
      </c>
      <c r="CZ56" s="403">
        <v>2.653E-3</v>
      </c>
      <c r="DA56" s="345">
        <f t="shared" si="273"/>
        <v>2.5582541128165159E-2</v>
      </c>
      <c r="DB56" s="387">
        <f t="shared" si="274"/>
        <v>0.10538348049452495</v>
      </c>
      <c r="DC56" s="114">
        <f t="shared" si="91"/>
        <v>2.7903305955692348E-2</v>
      </c>
      <c r="DD56" s="378">
        <f t="shared" si="92"/>
        <v>1.0741889386351788E-2</v>
      </c>
      <c r="DE56" s="378">
        <f t="shared" si="275"/>
        <v>2.2775540813423305E-2</v>
      </c>
      <c r="DF56" s="340">
        <f t="shared" si="93"/>
        <v>1.7983809715627075E-3</v>
      </c>
      <c r="DG56" s="378">
        <f t="shared" si="94"/>
        <v>9.9999997171806854E-10</v>
      </c>
      <c r="DH56" s="378">
        <f t="shared" si="276"/>
        <v>1.2610319658163515E-3</v>
      </c>
      <c r="DI56" s="340">
        <f>DI55+(DI58-DI48)/10</f>
        <v>0.39200000000000013</v>
      </c>
      <c r="DJ56" s="378">
        <f t="shared" ref="DJ56" si="354">DJ55+(DJ58-DJ48)/10</f>
        <v>0.30599999999999999</v>
      </c>
      <c r="DK56" s="350">
        <f t="shared" si="278"/>
        <v>0.36630353138662369</v>
      </c>
      <c r="DL56" s="340">
        <f t="shared" ref="DL56" si="355">DL55+(DL58-DL48)/10</f>
        <v>6.7999999999999991E-2</v>
      </c>
      <c r="DM56" s="378">
        <f t="shared" ref="DM56" si="356">DM55+(DM58-DM48)/10</f>
        <v>9.9999999999999995E-7</v>
      </c>
      <c r="DN56" s="396">
        <f t="shared" si="281"/>
        <v>4.7682160822779256E-2</v>
      </c>
      <c r="DO56" s="335">
        <f t="shared" si="103"/>
        <v>7.1999999999999842E-3</v>
      </c>
      <c r="DP56" s="350">
        <f t="shared" si="104"/>
        <v>6.1999999999999833E-3</v>
      </c>
      <c r="DQ56" s="349">
        <f t="shared" si="282"/>
        <v>6.9012038533328166E-3</v>
      </c>
      <c r="DR56" s="335">
        <f t="shared" si="105"/>
        <v>1.319999999999999E-2</v>
      </c>
      <c r="DS56" s="350">
        <f t="shared" si="106"/>
        <v>2.3199999999999998E-2</v>
      </c>
      <c r="DT56" s="349">
        <f t="shared" si="283"/>
        <v>1.6187961466671671E-2</v>
      </c>
      <c r="DU56" s="335">
        <f>DU55+(DU58-DU53)/5</f>
        <v>0.44959999999999994</v>
      </c>
      <c r="DV56" s="350">
        <f>DV55+(DV58-DV53)/5</f>
        <v>0.44259999999999999</v>
      </c>
      <c r="DW56" s="350">
        <f t="shared" si="284"/>
        <v>0.44750842697332982</v>
      </c>
      <c r="DX56" s="335">
        <f>DX55+(DX58-DX53)/5</f>
        <v>0.90260000000000007</v>
      </c>
      <c r="DY56" s="350">
        <f>DY55+(DY58-DY53)/5</f>
        <v>0.77460000000000007</v>
      </c>
      <c r="DZ56" s="396">
        <f t="shared" si="285"/>
        <v>0.86435409322660262</v>
      </c>
      <c r="EA56" s="350">
        <f t="shared" si="286"/>
        <v>0</v>
      </c>
      <c r="EB56" s="350">
        <f t="shared" si="287"/>
        <v>0</v>
      </c>
      <c r="EC56" s="349">
        <f t="shared" si="288"/>
        <v>0</v>
      </c>
      <c r="ED56" s="335">
        <f t="shared" si="289"/>
        <v>1.7671003744662017E-2</v>
      </c>
      <c r="EE56" s="350">
        <f t="shared" si="290"/>
        <v>3.880451514006622E-3</v>
      </c>
      <c r="EF56" s="387">
        <f t="shared" si="291"/>
        <v>1.3550439877729871E-2</v>
      </c>
      <c r="EG56" s="335">
        <f t="shared" si="292"/>
        <v>1.7983809715627075E-3</v>
      </c>
      <c r="EH56" s="350">
        <f t="shared" si="293"/>
        <v>9.9999997171806854E-10</v>
      </c>
      <c r="EI56" s="387">
        <f t="shared" si="294"/>
        <v>1.2610319658163515E-3</v>
      </c>
      <c r="EJ56" s="335">
        <f t="shared" si="295"/>
        <v>5.5784434695282936E-4</v>
      </c>
      <c r="EK56" s="350">
        <f t="shared" si="296"/>
        <v>0</v>
      </c>
      <c r="EL56" s="387">
        <f t="shared" si="297"/>
        <v>3.9116260564326137E-4</v>
      </c>
      <c r="EO56" s="318">
        <v>60</v>
      </c>
      <c r="EP56" s="315" t="s">
        <v>200</v>
      </c>
      <c r="EQ56" s="308">
        <v>7.0000000000000007E-2</v>
      </c>
      <c r="ER56" s="308">
        <v>0.04</v>
      </c>
      <c r="ES56" s="308">
        <v>0.11</v>
      </c>
      <c r="ET56" s="320">
        <f t="shared" si="342"/>
        <v>14.220226812982139</v>
      </c>
      <c r="EU56" s="320">
        <f t="shared" si="343"/>
        <v>188.92587051533408</v>
      </c>
      <c r="EV56" s="350">
        <f t="shared" ca="1" si="344"/>
        <v>4.6601812488735211E-2</v>
      </c>
      <c r="EW56" s="362">
        <f t="shared" si="338"/>
        <v>7.0000000000000007E-2</v>
      </c>
      <c r="EY56" s="363">
        <v>0</v>
      </c>
      <c r="EZ56" s="346">
        <v>0</v>
      </c>
      <c r="FA56" s="347">
        <f t="shared" ref="FA56:FA76" si="357">EZ56*(1-owsa_boc)</f>
        <v>0</v>
      </c>
      <c r="FB56" s="347">
        <f t="shared" ref="FB56:FB76" si="358">EZ56*(1+owsa_boc)</f>
        <v>0</v>
      </c>
      <c r="FC56" s="33" t="e">
        <f t="shared" ref="FC56:FC76" si="359">EZ56^2*(1-EZ56)/((FB56-FA56)/(2*z))^2-EZ56</f>
        <v>#DIV/0!</v>
      </c>
      <c r="FD56" s="33" t="e">
        <f t="shared" ref="FD56:FD76" si="360">(EZ56^2*(1-EZ56)/((FB56-FA56)/(2*z))^2-EZ56)*(1-EZ56)/EZ56</f>
        <v>#DIV/0!</v>
      </c>
      <c r="FE56" s="308">
        <f ca="1">IFERROR(_xlfn.BETA.INV(RAND(),FC56,FD56),0)</f>
        <v>0</v>
      </c>
      <c r="FF56" s="364">
        <v>0</v>
      </c>
    </row>
    <row r="57" spans="2:172" ht="15" customHeight="1" x14ac:dyDescent="0.2">
      <c r="B57" s="330" t="s">
        <v>208</v>
      </c>
      <c r="C57" s="263">
        <f t="shared" si="319"/>
        <v>0</v>
      </c>
      <c r="D57" s="332"/>
      <c r="E57" s="23">
        <v>0</v>
      </c>
      <c r="F57" s="23">
        <f>IF(ISNUMBER(D57),D57,E57)*(1-owsa)</f>
        <v>0</v>
      </c>
      <c r="G57" s="23">
        <f>IF(ISNUMBER(D57),D57,E57)*(1+owsa)</f>
        <v>0</v>
      </c>
      <c r="H57" s="54" t="e">
        <f t="shared" si="324"/>
        <v>#NUM!</v>
      </c>
      <c r="J57" s="23">
        <f t="shared" ca="1" si="325"/>
        <v>0</v>
      </c>
      <c r="K57" s="10" t="s">
        <v>267</v>
      </c>
      <c r="L57" s="10">
        <v>12</v>
      </c>
      <c r="M57" s="413" t="s">
        <v>266</v>
      </c>
      <c r="N57" s="413" t="s">
        <v>311</v>
      </c>
      <c r="Q57" s="10">
        <v>51</v>
      </c>
      <c r="R57" s="10">
        <f t="shared" si="215"/>
        <v>96</v>
      </c>
      <c r="S57" s="309">
        <f t="shared" si="242"/>
        <v>8.9917121205936971E-3</v>
      </c>
      <c r="T57" s="309">
        <f t="shared" si="243"/>
        <v>0</v>
      </c>
      <c r="U57" s="309">
        <f t="shared" si="244"/>
        <v>0</v>
      </c>
      <c r="V57" s="235">
        <f t="shared" si="245"/>
        <v>1.0928035886934768E-3</v>
      </c>
      <c r="W57" s="235">
        <f t="shared" si="246"/>
        <v>4.3098412387617196E-3</v>
      </c>
      <c r="X57" s="309">
        <f t="shared" si="247"/>
        <v>0</v>
      </c>
      <c r="Y57" s="235">
        <f t="shared" si="248"/>
        <v>5.7323570503210579E-4</v>
      </c>
      <c r="Z57" s="235">
        <f t="shared" si="249"/>
        <v>1.3432278416042451E-4</v>
      </c>
      <c r="AA57" s="235">
        <f t="shared" si="250"/>
        <v>5.6512158434240071E-3</v>
      </c>
      <c r="AB57" s="235">
        <f t="shared" si="251"/>
        <v>6.4218208920481556E-5</v>
      </c>
      <c r="AC57" s="235">
        <f t="shared" si="252"/>
        <v>1.3428023718337921E-4</v>
      </c>
      <c r="AD57" s="235">
        <f t="shared" si="253"/>
        <v>0.97904837027323099</v>
      </c>
      <c r="AE57" s="235">
        <f t="shared" si="38"/>
        <v>1.0000000000000002</v>
      </c>
      <c r="AF57" s="101">
        <f t="shared" si="216"/>
        <v>0</v>
      </c>
      <c r="AG57" s="101">
        <f t="shared" si="217"/>
        <v>0</v>
      </c>
      <c r="AH57" s="101">
        <f t="shared" si="218"/>
        <v>0.79000572516136292</v>
      </c>
      <c r="AI57" s="101">
        <f t="shared" si="219"/>
        <v>1.3473324585116595</v>
      </c>
      <c r="AJ57" s="101">
        <f t="shared" si="220"/>
        <v>3.462812006019822</v>
      </c>
      <c r="AK57" s="101">
        <f t="shared" si="254"/>
        <v>53.728321967356322</v>
      </c>
      <c r="AL57" s="235">
        <f t="shared" si="255"/>
        <v>1.8917665382833261E-3</v>
      </c>
      <c r="AM57" s="235">
        <f t="shared" si="221"/>
        <v>0</v>
      </c>
      <c r="AN57" s="235">
        <f t="shared" si="222"/>
        <v>1.2572656549186528E-3</v>
      </c>
      <c r="AO57" s="235">
        <f t="shared" si="223"/>
        <v>1.9722626643897412E-5</v>
      </c>
      <c r="AP57" s="235">
        <f t="shared" si="224"/>
        <v>8.9313965540588821E-6</v>
      </c>
      <c r="AQ57" s="235">
        <f t="shared" si="225"/>
        <v>1.0351558198803833E-3</v>
      </c>
      <c r="AR57" s="101">
        <f t="shared" si="41"/>
        <v>59.328472157049163</v>
      </c>
      <c r="AS57" s="235">
        <f t="shared" si="42"/>
        <v>4.2128420362803187E-3</v>
      </c>
      <c r="AT57" s="235">
        <f t="shared" si="226"/>
        <v>4.6400146347665471E-3</v>
      </c>
      <c r="AV57" s="10">
        <v>51</v>
      </c>
      <c r="AW57" s="10">
        <f t="shared" si="43"/>
        <v>96</v>
      </c>
      <c r="AX57" s="309">
        <f t="shared" si="256"/>
        <v>1.1074358752281592E-2</v>
      </c>
      <c r="AY57" s="309">
        <f t="shared" si="257"/>
        <v>1.4649546886986939E-6</v>
      </c>
      <c r="AZ57" s="309">
        <f t="shared" si="258"/>
        <v>1.4649546886986939E-6</v>
      </c>
      <c r="BA57" s="235">
        <f t="shared" si="259"/>
        <v>2.1602625549221741E-4</v>
      </c>
      <c r="BB57" s="235">
        <f t="shared" si="260"/>
        <v>3.2991627962912761E-4</v>
      </c>
      <c r="BC57" s="309">
        <f t="shared" si="261"/>
        <v>0</v>
      </c>
      <c r="BD57" s="235">
        <f t="shared" si="262"/>
        <v>3.6706467904017116E-4</v>
      </c>
      <c r="BE57" s="235">
        <f t="shared" si="263"/>
        <v>1.341319346506383E-4</v>
      </c>
      <c r="BF57" s="235">
        <f t="shared" si="264"/>
        <v>5.8928145257707079E-3</v>
      </c>
      <c r="BG57" s="235">
        <f t="shared" si="265"/>
        <v>6.8110738921985228E-5</v>
      </c>
      <c r="BH57" s="235">
        <f t="shared" si="266"/>
        <v>1.4318743790385429E-4</v>
      </c>
      <c r="BI57" s="235">
        <f t="shared" si="267"/>
        <v>0.9817714594869329</v>
      </c>
      <c r="BJ57" s="235">
        <f t="shared" si="56"/>
        <v>1.0000000000000007</v>
      </c>
      <c r="BK57" s="101">
        <f t="shared" si="227"/>
        <v>2.4179588715466794E-3</v>
      </c>
      <c r="BL57" s="101">
        <f t="shared" si="228"/>
        <v>1.9172731217473593E-3</v>
      </c>
      <c r="BM57" s="101">
        <f t="shared" si="229"/>
        <v>0.78888326327734426</v>
      </c>
      <c r="BN57" s="101">
        <f t="shared" si="230"/>
        <v>1.4289998252121292</v>
      </c>
      <c r="BO57" s="101">
        <f t="shared" si="231"/>
        <v>3.6175478231525804</v>
      </c>
      <c r="BP57" s="101">
        <f t="shared" si="268"/>
        <v>56.111113877890091</v>
      </c>
      <c r="BQ57" s="235">
        <f t="shared" si="232"/>
        <v>2.329934615291946E-3</v>
      </c>
      <c r="BR57" s="235">
        <f t="shared" si="233"/>
        <v>5.9705937959993427E-7</v>
      </c>
      <c r="BS57" s="235">
        <f t="shared" si="234"/>
        <v>1.9208761065717849E-4</v>
      </c>
      <c r="BT57" s="235">
        <f t="shared" si="235"/>
        <v>1.9694604192976586E-5</v>
      </c>
      <c r="BU57" s="235">
        <f t="shared" si="236"/>
        <v>9.4727652659307671E-6</v>
      </c>
      <c r="BV57" s="235">
        <f t="shared" si="237"/>
        <v>1.0799153270850059E-3</v>
      </c>
      <c r="BW57" s="101">
        <f t="shared" si="58"/>
        <v>61.950880021525435</v>
      </c>
      <c r="BX57" s="235">
        <f t="shared" si="59"/>
        <v>3.6317019818726381E-3</v>
      </c>
      <c r="BY57" s="235">
        <f t="shared" si="238"/>
        <v>4.0369506264709672E-3</v>
      </c>
      <c r="CA57" s="23"/>
      <c r="CB57" s="21">
        <v>6</v>
      </c>
      <c r="CC57" t="str">
        <f>$M$48</f>
        <v>boc_hr_bc_mast_2</v>
      </c>
      <c r="CD57" s="23">
        <f>$F$48</f>
        <v>0</v>
      </c>
      <c r="CE57" s="23">
        <f>$G$48</f>
        <v>0</v>
      </c>
      <c r="CF57" s="447">
        <v>-16958.590905666293</v>
      </c>
      <c r="CG57" s="447">
        <v>-16958.590905666293</v>
      </c>
      <c r="CH57" s="266">
        <f t="shared" si="151"/>
        <v>0</v>
      </c>
      <c r="CJ57" s="10">
        <v>49</v>
      </c>
      <c r="CK57" s="450">
        <v>0.34045656168907634</v>
      </c>
      <c r="CL57" s="450">
        <v>6.1460258052273981E-3</v>
      </c>
      <c r="CM57" s="450">
        <v>0.34045656168907634</v>
      </c>
      <c r="CN57" s="450">
        <v>6.1460258052273981E-3</v>
      </c>
      <c r="CO57" s="451">
        <v>0.2851874367012755</v>
      </c>
      <c r="CP57" s="451">
        <v>0.29401248209371589</v>
      </c>
      <c r="CQ57" s="451">
        <v>0.12530354613290526</v>
      </c>
      <c r="CR57" s="451">
        <v>0.13175622319026839</v>
      </c>
      <c r="CS57" s="451">
        <v>14.623165271039321</v>
      </c>
      <c r="CT57" s="451">
        <v>14.586667077196319</v>
      </c>
      <c r="CU57" s="234">
        <v>3.6498193843002014E-2</v>
      </c>
      <c r="CX57" s="402">
        <v>49</v>
      </c>
      <c r="CY57" s="200">
        <f t="shared" si="272"/>
        <v>2.9329999999999998E-3</v>
      </c>
      <c r="CZ57" s="403">
        <v>2.9329999999999998E-3</v>
      </c>
      <c r="DA57" s="345">
        <f t="shared" si="273"/>
        <v>2.5582541128165159E-2</v>
      </c>
      <c r="DB57" s="387">
        <f t="shared" si="274"/>
        <v>0.10538348049452495</v>
      </c>
      <c r="DC57" s="114">
        <f t="shared" si="91"/>
        <v>2.7903305955692348E-2</v>
      </c>
      <c r="DD57" s="378">
        <f t="shared" si="92"/>
        <v>1.0741889386351788E-2</v>
      </c>
      <c r="DE57" s="378">
        <f t="shared" si="275"/>
        <v>2.2775540813423305E-2</v>
      </c>
      <c r="DF57" s="340">
        <f t="shared" si="93"/>
        <v>1.7983809715627075E-3</v>
      </c>
      <c r="DG57" s="378">
        <f t="shared" si="94"/>
        <v>9.9999997171806854E-10</v>
      </c>
      <c r="DH57" s="378">
        <f t="shared" si="276"/>
        <v>1.2610319658163515E-3</v>
      </c>
      <c r="DI57" s="340">
        <f>DI56+(DI58-DI48)/10</f>
        <v>0.41100000000000014</v>
      </c>
      <c r="DJ57" s="378">
        <f t="shared" ref="DJ57" si="361">DJ56+(DJ58-DJ48)/10</f>
        <v>0.32800000000000001</v>
      </c>
      <c r="DK57" s="350">
        <f t="shared" si="278"/>
        <v>0.38619991982662522</v>
      </c>
      <c r="DL57" s="340">
        <f t="shared" ref="DL57" si="362">DL56+(DL58-DL48)/10</f>
        <v>7.3999999999999996E-2</v>
      </c>
      <c r="DM57" s="378">
        <f t="shared" ref="DM57" si="363">DM56+(DM58-DM48)/10</f>
        <v>9.9999999999999995E-7</v>
      </c>
      <c r="DN57" s="396">
        <f t="shared" si="281"/>
        <v>5.188938394277625E-2</v>
      </c>
      <c r="DO57" s="335">
        <f t="shared" si="103"/>
        <v>7.1999999999999842E-3</v>
      </c>
      <c r="DP57" s="350">
        <f t="shared" si="104"/>
        <v>6.1999999999999833E-3</v>
      </c>
      <c r="DQ57" s="349">
        <f t="shared" si="282"/>
        <v>6.9012038533328166E-3</v>
      </c>
      <c r="DR57" s="335">
        <f t="shared" si="105"/>
        <v>1.319999999999999E-2</v>
      </c>
      <c r="DS57" s="350">
        <f t="shared" si="106"/>
        <v>2.3199999999999998E-2</v>
      </c>
      <c r="DT57" s="349">
        <f t="shared" si="283"/>
        <v>1.6187961466671671E-2</v>
      </c>
      <c r="DU57" s="335">
        <f>DU56+(DU58-DU53)/5</f>
        <v>0.45679999999999993</v>
      </c>
      <c r="DV57" s="350">
        <f>DV56+(DV58-DV53)/5</f>
        <v>0.44879999999999998</v>
      </c>
      <c r="DW57" s="350">
        <f t="shared" si="284"/>
        <v>0.45440963082666264</v>
      </c>
      <c r="DX57" s="335">
        <f>DX56+(DX58-DX53)/5</f>
        <v>0.91580000000000006</v>
      </c>
      <c r="DY57" s="350">
        <f>DY56+(DY58-DY53)/5</f>
        <v>0.79780000000000006</v>
      </c>
      <c r="DZ57" s="396">
        <f t="shared" si="285"/>
        <v>0.88054205469327429</v>
      </c>
      <c r="EA57" s="350">
        <f t="shared" si="286"/>
        <v>0</v>
      </c>
      <c r="EB57" s="350">
        <f t="shared" si="287"/>
        <v>0</v>
      </c>
      <c r="EC57" s="349">
        <f t="shared" si="288"/>
        <v>0</v>
      </c>
      <c r="ED57" s="335">
        <f t="shared" si="289"/>
        <v>1.7671003744662017E-2</v>
      </c>
      <c r="EE57" s="350">
        <f t="shared" si="290"/>
        <v>3.880451514006622E-3</v>
      </c>
      <c r="EF57" s="387">
        <f t="shared" si="291"/>
        <v>1.3550439877729871E-2</v>
      </c>
      <c r="EG57" s="335">
        <f t="shared" si="292"/>
        <v>1.7983809715627075E-3</v>
      </c>
      <c r="EH57" s="350">
        <f t="shared" si="293"/>
        <v>9.9999997171806854E-10</v>
      </c>
      <c r="EI57" s="387">
        <f t="shared" si="294"/>
        <v>1.2610319658163515E-3</v>
      </c>
      <c r="EJ57" s="335">
        <f t="shared" si="295"/>
        <v>5.5784434695282936E-4</v>
      </c>
      <c r="EK57" s="350">
        <f t="shared" si="296"/>
        <v>0</v>
      </c>
      <c r="EL57" s="387">
        <f t="shared" si="297"/>
        <v>3.9116260564326137E-4</v>
      </c>
      <c r="EO57" s="318">
        <v>70</v>
      </c>
      <c r="EP57" s="315" t="s">
        <v>201</v>
      </c>
      <c r="EQ57" s="308">
        <v>0.15</v>
      </c>
      <c r="ER57" s="308">
        <v>0.1</v>
      </c>
      <c r="ES57" s="308">
        <v>0.23</v>
      </c>
      <c r="ET57" s="320">
        <f t="shared" si="342"/>
        <v>17.238852058171627</v>
      </c>
      <c r="EU57" s="320">
        <f t="shared" si="343"/>
        <v>97.686828329639226</v>
      </c>
      <c r="EV57" s="350">
        <f t="shared" ca="1" si="344"/>
        <v>0.20092714206845452</v>
      </c>
      <c r="EW57" s="362">
        <f t="shared" si="338"/>
        <v>0.15</v>
      </c>
      <c r="EY57" s="363">
        <v>5</v>
      </c>
      <c r="EZ57" s="346">
        <v>0</v>
      </c>
      <c r="FA57" s="347">
        <f t="shared" si="357"/>
        <v>0</v>
      </c>
      <c r="FB57" s="347">
        <f t="shared" si="358"/>
        <v>0</v>
      </c>
      <c r="FC57" s="33" t="e">
        <f t="shared" si="359"/>
        <v>#DIV/0!</v>
      </c>
      <c r="FD57" s="33" t="e">
        <f t="shared" si="360"/>
        <v>#DIV/0!</v>
      </c>
      <c r="FE57" s="308">
        <f t="shared" ref="FE57:FE76" ca="1" si="364">IFERROR(_xlfn.BETA.INV(RAND(),FC57,FD57),0)</f>
        <v>0</v>
      </c>
      <c r="FF57" s="364">
        <f t="shared" ref="FF57:FF76" si="365">MIN(1,FF56+IF(psa,FE57,EZ57))</f>
        <v>0</v>
      </c>
    </row>
    <row r="58" spans="2:172" ht="15" customHeight="1" x14ac:dyDescent="0.2">
      <c r="M58" s="413"/>
      <c r="N58" s="413"/>
      <c r="Q58" s="10">
        <v>52</v>
      </c>
      <c r="R58" s="10">
        <f t="shared" si="215"/>
        <v>97</v>
      </c>
      <c r="S58" s="309">
        <f t="shared" si="242"/>
        <v>6.6155290609629146E-3</v>
      </c>
      <c r="T58" s="309">
        <f t="shared" si="243"/>
        <v>0</v>
      </c>
      <c r="U58" s="309">
        <f t="shared" si="244"/>
        <v>0</v>
      </c>
      <c r="V58" s="235">
        <f t="shared" si="245"/>
        <v>8.1386701388733499E-4</v>
      </c>
      <c r="W58" s="235">
        <f t="shared" si="246"/>
        <v>3.2058589066305322E-3</v>
      </c>
      <c r="X58" s="309">
        <f t="shared" si="247"/>
        <v>0</v>
      </c>
      <c r="Y58" s="235">
        <f t="shared" si="248"/>
        <v>4.2915678563713205E-4</v>
      </c>
      <c r="Z58" s="235">
        <f t="shared" si="249"/>
        <v>1.0179409331387782E-4</v>
      </c>
      <c r="AA58" s="235">
        <f t="shared" si="250"/>
        <v>3.7246687262477611E-3</v>
      </c>
      <c r="AB58" s="235">
        <f t="shared" si="251"/>
        <v>4.8652092298127421E-5</v>
      </c>
      <c r="AC58" s="235">
        <f t="shared" si="252"/>
        <v>9.6056463336118459E-5</v>
      </c>
      <c r="AD58" s="235">
        <f t="shared" si="253"/>
        <v>0.98496441685768643</v>
      </c>
      <c r="AE58" s="235">
        <f t="shared" si="38"/>
        <v>1.0000000000000002</v>
      </c>
      <c r="AF58" s="101">
        <f t="shared" si="216"/>
        <v>0</v>
      </c>
      <c r="AG58" s="101">
        <f t="shared" si="217"/>
        <v>0</v>
      </c>
      <c r="AH58" s="101">
        <f t="shared" si="218"/>
        <v>0.58125393678217996</v>
      </c>
      <c r="AI58" s="101">
        <f t="shared" si="219"/>
        <v>0.99101649014144744</v>
      </c>
      <c r="AJ58" s="101">
        <f t="shared" si="220"/>
        <v>2.2313404056518031</v>
      </c>
      <c r="AK58" s="101">
        <f t="shared" si="254"/>
        <v>34.579222383928759</v>
      </c>
      <c r="AL58" s="235">
        <f t="shared" si="255"/>
        <v>1.3513022571330741E-3</v>
      </c>
      <c r="AM58" s="235">
        <f t="shared" si="221"/>
        <v>0</v>
      </c>
      <c r="AN58" s="235">
        <f t="shared" si="222"/>
        <v>9.0873839222051754E-4</v>
      </c>
      <c r="AO58" s="235">
        <f t="shared" si="223"/>
        <v>1.4511102913980696E-5</v>
      </c>
      <c r="AP58" s="235">
        <f t="shared" si="224"/>
        <v>6.5693965948407051E-6</v>
      </c>
      <c r="AQ58" s="235">
        <f t="shared" si="225"/>
        <v>6.6356010260690886E-4</v>
      </c>
      <c r="AR58" s="101">
        <f t="shared" si="41"/>
        <v>38.382833216504189</v>
      </c>
      <c r="AS58" s="235">
        <f t="shared" si="42"/>
        <v>2.9446812514693221E-3</v>
      </c>
      <c r="AT58" s="235">
        <f t="shared" si="226"/>
        <v>3.2328428348847712E-3</v>
      </c>
      <c r="AV58" s="10">
        <v>52</v>
      </c>
      <c r="AW58" s="10">
        <f t="shared" si="43"/>
        <v>97</v>
      </c>
      <c r="AX58" s="309">
        <f t="shared" si="256"/>
        <v>8.1455929288856872E-3</v>
      </c>
      <c r="AY58" s="309">
        <f t="shared" si="257"/>
        <v>1.1074358752281593E-6</v>
      </c>
      <c r="AZ58" s="309">
        <f t="shared" si="258"/>
        <v>1.1074358752281593E-6</v>
      </c>
      <c r="BA58" s="235">
        <f t="shared" si="259"/>
        <v>1.6235081313368657E-4</v>
      </c>
      <c r="BB58" s="235">
        <f t="shared" si="260"/>
        <v>2.4687191631388622E-4</v>
      </c>
      <c r="BC58" s="309">
        <f t="shared" si="261"/>
        <v>0</v>
      </c>
      <c r="BD58" s="235">
        <f t="shared" si="262"/>
        <v>2.7480545331519878E-4</v>
      </c>
      <c r="BE58" s="235">
        <f t="shared" si="263"/>
        <v>1.0142358991530696E-4</v>
      </c>
      <c r="BF58" s="235">
        <f t="shared" si="264"/>
        <v>3.8800845419769735E-3</v>
      </c>
      <c r="BG58" s="235">
        <f t="shared" si="265"/>
        <v>5.1515957935803357E-5</v>
      </c>
      <c r="BH58" s="235">
        <f t="shared" si="266"/>
        <v>1.0225045068937272E-4</v>
      </c>
      <c r="BI58" s="235">
        <f t="shared" si="267"/>
        <v>0.98703288947608425</v>
      </c>
      <c r="BJ58" s="235">
        <f t="shared" si="56"/>
        <v>1.0000000000000007</v>
      </c>
      <c r="BK58" s="101">
        <f t="shared" si="227"/>
        <v>1.7746228980178346E-3</v>
      </c>
      <c r="BL58" s="101">
        <f t="shared" si="228"/>
        <v>1.4071524638591495E-3</v>
      </c>
      <c r="BM58" s="101">
        <f t="shared" si="229"/>
        <v>0.57913832720209912</v>
      </c>
      <c r="BN58" s="101">
        <f t="shared" si="230"/>
        <v>1.0493518656294107</v>
      </c>
      <c r="BO58" s="101">
        <f t="shared" si="231"/>
        <v>2.3289326019423284</v>
      </c>
      <c r="BP58" s="101">
        <f t="shared" si="268"/>
        <v>36.079595254052585</v>
      </c>
      <c r="BQ58" s="235">
        <f t="shared" si="232"/>
        <v>1.66383640810253E-3</v>
      </c>
      <c r="BR58" s="235">
        <f t="shared" si="233"/>
        <v>4.3818355930397298E-7</v>
      </c>
      <c r="BS58" s="235">
        <f t="shared" si="234"/>
        <v>1.3972107427722926E-4</v>
      </c>
      <c r="BT58" s="235">
        <f t="shared" si="235"/>
        <v>1.4458286362728912E-5</v>
      </c>
      <c r="BU58" s="235">
        <f t="shared" si="236"/>
        <v>6.9560987545945567E-6</v>
      </c>
      <c r="BV58" s="235">
        <f t="shared" si="237"/>
        <v>6.9158626462654301E-4</v>
      </c>
      <c r="BW58" s="101">
        <f t="shared" si="58"/>
        <v>40.040199824188299</v>
      </c>
      <c r="BX58" s="235">
        <f t="shared" si="59"/>
        <v>2.51699631568293E-3</v>
      </c>
      <c r="BY58" s="235">
        <f t="shared" si="238"/>
        <v>2.7880947449538608E-3</v>
      </c>
      <c r="CA58" s="23"/>
      <c r="CB58" s="21">
        <v>12</v>
      </c>
      <c r="CC58" t="str">
        <f>$M$57</f>
        <v>boc_hr_oc_ooph_2</v>
      </c>
      <c r="CD58" s="23">
        <f>$F$57</f>
        <v>0</v>
      </c>
      <c r="CE58" s="23">
        <f>$G$57</f>
        <v>0</v>
      </c>
      <c r="CF58" s="447">
        <v>-16958.590905666293</v>
      </c>
      <c r="CG58" s="447">
        <v>-16958.590905666293</v>
      </c>
      <c r="CH58" s="266">
        <f t="shared" si="151"/>
        <v>0</v>
      </c>
      <c r="CJ58" s="10">
        <v>50</v>
      </c>
      <c r="CK58" s="450">
        <v>0.35680817710122287</v>
      </c>
      <c r="CL58" s="450">
        <v>6.8084758973695481E-3</v>
      </c>
      <c r="CM58" s="450">
        <v>0.35680817710122287</v>
      </c>
      <c r="CN58" s="450">
        <v>6.8084758973695481E-3</v>
      </c>
      <c r="CO58" s="451">
        <v>0.27343748225637415</v>
      </c>
      <c r="CP58" s="451">
        <v>0.27895184142092955</v>
      </c>
      <c r="CQ58" s="451">
        <v>0.12411808012882736</v>
      </c>
      <c r="CR58" s="451">
        <v>0.12984227586017236</v>
      </c>
      <c r="CS58" s="451">
        <v>14.319307311517328</v>
      </c>
      <c r="CT58" s="451">
        <v>14.300016254516871</v>
      </c>
      <c r="CU58" s="234">
        <v>1.9291057000456746E-2</v>
      </c>
      <c r="CX58" s="402">
        <v>50</v>
      </c>
      <c r="CY58" s="200">
        <f t="shared" si="272"/>
        <v>3.215E-3</v>
      </c>
      <c r="CZ58" s="403">
        <v>3.215E-3</v>
      </c>
      <c r="DA58" s="345">
        <f t="shared" si="273"/>
        <v>2.7951665155049654E-2</v>
      </c>
      <c r="DB58" s="387">
        <f t="shared" si="274"/>
        <v>0.1075585826254557</v>
      </c>
      <c r="DC58" s="114">
        <f t="shared" si="91"/>
        <v>2.7903305955692348E-2</v>
      </c>
      <c r="DD58" s="378">
        <f t="shared" si="92"/>
        <v>2.7125317446546005E-2</v>
      </c>
      <c r="DE58" s="378">
        <f t="shared" si="275"/>
        <v>2.7670845987008086E-2</v>
      </c>
      <c r="DF58" s="340">
        <f t="shared" si="93"/>
        <v>6.9755570667648925E-3</v>
      </c>
      <c r="DG58" s="378">
        <f t="shared" si="94"/>
        <v>9.9999997171806854E-10</v>
      </c>
      <c r="DH58" s="378">
        <f t="shared" si="276"/>
        <v>4.8912877931547496E-3</v>
      </c>
      <c r="DI58" s="340">
        <f>VLOOKUP($CX58,$EO$8:$EW$18,9,FALSE)</f>
        <v>0.43</v>
      </c>
      <c r="DJ58" s="378">
        <f>VLOOKUP($CX58,$EO$22:$EW$32,9,FALSE)</f>
        <v>0.35</v>
      </c>
      <c r="DK58" s="350">
        <f t="shared" si="278"/>
        <v>0.40609630826662657</v>
      </c>
      <c r="DL58" s="340">
        <f>VLOOKUP($CX58,$EO$36:$EW$46,9,FALSE)</f>
        <v>0.08</v>
      </c>
      <c r="DM58" s="378">
        <f>VLOOKUP($CX58,$EO$50:$EW$60,9,FALSE)</f>
        <v>9.9999999999999995E-7</v>
      </c>
      <c r="DN58" s="396">
        <f t="shared" si="281"/>
        <v>5.6096607062773252E-2</v>
      </c>
      <c r="DO58" s="335">
        <f t="shared" si="103"/>
        <v>7.2000000000000397E-3</v>
      </c>
      <c r="DP58" s="350">
        <f t="shared" si="104"/>
        <v>6.2000000000000943E-3</v>
      </c>
      <c r="DQ58" s="349">
        <f t="shared" si="282"/>
        <v>6.9012038533328886E-3</v>
      </c>
      <c r="DR58" s="335">
        <f t="shared" si="105"/>
        <v>1.319999999999999E-2</v>
      </c>
      <c r="DS58" s="350">
        <f t="shared" si="106"/>
        <v>2.3199999999999998E-2</v>
      </c>
      <c r="DT58" s="349">
        <f t="shared" si="283"/>
        <v>1.6187961466671671E-2</v>
      </c>
      <c r="DU58" s="335">
        <f>VLOOKUP($CX58,$EY$8:$FF$28,8,FALSE)</f>
        <v>0.46399999999999997</v>
      </c>
      <c r="DV58" s="350">
        <f>VLOOKUP($CX58,$EY$32:$FF$52,8,FALSE)</f>
        <v>0.45500000000000007</v>
      </c>
      <c r="DW58" s="350">
        <f t="shared" si="284"/>
        <v>0.46131083467999556</v>
      </c>
      <c r="DX58" s="335">
        <f>VLOOKUP($CX58,$EY$56:$FF$76,8,FALSE)</f>
        <v>0.92900000000000005</v>
      </c>
      <c r="DY58" s="350">
        <f>VLOOKUP($CX58,$EY$80:$FF$100,8,FALSE)</f>
        <v>0.82100000000000006</v>
      </c>
      <c r="DZ58" s="396">
        <f t="shared" si="285"/>
        <v>0.89673001615994596</v>
      </c>
      <c r="EA58" s="350">
        <f t="shared" si="286"/>
        <v>0</v>
      </c>
      <c r="EB58" s="350">
        <f t="shared" si="287"/>
        <v>0</v>
      </c>
      <c r="EC58" s="349">
        <f t="shared" si="288"/>
        <v>0</v>
      </c>
      <c r="ED58" s="335">
        <f t="shared" si="289"/>
        <v>1.7671003744662017E-2</v>
      </c>
      <c r="EE58" s="350">
        <f t="shared" si="290"/>
        <v>9.8511563170428085E-3</v>
      </c>
      <c r="EF58" s="387">
        <f t="shared" si="291"/>
        <v>1.5334463465764234E-2</v>
      </c>
      <c r="EG58" s="335">
        <f t="shared" si="292"/>
        <v>6.9755570667648925E-3</v>
      </c>
      <c r="EH58" s="350">
        <f t="shared" si="293"/>
        <v>9.9999997171806854E-10</v>
      </c>
      <c r="EI58" s="387">
        <f t="shared" si="294"/>
        <v>4.8912877931547496E-3</v>
      </c>
      <c r="EJ58" s="335">
        <f t="shared" si="295"/>
        <v>2.1676472521287016E-3</v>
      </c>
      <c r="EK58" s="350">
        <f t="shared" si="296"/>
        <v>0</v>
      </c>
      <c r="EL58" s="387">
        <f t="shared" si="297"/>
        <v>1.519962605858971E-3</v>
      </c>
      <c r="EO58" s="318">
        <v>80</v>
      </c>
      <c r="EP58" s="315" t="s">
        <v>202</v>
      </c>
      <c r="EQ58" s="308">
        <v>0.17</v>
      </c>
      <c r="ER58" s="308">
        <v>0.11</v>
      </c>
      <c r="ES58" s="308">
        <v>0.25</v>
      </c>
      <c r="ET58" s="320">
        <f t="shared" si="342"/>
        <v>18.635116884079579</v>
      </c>
      <c r="EU58" s="320">
        <f t="shared" si="343"/>
        <v>90.983217728153235</v>
      </c>
      <c r="EV58" s="350">
        <f t="shared" ca="1" si="344"/>
        <v>0.16227686735118366</v>
      </c>
      <c r="EW58" s="362">
        <f t="shared" si="338"/>
        <v>0.17</v>
      </c>
      <c r="EY58" s="363">
        <v>10</v>
      </c>
      <c r="EZ58" s="346">
        <v>0</v>
      </c>
      <c r="FA58" s="347">
        <f t="shared" si="357"/>
        <v>0</v>
      </c>
      <c r="FB58" s="347">
        <f t="shared" si="358"/>
        <v>0</v>
      </c>
      <c r="FC58" s="33" t="e">
        <f t="shared" si="359"/>
        <v>#DIV/0!</v>
      </c>
      <c r="FD58" s="33" t="e">
        <f t="shared" si="360"/>
        <v>#DIV/0!</v>
      </c>
      <c r="FE58" s="308">
        <f t="shared" ca="1" si="364"/>
        <v>0</v>
      </c>
      <c r="FF58" s="364">
        <f t="shared" si="365"/>
        <v>0</v>
      </c>
    </row>
    <row r="59" spans="2:172" ht="15" customHeight="1" x14ac:dyDescent="0.25">
      <c r="B59" s="386" t="s">
        <v>361</v>
      </c>
      <c r="M59" s="413"/>
      <c r="N59" s="413"/>
      <c r="Q59" s="10">
        <v>53</v>
      </c>
      <c r="R59" s="10">
        <f t="shared" si="215"/>
        <v>98</v>
      </c>
      <c r="S59" s="309">
        <f t="shared" si="242"/>
        <v>4.7277104819661367E-3</v>
      </c>
      <c r="T59" s="309">
        <f t="shared" si="243"/>
        <v>0</v>
      </c>
      <c r="U59" s="309">
        <f t="shared" si="244"/>
        <v>0</v>
      </c>
      <c r="V59" s="235">
        <f t="shared" si="245"/>
        <v>5.8895764015033105E-4</v>
      </c>
      <c r="W59" s="235">
        <f t="shared" si="246"/>
        <v>2.3170286638991688E-3</v>
      </c>
      <c r="X59" s="309">
        <f t="shared" si="247"/>
        <v>0</v>
      </c>
      <c r="Y59" s="235">
        <f t="shared" si="248"/>
        <v>3.1223677879735909E-4</v>
      </c>
      <c r="Z59" s="235">
        <f t="shared" si="249"/>
        <v>7.5061750997931288E-5</v>
      </c>
      <c r="AA59" s="235">
        <f t="shared" si="250"/>
        <v>2.4634363909037909E-3</v>
      </c>
      <c r="AB59" s="235">
        <f t="shared" si="251"/>
        <v>3.5865915945461204E-5</v>
      </c>
      <c r="AC59" s="235">
        <f t="shared" si="252"/>
        <v>7.0026704699897594E-5</v>
      </c>
      <c r="AD59" s="235">
        <f t="shared" si="253"/>
        <v>0.98940967567264004</v>
      </c>
      <c r="AE59" s="235">
        <f t="shared" si="38"/>
        <v>1.0000000000000002</v>
      </c>
      <c r="AF59" s="101">
        <f t="shared" si="216"/>
        <v>0</v>
      </c>
      <c r="AG59" s="101">
        <f t="shared" si="217"/>
        <v>0</v>
      </c>
      <c r="AH59" s="101">
        <f t="shared" si="218"/>
        <v>0.41612594590975616</v>
      </c>
      <c r="AI59" s="101">
        <f t="shared" si="219"/>
        <v>0.70929036545303004</v>
      </c>
      <c r="AJ59" s="101">
        <f t="shared" si="220"/>
        <v>1.4457363375275494</v>
      </c>
      <c r="AK59" s="101">
        <f t="shared" si="254"/>
        <v>22.369985674722717</v>
      </c>
      <c r="AL59" s="235">
        <f t="shared" si="255"/>
        <v>9.3756539421655243E-4</v>
      </c>
      <c r="AM59" s="235">
        <f t="shared" si="221"/>
        <v>0</v>
      </c>
      <c r="AN59" s="235">
        <f t="shared" si="222"/>
        <v>6.3821475635100777E-4</v>
      </c>
      <c r="AO59" s="235">
        <f t="shared" si="223"/>
        <v>1.0388654672522061E-5</v>
      </c>
      <c r="AP59" s="235">
        <f t="shared" si="224"/>
        <v>4.7018488167592342E-6</v>
      </c>
      <c r="AQ59" s="235">
        <f t="shared" si="225"/>
        <v>4.2706191083323794E-4</v>
      </c>
      <c r="AR59" s="101">
        <f t="shared" si="41"/>
        <v>24.941138323613053</v>
      </c>
      <c r="AS59" s="235">
        <f t="shared" si="42"/>
        <v>2.0179325648900797E-3</v>
      </c>
      <c r="AT59" s="235">
        <f t="shared" si="226"/>
        <v>2.2107332905112608E-3</v>
      </c>
      <c r="AV59" s="10">
        <v>53</v>
      </c>
      <c r="AW59" s="10">
        <f t="shared" si="43"/>
        <v>98</v>
      </c>
      <c r="AX59" s="309">
        <f t="shared" si="256"/>
        <v>5.819523614150739E-3</v>
      </c>
      <c r="AY59" s="309">
        <f t="shared" si="257"/>
        <v>8.1455929288856873E-7</v>
      </c>
      <c r="AZ59" s="309">
        <f t="shared" si="258"/>
        <v>8.1455929288856873E-7</v>
      </c>
      <c r="BA59" s="235">
        <f t="shared" si="259"/>
        <v>1.1859315546840477E-4</v>
      </c>
      <c r="BB59" s="235">
        <f t="shared" si="260"/>
        <v>1.7953366206625932E-4</v>
      </c>
      <c r="BC59" s="309">
        <f t="shared" si="261"/>
        <v>0</v>
      </c>
      <c r="BD59" s="235">
        <f t="shared" si="262"/>
        <v>1.999371148511595E-4</v>
      </c>
      <c r="BE59" s="235">
        <f t="shared" si="263"/>
        <v>7.4620968485638122E-5</v>
      </c>
      <c r="BF59" s="235">
        <f t="shared" si="264"/>
        <v>2.563252927126689E-3</v>
      </c>
      <c r="BG59" s="235">
        <f t="shared" si="265"/>
        <v>3.7913079980430042E-5</v>
      </c>
      <c r="BH59" s="235">
        <f t="shared" si="266"/>
        <v>7.4409939636013879E-5</v>
      </c>
      <c r="BI59" s="235">
        <f t="shared" si="267"/>
        <v>0.99093058641964948</v>
      </c>
      <c r="BJ59" s="235">
        <f t="shared" si="56"/>
        <v>1.0000000000000007</v>
      </c>
      <c r="BK59" s="101">
        <f t="shared" si="227"/>
        <v>1.2672811369878374E-3</v>
      </c>
      <c r="BL59" s="101">
        <f t="shared" si="228"/>
        <v>1.0048657527785029E-3</v>
      </c>
      <c r="BM59" s="101">
        <f t="shared" si="229"/>
        <v>0.4136823439762824</v>
      </c>
      <c r="BN59" s="101">
        <f t="shared" si="230"/>
        <v>0.74977542454683233</v>
      </c>
      <c r="BO59" s="101">
        <f t="shared" si="231"/>
        <v>1.5073971543489337</v>
      </c>
      <c r="BP59" s="101">
        <f t="shared" si="268"/>
        <v>23.315889777085598</v>
      </c>
      <c r="BQ59" s="235">
        <f t="shared" si="232"/>
        <v>1.1540858883525968E-3</v>
      </c>
      <c r="BR59" s="235">
        <f t="shared" si="233"/>
        <v>3.1290166273070112E-7</v>
      </c>
      <c r="BS59" s="235">
        <f t="shared" si="234"/>
        <v>9.8772441521876103E-5</v>
      </c>
      <c r="BT59" s="235">
        <f t="shared" si="235"/>
        <v>1.0327649736652304E-5</v>
      </c>
      <c r="BU59" s="235">
        <f t="shared" si="236"/>
        <v>4.9702221606929867E-6</v>
      </c>
      <c r="BV59" s="235">
        <f t="shared" si="237"/>
        <v>4.4459846410161628E-4</v>
      </c>
      <c r="BW59" s="101">
        <f t="shared" si="58"/>
        <v>25.989016846847413</v>
      </c>
      <c r="BX59" s="235">
        <f t="shared" si="59"/>
        <v>1.7130675675361654E-3</v>
      </c>
      <c r="BY59" s="235">
        <f t="shared" si="238"/>
        <v>1.8932427287139697E-3</v>
      </c>
      <c r="CA59" s="23"/>
      <c r="CJ59" s="10">
        <v>51</v>
      </c>
      <c r="CK59" s="450">
        <v>0.36309272258308573</v>
      </c>
      <c r="CL59" s="450">
        <v>9.1050300329460591E-3</v>
      </c>
      <c r="CM59" s="450">
        <v>0.36309272258308573</v>
      </c>
      <c r="CN59" s="450">
        <v>9.1050300329460591E-3</v>
      </c>
      <c r="CO59" s="451">
        <v>0.26351203869005468</v>
      </c>
      <c r="CP59" s="451">
        <v>0.26837839706344552</v>
      </c>
      <c r="CQ59" s="451">
        <v>0.12413266648397275</v>
      </c>
      <c r="CR59" s="451">
        <v>0.12944937109815208</v>
      </c>
      <c r="CS59" s="451">
        <v>14.038663362865973</v>
      </c>
      <c r="CT59" s="451">
        <v>14.023307056675176</v>
      </c>
      <c r="CU59" s="234">
        <v>1.5356306190797753E-2</v>
      </c>
      <c r="CX59" s="402">
        <v>51</v>
      </c>
      <c r="CY59" s="200">
        <f t="shared" si="272"/>
        <v>3.4940000000000001E-3</v>
      </c>
      <c r="CZ59" s="403">
        <v>3.4940000000000001E-3</v>
      </c>
      <c r="DA59" s="345">
        <f t="shared" si="273"/>
        <v>2.7951665155049654E-2</v>
      </c>
      <c r="DB59" s="387">
        <f t="shared" si="274"/>
        <v>0.1075585826254557</v>
      </c>
      <c r="DC59" s="114">
        <f t="shared" si="91"/>
        <v>2.537256601490423E-2</v>
      </c>
      <c r="DD59" s="378">
        <f t="shared" si="92"/>
        <v>2.7125317446546005E-2</v>
      </c>
      <c r="DE59" s="378">
        <f t="shared" si="275"/>
        <v>2.5896281388744155E-2</v>
      </c>
      <c r="DF59" s="340">
        <f t="shared" si="93"/>
        <v>6.9755570667648925E-3</v>
      </c>
      <c r="DG59" s="378">
        <f t="shared" si="94"/>
        <v>9.9999997171806854E-10</v>
      </c>
      <c r="DH59" s="378">
        <f t="shared" si="276"/>
        <v>4.8912877931547496E-3</v>
      </c>
      <c r="DI59" s="340">
        <f>DI58+(DI68-DI58)/10</f>
        <v>0.443</v>
      </c>
      <c r="DJ59" s="378">
        <f t="shared" ref="DJ59" si="366">DJ58+(DJ68-DJ58)/10</f>
        <v>0.36799999999999999</v>
      </c>
      <c r="DK59" s="350">
        <f t="shared" si="278"/>
        <v>0.42059028899996243</v>
      </c>
      <c r="DL59" s="340">
        <f t="shared" ref="DL59" si="367">DL58+(DL68-DL58)/10</f>
        <v>9.1999999999999998E-2</v>
      </c>
      <c r="DM59" s="378">
        <f t="shared" ref="DM59" si="368">DM58+(DM68-DM58)/10</f>
        <v>7.0009000000000009E-3</v>
      </c>
      <c r="DN59" s="396">
        <f t="shared" si="281"/>
        <v>6.6602596449822749E-2</v>
      </c>
      <c r="DO59" s="335">
        <f t="shared" si="103"/>
        <v>0</v>
      </c>
      <c r="DP59" s="350">
        <f t="shared" si="104"/>
        <v>2.0000000000000018E-3</v>
      </c>
      <c r="DQ59" s="349">
        <f t="shared" si="282"/>
        <v>5.9759229333433608E-4</v>
      </c>
      <c r="DR59" s="335">
        <f t="shared" si="105"/>
        <v>4.3999999999999595E-3</v>
      </c>
      <c r="DS59" s="350">
        <f t="shared" si="106"/>
        <v>1.3599999999999945E-2</v>
      </c>
      <c r="DT59" s="349">
        <f t="shared" si="283"/>
        <v>7.148924549337899E-3</v>
      </c>
      <c r="DU59" s="335">
        <f>DU58+(DU63-DU58)/5</f>
        <v>0.46399999999999997</v>
      </c>
      <c r="DV59" s="350">
        <f>DV58+(DV63-DV58)/5</f>
        <v>0.45700000000000007</v>
      </c>
      <c r="DW59" s="350">
        <f t="shared" si="284"/>
        <v>0.4619084269733299</v>
      </c>
      <c r="DX59" s="335">
        <f>DX58+(DX63-DX58)/5</f>
        <v>0.93340000000000001</v>
      </c>
      <c r="DY59" s="350">
        <f>DY58+(DY63-DY58)/5</f>
        <v>0.83460000000000001</v>
      </c>
      <c r="DZ59" s="396">
        <f t="shared" si="285"/>
        <v>0.90387894070928398</v>
      </c>
      <c r="EA59" s="350">
        <f t="shared" si="286"/>
        <v>0</v>
      </c>
      <c r="EB59" s="350">
        <f t="shared" si="287"/>
        <v>0</v>
      </c>
      <c r="EC59" s="349">
        <f t="shared" si="288"/>
        <v>0</v>
      </c>
      <c r="ED59" s="335">
        <f t="shared" si="289"/>
        <v>1.6060630313013968E-2</v>
      </c>
      <c r="EE59" s="350">
        <f t="shared" si="290"/>
        <v>9.8511563170428085E-3</v>
      </c>
      <c r="EF59" s="387">
        <f t="shared" si="291"/>
        <v>1.4205263410187807E-2</v>
      </c>
      <c r="EG59" s="335">
        <f t="shared" si="292"/>
        <v>6.9755570667648925E-3</v>
      </c>
      <c r="EH59" s="350">
        <f t="shared" si="293"/>
        <v>9.9999997171806854E-10</v>
      </c>
      <c r="EI59" s="387">
        <f t="shared" si="294"/>
        <v>4.8912877931547496E-3</v>
      </c>
      <c r="EJ59" s="335">
        <f t="shared" si="295"/>
        <v>2.1676472521287016E-3</v>
      </c>
      <c r="EK59" s="350">
        <f t="shared" si="296"/>
        <v>0</v>
      </c>
      <c r="EL59" s="387">
        <f t="shared" si="297"/>
        <v>1.519962605858971E-3</v>
      </c>
      <c r="EO59" s="318">
        <v>90</v>
      </c>
      <c r="EP59" s="315"/>
      <c r="EQ59" s="308">
        <v>0.17</v>
      </c>
      <c r="ER59" s="308">
        <v>0.11</v>
      </c>
      <c r="ES59" s="308">
        <v>0.25</v>
      </c>
      <c r="ET59" s="320">
        <f t="shared" ref="ET59:ET60" si="369">EQ59^2*(1-EQ59)/((ES59-ER59)/(2*z))^2-EQ59</f>
        <v>18.635116884079579</v>
      </c>
      <c r="EU59" s="320">
        <f t="shared" ref="EU59:EU60" si="370">(EQ59^2*(1-EQ59)/((ES59-ER59)/(2*z))^2-EQ59)*(1-EQ59)/EQ59</f>
        <v>90.983217728153235</v>
      </c>
      <c r="EV59" s="350">
        <f t="shared" ref="EV59:EV60" ca="1" si="371">_xlfn.BETA.INV(RAND(),ET59,EU59)</f>
        <v>0.19331896725495679</v>
      </c>
      <c r="EW59" s="362">
        <f t="shared" si="338"/>
        <v>0.17</v>
      </c>
      <c r="EY59" s="363">
        <v>15</v>
      </c>
      <c r="EZ59" s="346">
        <v>0</v>
      </c>
      <c r="FA59" s="347">
        <f t="shared" si="357"/>
        <v>0</v>
      </c>
      <c r="FB59" s="347">
        <f t="shared" si="358"/>
        <v>0</v>
      </c>
      <c r="FC59" s="33" t="e">
        <f t="shared" si="359"/>
        <v>#DIV/0!</v>
      </c>
      <c r="FD59" s="33" t="e">
        <f t="shared" si="360"/>
        <v>#DIV/0!</v>
      </c>
      <c r="FE59" s="308">
        <f t="shared" ca="1" si="364"/>
        <v>0</v>
      </c>
      <c r="FF59" s="364">
        <f t="shared" si="365"/>
        <v>0</v>
      </c>
    </row>
    <row r="60" spans="2:172" ht="15" customHeight="1" x14ac:dyDescent="0.2">
      <c r="B60" s="15" t="s">
        <v>211</v>
      </c>
      <c r="C60" s="391">
        <f t="shared" ref="C60" si="372">IF(psa,J60,IF(owsa_low=L60,F60,IF(owsa_high=L60,G60,IF(ISNUMBER(D60),D60,E60))))</f>
        <v>1E-4</v>
      </c>
      <c r="D60" s="392"/>
      <c r="E60" s="391">
        <v>1E-4</v>
      </c>
      <c r="F60" s="391">
        <f t="shared" ref="F60" si="373">IF(ISNUMBER(D60),D60,E60)*(1-owsa_boc)</f>
        <v>8.0000000000000007E-5</v>
      </c>
      <c r="G60" s="391">
        <f t="shared" ref="G60" si="374">MIN(1,IF(ISNUMBER(D60),D60,E60)*(1+owsa_boc))</f>
        <v>1.2E-4</v>
      </c>
      <c r="H60" s="33">
        <f t="shared" ref="H60:H61" si="375">IF(ISNUMBER(D60),D60,E60)^2*(1-IF(ISNUMBER(D60),D60,E60))/((G60-F60)/(2*z))^2-IF(ISNUMBER(D60),D60,E60)</f>
        <v>96.026766870301373</v>
      </c>
      <c r="I60" s="33">
        <f t="shared" ref="I60:I61" si="376">(IF(ISNUMBER(D60),D60,E60)^2*(1-IF(ISNUMBER(D60),D60,E60))/((G60-F60)/(2*z))^2-IF(ISNUMBER(D60),D60,E60))*(1-IF(ISNUMBER(D60),D60,E60))/IF(ISNUMBER(D60),D60,E60)</f>
        <v>960171.64193614339</v>
      </c>
      <c r="J60" s="23">
        <f t="shared" ref="J60:J61" ca="1" si="377">_xlfn.BETA.INV(RAND(),H60,I60)</f>
        <v>1.0415758644188866E-4</v>
      </c>
      <c r="K60" s="10" t="s">
        <v>49</v>
      </c>
      <c r="L60" s="25">
        <v>13</v>
      </c>
      <c r="M60" s="229" t="s">
        <v>276</v>
      </c>
      <c r="N60" s="415" t="s">
        <v>310</v>
      </c>
      <c r="Q60" s="10">
        <v>54</v>
      </c>
      <c r="R60" s="10">
        <f t="shared" si="215"/>
        <v>99</v>
      </c>
      <c r="S60" s="309">
        <f t="shared" si="242"/>
        <v>3.2763851821502039E-3</v>
      </c>
      <c r="T60" s="309">
        <f t="shared" si="243"/>
        <v>0</v>
      </c>
      <c r="U60" s="309">
        <f t="shared" si="244"/>
        <v>0</v>
      </c>
      <c r="V60" s="235">
        <f t="shared" si="245"/>
        <v>4.1346735169387052E-4</v>
      </c>
      <c r="W60" s="235">
        <f t="shared" si="246"/>
        <v>1.624531754159293E-3</v>
      </c>
      <c r="X60" s="309">
        <f t="shared" si="247"/>
        <v>0</v>
      </c>
      <c r="Y60" s="235">
        <f t="shared" si="248"/>
        <v>2.2041973220918241E-4</v>
      </c>
      <c r="Z60" s="235">
        <f t="shared" si="249"/>
        <v>5.3767073476763589E-5</v>
      </c>
      <c r="AA60" s="235">
        <f t="shared" si="250"/>
        <v>1.6342583205130302E-3</v>
      </c>
      <c r="AB60" s="235">
        <f t="shared" si="251"/>
        <v>2.5683888064262317E-5</v>
      </c>
      <c r="AC60" s="235">
        <f t="shared" si="252"/>
        <v>5.1243074352653941E-5</v>
      </c>
      <c r="AD60" s="235">
        <f t="shared" si="253"/>
        <v>0.99270024362338094</v>
      </c>
      <c r="AE60" s="235">
        <f t="shared" si="38"/>
        <v>1.0000000000000002</v>
      </c>
      <c r="AF60" s="101">
        <f t="shared" si="216"/>
        <v>0</v>
      </c>
      <c r="AG60" s="101">
        <f t="shared" si="217"/>
        <v>0</v>
      </c>
      <c r="AH60" s="101">
        <f t="shared" si="218"/>
        <v>0.28939117164875777</v>
      </c>
      <c r="AI60" s="101">
        <f t="shared" si="219"/>
        <v>0.4931348304850659</v>
      </c>
      <c r="AJ60" s="101">
        <f t="shared" si="220"/>
        <v>0.94043703990560279</v>
      </c>
      <c r="AK60" s="101">
        <f t="shared" si="254"/>
        <v>14.526863835292048</v>
      </c>
      <c r="AL60" s="235">
        <f t="shared" si="255"/>
        <v>6.3082431434576599E-4</v>
      </c>
      <c r="AM60" s="235">
        <f t="shared" si="221"/>
        <v>0</v>
      </c>
      <c r="AN60" s="235">
        <f t="shared" si="222"/>
        <v>4.34828457529304E-4</v>
      </c>
      <c r="AO60" s="235">
        <f t="shared" si="223"/>
        <v>7.2246995821488271E-6</v>
      </c>
      <c r="AP60" s="235">
        <f t="shared" si="224"/>
        <v>3.2689650559937233E-6</v>
      </c>
      <c r="AQ60" s="235">
        <f t="shared" si="225"/>
        <v>2.7576202377184E-4</v>
      </c>
      <c r="AR60" s="101">
        <f t="shared" si="41"/>
        <v>16.249826877331476</v>
      </c>
      <c r="AS60" s="235">
        <f t="shared" si="42"/>
        <v>1.3519084602850524E-3</v>
      </c>
      <c r="AT60" s="235">
        <f t="shared" si="226"/>
        <v>1.4794429821009176E-3</v>
      </c>
      <c r="AV60" s="10">
        <v>54</v>
      </c>
      <c r="AW60" s="10">
        <f t="shared" si="43"/>
        <v>99</v>
      </c>
      <c r="AX60" s="309">
        <f t="shared" si="256"/>
        <v>4.0318666730394517E-3</v>
      </c>
      <c r="AY60" s="309">
        <f t="shared" si="257"/>
        <v>5.8195236141507397E-7</v>
      </c>
      <c r="AZ60" s="309">
        <f t="shared" si="258"/>
        <v>5.8195236141507397E-7</v>
      </c>
      <c r="BA60" s="235">
        <f t="shared" si="259"/>
        <v>8.4070798074381889E-5</v>
      </c>
      <c r="BB60" s="235">
        <f t="shared" si="260"/>
        <v>1.266904880249615E-4</v>
      </c>
      <c r="BC60" s="309">
        <f t="shared" si="261"/>
        <v>0</v>
      </c>
      <c r="BD60" s="235">
        <f t="shared" si="262"/>
        <v>1.4114315899591863E-4</v>
      </c>
      <c r="BE60" s="235">
        <f t="shared" si="263"/>
        <v>5.3327274530246964E-5</v>
      </c>
      <c r="BF60" s="235">
        <f t="shared" si="264"/>
        <v>1.6982353822559801E-3</v>
      </c>
      <c r="BG60" s="235">
        <f t="shared" si="265"/>
        <v>2.7102525316221027E-5</v>
      </c>
      <c r="BH60" s="235">
        <f t="shared" si="266"/>
        <v>5.4354843714714638E-5</v>
      </c>
      <c r="BI60" s="235">
        <f t="shared" si="267"/>
        <v>0.99378204495132594</v>
      </c>
      <c r="BJ60" s="235">
        <f t="shared" si="56"/>
        <v>1.0000000000000007</v>
      </c>
      <c r="BK60" s="101">
        <f t="shared" si="227"/>
        <v>8.7902348431058658E-4</v>
      </c>
      <c r="BL60" s="101">
        <f t="shared" si="228"/>
        <v>6.9700445267514269E-4</v>
      </c>
      <c r="BM60" s="101">
        <f t="shared" si="229"/>
        <v>0.2870240364451403</v>
      </c>
      <c r="BN60" s="101">
        <f t="shared" si="230"/>
        <v>0.52037289658370622</v>
      </c>
      <c r="BO60" s="101">
        <f t="shared" si="231"/>
        <v>0.97939223559184718</v>
      </c>
      <c r="BP60" s="101">
        <f t="shared" si="268"/>
        <v>15.12297826424245</v>
      </c>
      <c r="BQ60" s="235">
        <f t="shared" si="232"/>
        <v>7.7628220986046938E-4</v>
      </c>
      <c r="BR60" s="235">
        <f t="shared" si="233"/>
        <v>2.1703187896657898E-7</v>
      </c>
      <c r="BS60" s="235">
        <f t="shared" si="234"/>
        <v>6.7754512351554427E-5</v>
      </c>
      <c r="BT60" s="235">
        <f t="shared" si="235"/>
        <v>7.1656036511325838E-6</v>
      </c>
      <c r="BU60" s="235">
        <f t="shared" si="236"/>
        <v>3.4495247746850989E-6</v>
      </c>
      <c r="BV60" s="235">
        <f t="shared" si="237"/>
        <v>2.8671875787097338E-4</v>
      </c>
      <c r="BW60" s="101">
        <f t="shared" si="58"/>
        <v>16.911343460800129</v>
      </c>
      <c r="BX60" s="235">
        <f t="shared" si="59"/>
        <v>1.1415876403877813E-3</v>
      </c>
      <c r="BY60" s="235">
        <f t="shared" si="238"/>
        <v>1.2601941058259199E-3</v>
      </c>
      <c r="CA60" s="23"/>
      <c r="CB60" s="2"/>
      <c r="CC60" s="176" t="s">
        <v>69</v>
      </c>
      <c r="CD60" s="174">
        <v>1</v>
      </c>
      <c r="CE60" s="444">
        <f ca="1">F7</f>
        <v>-1754.8990508388524</v>
      </c>
      <c r="CF60" s="174">
        <f>VLOOKUP(CB22,CC60:CD62,2,FALSE)</f>
        <v>3</v>
      </c>
      <c r="CG60" s="176" t="s">
        <v>355</v>
      </c>
      <c r="CH60" s="174">
        <f>FLOOR(MIN($CF$24:$CG$58),IF(CF60=2,0.05,1000))</f>
        <v>-44000</v>
      </c>
      <c r="CJ60" s="10">
        <v>52</v>
      </c>
      <c r="CK60" s="450">
        <v>0.36958407309026509</v>
      </c>
      <c r="CL60" s="450">
        <v>1.1608389193838966E-2</v>
      </c>
      <c r="CM60" s="450">
        <v>0.36958407309026509</v>
      </c>
      <c r="CN60" s="450">
        <v>1.1608389193838966E-2</v>
      </c>
      <c r="CO60" s="451">
        <v>0.25343566717097848</v>
      </c>
      <c r="CP60" s="451">
        <v>0.25765895582359594</v>
      </c>
      <c r="CQ60" s="451">
        <v>0.12412937241879123</v>
      </c>
      <c r="CR60" s="451">
        <v>0.12901972979308324</v>
      </c>
      <c r="CS60" s="451">
        <v>13.748238767760022</v>
      </c>
      <c r="CT60" s="451">
        <v>13.736940758979236</v>
      </c>
      <c r="CU60" s="234">
        <v>1.1298008780785906E-2</v>
      </c>
      <c r="CX60" s="402">
        <v>52</v>
      </c>
      <c r="CY60" s="200">
        <f t="shared" si="272"/>
        <v>3.7829999999999999E-3</v>
      </c>
      <c r="CZ60" s="403">
        <v>3.7829999999999999E-3</v>
      </c>
      <c r="DA60" s="345">
        <f t="shared" si="273"/>
        <v>2.7951665155049654E-2</v>
      </c>
      <c r="DB60" s="387">
        <f t="shared" si="274"/>
        <v>0.1075585826254557</v>
      </c>
      <c r="DC60" s="114">
        <f t="shared" si="91"/>
        <v>2.537256601490423E-2</v>
      </c>
      <c r="DD60" s="378">
        <f t="shared" si="92"/>
        <v>2.7125317446546005E-2</v>
      </c>
      <c r="DE60" s="378">
        <f t="shared" si="275"/>
        <v>2.5896281388744155E-2</v>
      </c>
      <c r="DF60" s="340">
        <f t="shared" si="93"/>
        <v>6.9755570667648925E-3</v>
      </c>
      <c r="DG60" s="378">
        <f t="shared" si="94"/>
        <v>9.9999997171806854E-10</v>
      </c>
      <c r="DH60" s="378">
        <f t="shared" si="276"/>
        <v>4.8912877931547496E-3</v>
      </c>
      <c r="DI60" s="340">
        <f>DI59+(DI68-DI58)/10</f>
        <v>0.45600000000000002</v>
      </c>
      <c r="DJ60" s="378">
        <f t="shared" ref="DJ60" si="378">DJ59+(DJ68-DJ58)/10</f>
        <v>0.38600000000000001</v>
      </c>
      <c r="DK60" s="350">
        <f t="shared" si="278"/>
        <v>0.43508426973329828</v>
      </c>
      <c r="DL60" s="340">
        <f t="shared" ref="DL60" si="379">DL59+(DL68-DL58)/10</f>
        <v>0.104</v>
      </c>
      <c r="DM60" s="378">
        <f t="shared" ref="DM60" si="380">DM59+(DM68-DM58)/10</f>
        <v>1.4000800000000001E-2</v>
      </c>
      <c r="DN60" s="396">
        <f t="shared" si="281"/>
        <v>7.7108585836872245E-2</v>
      </c>
      <c r="DO60" s="335">
        <f t="shared" si="103"/>
        <v>0</v>
      </c>
      <c r="DP60" s="350">
        <f t="shared" si="104"/>
        <v>2.0000000000000018E-3</v>
      </c>
      <c r="DQ60" s="349">
        <f t="shared" si="282"/>
        <v>5.9759229333433608E-4</v>
      </c>
      <c r="DR60" s="335">
        <f t="shared" si="105"/>
        <v>4.3999999999999595E-3</v>
      </c>
      <c r="DS60" s="350">
        <f t="shared" si="106"/>
        <v>1.3599999999999945E-2</v>
      </c>
      <c r="DT60" s="349">
        <f t="shared" si="283"/>
        <v>7.148924549337899E-3</v>
      </c>
      <c r="DU60" s="335">
        <f>DU59+(DU63-DU58)/5</f>
        <v>0.46399999999999997</v>
      </c>
      <c r="DV60" s="350">
        <f>DV59+(DV63-DV58)/5</f>
        <v>0.45900000000000007</v>
      </c>
      <c r="DW60" s="350">
        <f t="shared" si="284"/>
        <v>0.46250601926666424</v>
      </c>
      <c r="DX60" s="335">
        <f>DX59+(DX63-DX58)/5</f>
        <v>0.93779999999999997</v>
      </c>
      <c r="DY60" s="350">
        <f>DY59+(DY63-DY58)/5</f>
        <v>0.84819999999999995</v>
      </c>
      <c r="DZ60" s="396">
        <f t="shared" si="285"/>
        <v>0.91102786525862189</v>
      </c>
      <c r="EA60" s="350">
        <f t="shared" si="286"/>
        <v>0</v>
      </c>
      <c r="EB60" s="350">
        <f t="shared" si="287"/>
        <v>0</v>
      </c>
      <c r="EC60" s="349">
        <f t="shared" si="288"/>
        <v>0</v>
      </c>
      <c r="ED60" s="335">
        <f t="shared" si="289"/>
        <v>1.6060630313013968E-2</v>
      </c>
      <c r="EE60" s="350">
        <f t="shared" si="290"/>
        <v>9.8511563170428085E-3</v>
      </c>
      <c r="EF60" s="387">
        <f t="shared" si="291"/>
        <v>1.4205263410187807E-2</v>
      </c>
      <c r="EG60" s="335">
        <f t="shared" si="292"/>
        <v>6.9755570667648925E-3</v>
      </c>
      <c r="EH60" s="350">
        <f t="shared" si="293"/>
        <v>9.9999997171806854E-10</v>
      </c>
      <c r="EI60" s="387">
        <f t="shared" si="294"/>
        <v>4.8912877931547496E-3</v>
      </c>
      <c r="EJ60" s="335">
        <f t="shared" si="295"/>
        <v>2.1676472521287016E-3</v>
      </c>
      <c r="EK60" s="350">
        <f t="shared" si="296"/>
        <v>0</v>
      </c>
      <c r="EL60" s="387">
        <f t="shared" si="297"/>
        <v>1.519962605858971E-3</v>
      </c>
      <c r="EO60" s="454">
        <v>100</v>
      </c>
      <c r="EP60" s="452"/>
      <c r="EQ60" s="308">
        <v>0.17</v>
      </c>
      <c r="ER60" s="308">
        <v>0.11</v>
      </c>
      <c r="ES60" s="308">
        <v>0.25</v>
      </c>
      <c r="ET60" s="320">
        <f t="shared" si="369"/>
        <v>18.635116884079579</v>
      </c>
      <c r="EU60" s="320">
        <f t="shared" si="370"/>
        <v>90.983217728153235</v>
      </c>
      <c r="EV60" s="350">
        <f t="shared" ca="1" si="371"/>
        <v>0.18744247400516256</v>
      </c>
      <c r="EW60" s="362">
        <f t="shared" si="338"/>
        <v>0.17</v>
      </c>
      <c r="EY60" s="363">
        <v>20</v>
      </c>
      <c r="EZ60" s="346">
        <v>0</v>
      </c>
      <c r="FA60" s="347">
        <f t="shared" si="357"/>
        <v>0</v>
      </c>
      <c r="FB60" s="347">
        <f t="shared" si="358"/>
        <v>0</v>
      </c>
      <c r="FC60" s="33" t="e">
        <f t="shared" si="359"/>
        <v>#DIV/0!</v>
      </c>
      <c r="FD60" s="33" t="e">
        <f t="shared" si="360"/>
        <v>#DIV/0!</v>
      </c>
      <c r="FE60" s="308">
        <f t="shared" ca="1" si="364"/>
        <v>0</v>
      </c>
      <c r="FF60" s="364">
        <f t="shared" si="365"/>
        <v>0</v>
      </c>
    </row>
    <row r="61" spans="2:172" ht="15" customHeight="1" x14ac:dyDescent="0.2">
      <c r="B61" s="15" t="s">
        <v>212</v>
      </c>
      <c r="C61" s="391">
        <f t="shared" ref="C61" si="381">IF(psa,J61,IF(owsa_low=L61,F61,IF(owsa_high=L61,G61,IF(ISNUMBER(D61),D61,E61))))</f>
        <v>1E-4</v>
      </c>
      <c r="D61" s="392"/>
      <c r="E61" s="391">
        <v>1E-4</v>
      </c>
      <c r="F61" s="391">
        <f t="shared" ref="F61" si="382">IF(ISNUMBER(D61),D61,E61)*(1-owsa_boc)</f>
        <v>8.0000000000000007E-5</v>
      </c>
      <c r="G61" s="391">
        <f t="shared" ref="G61" si="383">MIN(1,IF(ISNUMBER(D61),D61,E61)*(1+owsa_boc))</f>
        <v>1.2E-4</v>
      </c>
      <c r="H61" s="33">
        <f t="shared" si="375"/>
        <v>96.026766870301373</v>
      </c>
      <c r="I61" s="33">
        <f t="shared" si="376"/>
        <v>960171.64193614339</v>
      </c>
      <c r="J61" s="23">
        <f t="shared" ca="1" si="377"/>
        <v>9.0506965913890054E-5</v>
      </c>
      <c r="K61" s="10" t="s">
        <v>49</v>
      </c>
      <c r="L61" s="25">
        <v>14</v>
      </c>
      <c r="M61" s="229" t="s">
        <v>277</v>
      </c>
      <c r="N61" s="415" t="s">
        <v>310</v>
      </c>
      <c r="Q61" s="10">
        <v>55</v>
      </c>
      <c r="R61" s="10">
        <f t="shared" si="215"/>
        <v>100</v>
      </c>
      <c r="S61" s="309">
        <f t="shared" si="242"/>
        <v>0</v>
      </c>
      <c r="T61" s="309">
        <f t="shared" si="243"/>
        <v>0</v>
      </c>
      <c r="U61" s="309">
        <f t="shared" si="244"/>
        <v>0</v>
      </c>
      <c r="V61" s="235">
        <f t="shared" si="245"/>
        <v>0</v>
      </c>
      <c r="W61" s="235">
        <f t="shared" si="246"/>
        <v>0</v>
      </c>
      <c r="X61" s="309">
        <f t="shared" si="247"/>
        <v>0</v>
      </c>
      <c r="Y61" s="235">
        <f t="shared" si="248"/>
        <v>0</v>
      </c>
      <c r="Z61" s="235">
        <f t="shared" si="249"/>
        <v>0</v>
      </c>
      <c r="AA61" s="235">
        <f t="shared" si="250"/>
        <v>0</v>
      </c>
      <c r="AB61" s="235">
        <f t="shared" si="251"/>
        <v>0</v>
      </c>
      <c r="AC61" s="235">
        <f t="shared" si="252"/>
        <v>0</v>
      </c>
      <c r="AD61" s="235">
        <f t="shared" si="253"/>
        <v>1.0000000000000002</v>
      </c>
      <c r="AE61" s="235">
        <f t="shared" si="38"/>
        <v>1.0000000000000002</v>
      </c>
      <c r="AF61" s="101">
        <f t="shared" si="216"/>
        <v>0</v>
      </c>
      <c r="AG61" s="101">
        <f t="shared" si="217"/>
        <v>0</v>
      </c>
      <c r="AH61" s="101">
        <f t="shared" si="218"/>
        <v>0</v>
      </c>
      <c r="AI61" s="101">
        <f t="shared" si="219"/>
        <v>0</v>
      </c>
      <c r="AJ61" s="101">
        <f t="shared" si="220"/>
        <v>0</v>
      </c>
      <c r="AK61" s="101">
        <f t="shared" si="254"/>
        <v>25.762181186286366</v>
      </c>
      <c r="AL61" s="235">
        <f t="shared" si="255"/>
        <v>0</v>
      </c>
      <c r="AM61" s="235">
        <f t="shared" si="221"/>
        <v>0</v>
      </c>
      <c r="AN61" s="235">
        <f t="shared" si="222"/>
        <v>0</v>
      </c>
      <c r="AO61" s="235">
        <f t="shared" si="223"/>
        <v>0</v>
      </c>
      <c r="AP61" s="235">
        <f t="shared" si="224"/>
        <v>0</v>
      </c>
      <c r="AQ61" s="235">
        <f t="shared" si="225"/>
        <v>0</v>
      </c>
      <c r="AR61" s="101">
        <f t="shared" si="41"/>
        <v>25.762181186286366</v>
      </c>
      <c r="AS61" s="235">
        <f t="shared" si="42"/>
        <v>0</v>
      </c>
      <c r="AT61" s="235">
        <f t="shared" si="226"/>
        <v>0</v>
      </c>
      <c r="AV61" s="10">
        <v>55</v>
      </c>
      <c r="AW61" s="10">
        <f t="shared" si="43"/>
        <v>100</v>
      </c>
      <c r="AX61" s="309">
        <f t="shared" si="256"/>
        <v>-8.0637333460780158E-7</v>
      </c>
      <c r="AY61" s="309">
        <f t="shared" si="257"/>
        <v>4.0318666730394521E-7</v>
      </c>
      <c r="AZ61" s="309">
        <f t="shared" si="258"/>
        <v>4.0318666730394521E-7</v>
      </c>
      <c r="BA61" s="235">
        <f t="shared" si="259"/>
        <v>5.8195236141507397E-7</v>
      </c>
      <c r="BB61" s="235">
        <f t="shared" si="260"/>
        <v>5.8195236141507397E-7</v>
      </c>
      <c r="BC61" s="309">
        <f t="shared" si="261"/>
        <v>0</v>
      </c>
      <c r="BD61" s="235">
        <f t="shared" si="262"/>
        <v>0</v>
      </c>
      <c r="BE61" s="235">
        <f t="shared" si="263"/>
        <v>0</v>
      </c>
      <c r="BF61" s="235">
        <f t="shared" si="264"/>
        <v>0</v>
      </c>
      <c r="BG61" s="235">
        <f t="shared" si="265"/>
        <v>0</v>
      </c>
      <c r="BH61" s="235">
        <f t="shared" si="266"/>
        <v>0</v>
      </c>
      <c r="BI61" s="235">
        <f t="shared" si="267"/>
        <v>0.99999883609527784</v>
      </c>
      <c r="BJ61" s="235">
        <f t="shared" si="56"/>
        <v>1.0000000000000007</v>
      </c>
      <c r="BK61" s="101">
        <f t="shared" si="227"/>
        <v>5.912647401779803E-4</v>
      </c>
      <c r="BL61" s="101">
        <f t="shared" si="228"/>
        <v>4.68831793427092E-4</v>
      </c>
      <c r="BM61" s="101">
        <f t="shared" si="229"/>
        <v>0</v>
      </c>
      <c r="BN61" s="101">
        <f t="shared" si="230"/>
        <v>0</v>
      </c>
      <c r="BO61" s="101">
        <f t="shared" si="231"/>
        <v>0</v>
      </c>
      <c r="BP61" s="101">
        <f t="shared" si="268"/>
        <v>26.768783092182378</v>
      </c>
      <c r="BQ61" s="235">
        <f t="shared" si="232"/>
        <v>-1.5073440968162793E-7</v>
      </c>
      <c r="BR61" s="235">
        <f t="shared" si="233"/>
        <v>1.459744195518207E-7</v>
      </c>
      <c r="BS61" s="235">
        <f t="shared" si="234"/>
        <v>2.1756732743003053E-7</v>
      </c>
      <c r="BT61" s="235">
        <f t="shared" si="235"/>
        <v>0</v>
      </c>
      <c r="BU61" s="235">
        <f t="shared" si="236"/>
        <v>0</v>
      </c>
      <c r="BV61" s="235">
        <f t="shared" si="237"/>
        <v>0</v>
      </c>
      <c r="BW61" s="101">
        <f t="shared" si="58"/>
        <v>26.769843188715985</v>
      </c>
      <c r="BX61" s="235">
        <f t="shared" si="59"/>
        <v>2.128073373002233E-7</v>
      </c>
      <c r="BY61" s="235">
        <f t="shared" si="238"/>
        <v>2.290182394000496E-7</v>
      </c>
      <c r="CA61" s="23"/>
      <c r="CB61" s="2"/>
      <c r="CC61" s="176" t="s">
        <v>71</v>
      </c>
      <c r="CD61" s="174">
        <v>2</v>
      </c>
      <c r="CE61" s="445">
        <f ca="1">G7</f>
        <v>0.13063296970082661</v>
      </c>
      <c r="CF61" s="444"/>
      <c r="CG61" s="176" t="s">
        <v>353</v>
      </c>
      <c r="CH61" s="174">
        <f>CEILING(MAX($CF$24:$CG$58),IF(CF60=2,0.05,1000))</f>
        <v>-10000</v>
      </c>
      <c r="CJ61" s="10">
        <v>53</v>
      </c>
      <c r="CK61" s="450">
        <v>0.37625335564155321</v>
      </c>
      <c r="CL61" s="450">
        <v>1.4289680398840798E-2</v>
      </c>
      <c r="CM61" s="450">
        <v>0.37625335564155321</v>
      </c>
      <c r="CN61" s="450">
        <v>1.4289680398840798E-2</v>
      </c>
      <c r="CO61" s="451">
        <v>0.24324501642986779</v>
      </c>
      <c r="CP61" s="451">
        <v>0.24683227323177959</v>
      </c>
      <c r="CQ61" s="451">
        <v>0.12411951664422564</v>
      </c>
      <c r="CR61" s="451">
        <v>0.1285650791606408</v>
      </c>
      <c r="CS61" s="451">
        <v>13.448098350459121</v>
      </c>
      <c r="CT61" s="451">
        <v>13.44098801401217</v>
      </c>
      <c r="CU61" s="234">
        <v>7.1103364469511376E-3</v>
      </c>
      <c r="CX61" s="402">
        <v>53</v>
      </c>
      <c r="CY61" s="200">
        <f t="shared" si="272"/>
        <v>4.0889999999999998E-3</v>
      </c>
      <c r="CZ61" s="403">
        <v>4.0889999999999998E-3</v>
      </c>
      <c r="DA61" s="345">
        <f t="shared" si="273"/>
        <v>2.7951665155049654E-2</v>
      </c>
      <c r="DB61" s="387">
        <f t="shared" si="274"/>
        <v>0.1075585826254557</v>
      </c>
      <c r="DC61" s="114">
        <f t="shared" si="91"/>
        <v>2.537256601490423E-2</v>
      </c>
      <c r="DD61" s="378">
        <f t="shared" si="92"/>
        <v>2.7125317446546005E-2</v>
      </c>
      <c r="DE61" s="378">
        <f t="shared" si="275"/>
        <v>2.5896281388744155E-2</v>
      </c>
      <c r="DF61" s="340">
        <f t="shared" si="93"/>
        <v>6.9755570667648925E-3</v>
      </c>
      <c r="DG61" s="378">
        <f t="shared" si="94"/>
        <v>9.9999997171806854E-10</v>
      </c>
      <c r="DH61" s="378">
        <f t="shared" si="276"/>
        <v>4.8912877931547496E-3</v>
      </c>
      <c r="DI61" s="340">
        <f>DI60+(DI68-DI58)/10</f>
        <v>0.46900000000000003</v>
      </c>
      <c r="DJ61" s="378">
        <f t="shared" ref="DJ61" si="384">DJ60+(DJ68-DJ58)/10</f>
        <v>0.40400000000000003</v>
      </c>
      <c r="DK61" s="350">
        <f t="shared" si="278"/>
        <v>0.44957825046663413</v>
      </c>
      <c r="DL61" s="340">
        <f t="shared" ref="DL61" si="385">DL60+(DL68-DL58)/10</f>
        <v>0.11599999999999999</v>
      </c>
      <c r="DM61" s="378">
        <f t="shared" ref="DM61" si="386">DM60+(DM68-DM58)/10</f>
        <v>2.1000700000000001E-2</v>
      </c>
      <c r="DN61" s="396">
        <f t="shared" si="281"/>
        <v>8.7614575223921742E-2</v>
      </c>
      <c r="DO61" s="335">
        <f t="shared" si="103"/>
        <v>0</v>
      </c>
      <c r="DP61" s="350">
        <f t="shared" si="104"/>
        <v>2.0000000000000018E-3</v>
      </c>
      <c r="DQ61" s="349">
        <f t="shared" si="282"/>
        <v>5.9759229333433608E-4</v>
      </c>
      <c r="DR61" s="335">
        <f t="shared" si="105"/>
        <v>4.3999999999999595E-3</v>
      </c>
      <c r="DS61" s="350">
        <f t="shared" si="106"/>
        <v>1.3599999999999945E-2</v>
      </c>
      <c r="DT61" s="349">
        <f t="shared" si="283"/>
        <v>7.148924549337899E-3</v>
      </c>
      <c r="DU61" s="335">
        <f>DU60+(DU63-DU58)/5</f>
        <v>0.46399999999999997</v>
      </c>
      <c r="DV61" s="350">
        <f>DV60+(DV63-DV58)/5</f>
        <v>0.46100000000000008</v>
      </c>
      <c r="DW61" s="350">
        <f t="shared" si="284"/>
        <v>0.46310361155999857</v>
      </c>
      <c r="DX61" s="335">
        <f>DX60+(DX63-DX58)/5</f>
        <v>0.94219999999999993</v>
      </c>
      <c r="DY61" s="350">
        <f>DY60+(DY63-DY58)/5</f>
        <v>0.8617999999999999</v>
      </c>
      <c r="DZ61" s="396">
        <f t="shared" si="285"/>
        <v>0.91817678980795969</v>
      </c>
      <c r="EA61" s="350">
        <f t="shared" si="286"/>
        <v>0</v>
      </c>
      <c r="EB61" s="350">
        <f t="shared" si="287"/>
        <v>0</v>
      </c>
      <c r="EC61" s="349">
        <f t="shared" si="288"/>
        <v>0</v>
      </c>
      <c r="ED61" s="335">
        <f t="shared" si="289"/>
        <v>1.6060630313013968E-2</v>
      </c>
      <c r="EE61" s="350">
        <f t="shared" si="290"/>
        <v>9.8511563170428085E-3</v>
      </c>
      <c r="EF61" s="387">
        <f t="shared" si="291"/>
        <v>1.4205263410187807E-2</v>
      </c>
      <c r="EG61" s="335">
        <f t="shared" si="292"/>
        <v>6.9755570667648925E-3</v>
      </c>
      <c r="EH61" s="350">
        <f t="shared" si="293"/>
        <v>9.9999997171806854E-10</v>
      </c>
      <c r="EI61" s="387">
        <f t="shared" si="294"/>
        <v>4.8912877931547496E-3</v>
      </c>
      <c r="EJ61" s="335">
        <f t="shared" si="295"/>
        <v>2.1676472521287016E-3</v>
      </c>
      <c r="EK61" s="350">
        <f t="shared" si="296"/>
        <v>0</v>
      </c>
      <c r="EL61" s="387">
        <f t="shared" si="297"/>
        <v>1.519962605858971E-3</v>
      </c>
      <c r="EO61" s="339"/>
      <c r="EP61" s="47"/>
      <c r="EQ61" s="47"/>
      <c r="ER61" s="47"/>
      <c r="ES61" s="47"/>
      <c r="ET61" s="47"/>
      <c r="EU61" s="47"/>
      <c r="EV61" s="47"/>
      <c r="EW61" s="352"/>
      <c r="EY61" s="363">
        <v>25</v>
      </c>
      <c r="EZ61" s="346">
        <v>3.5000000000000003E-2</v>
      </c>
      <c r="FA61" s="347">
        <f t="shared" si="357"/>
        <v>2.8000000000000004E-2</v>
      </c>
      <c r="FB61" s="347">
        <f t="shared" si="358"/>
        <v>4.2000000000000003E-2</v>
      </c>
      <c r="FC61" s="33">
        <f t="shared" si="359"/>
        <v>92.640194049245778</v>
      </c>
      <c r="FD61" s="33">
        <f t="shared" si="360"/>
        <v>2554.2224930720618</v>
      </c>
      <c r="FE61" s="308">
        <f t="shared" ca="1" si="364"/>
        <v>3.5520309181243492E-2</v>
      </c>
      <c r="FF61" s="364">
        <f t="shared" si="365"/>
        <v>3.5000000000000003E-2</v>
      </c>
    </row>
    <row r="62" spans="2:172" ht="15" customHeight="1" x14ac:dyDescent="0.2">
      <c r="M62" s="413"/>
      <c r="N62" s="413"/>
      <c r="Q62" s="10">
        <v>56</v>
      </c>
      <c r="R62" s="10">
        <f t="shared" si="215"/>
        <v>101</v>
      </c>
      <c r="S62" s="309" t="e">
        <f t="shared" si="242"/>
        <v>#N/A</v>
      </c>
      <c r="T62" s="309" t="e">
        <f t="shared" si="243"/>
        <v>#N/A</v>
      </c>
      <c r="U62" s="309" t="e">
        <f t="shared" si="244"/>
        <v>#N/A</v>
      </c>
      <c r="V62" s="235" t="e">
        <f t="shared" si="245"/>
        <v>#N/A</v>
      </c>
      <c r="W62" s="235" t="e">
        <f t="shared" si="246"/>
        <v>#N/A</v>
      </c>
      <c r="X62" s="309" t="e">
        <f t="shared" si="247"/>
        <v>#N/A</v>
      </c>
      <c r="Y62" s="235" t="e">
        <f t="shared" si="248"/>
        <v>#N/A</v>
      </c>
      <c r="Z62" s="235" t="e">
        <f t="shared" si="249"/>
        <v>#N/A</v>
      </c>
      <c r="AA62" s="235" t="e">
        <f t="shared" si="250"/>
        <v>#N/A</v>
      </c>
      <c r="AB62" s="235" t="e">
        <f t="shared" si="251"/>
        <v>#N/A</v>
      </c>
      <c r="AC62" s="235" t="e">
        <f t="shared" si="252"/>
        <v>#N/A</v>
      </c>
      <c r="AD62" s="235" t="e">
        <f t="shared" si="253"/>
        <v>#N/A</v>
      </c>
      <c r="AE62" s="235" t="e">
        <f t="shared" si="38"/>
        <v>#N/A</v>
      </c>
      <c r="AF62" s="101" t="e">
        <f t="shared" si="216"/>
        <v>#N/A</v>
      </c>
      <c r="AG62" s="101" t="e">
        <f t="shared" si="217"/>
        <v>#N/A</v>
      </c>
      <c r="AH62" s="101" t="e">
        <f t="shared" si="218"/>
        <v>#N/A</v>
      </c>
      <c r="AI62" s="101" t="e">
        <f t="shared" si="219"/>
        <v>#N/A</v>
      </c>
      <c r="AJ62" s="101" t="e">
        <f t="shared" si="220"/>
        <v>#N/A</v>
      </c>
      <c r="AK62" s="101" t="e">
        <f t="shared" si="254"/>
        <v>#N/A</v>
      </c>
      <c r="AL62" s="235" t="e">
        <f t="shared" si="255"/>
        <v>#N/A</v>
      </c>
      <c r="AM62" s="235" t="e">
        <f t="shared" si="221"/>
        <v>#N/A</v>
      </c>
      <c r="AN62" s="235" t="e">
        <f t="shared" si="222"/>
        <v>#N/A</v>
      </c>
      <c r="AO62" s="235" t="e">
        <f t="shared" si="223"/>
        <v>#N/A</v>
      </c>
      <c r="AP62" s="235" t="e">
        <f t="shared" si="224"/>
        <v>#N/A</v>
      </c>
      <c r="AQ62" s="235" t="e">
        <f t="shared" si="225"/>
        <v>#N/A</v>
      </c>
      <c r="AR62" s="101" t="e">
        <f t="shared" si="41"/>
        <v>#N/A</v>
      </c>
      <c r="AS62" s="235" t="e">
        <f t="shared" si="42"/>
        <v>#N/A</v>
      </c>
      <c r="AT62" s="235" t="e">
        <f t="shared" si="226"/>
        <v>#N/A</v>
      </c>
      <c r="AV62" s="10">
        <v>56</v>
      </c>
      <c r="AW62" s="10">
        <f t="shared" si="43"/>
        <v>101</v>
      </c>
      <c r="AX62" s="309" t="e">
        <f t="shared" si="256"/>
        <v>#N/A</v>
      </c>
      <c r="AY62" s="309">
        <f t="shared" si="257"/>
        <v>-8.0637333460780156E-11</v>
      </c>
      <c r="AZ62" s="309">
        <f t="shared" si="258"/>
        <v>-8.0637333460780156E-11</v>
      </c>
      <c r="BA62" s="235" t="e">
        <f t="shared" si="259"/>
        <v>#N/A</v>
      </c>
      <c r="BB62" s="235" t="e">
        <f t="shared" si="260"/>
        <v>#N/A</v>
      </c>
      <c r="BC62" s="309" t="e">
        <f t="shared" si="261"/>
        <v>#N/A</v>
      </c>
      <c r="BD62" s="235" t="e">
        <f t="shared" si="262"/>
        <v>#N/A</v>
      </c>
      <c r="BE62" s="235" t="e">
        <f t="shared" si="263"/>
        <v>#N/A</v>
      </c>
      <c r="BF62" s="235" t="e">
        <f t="shared" si="264"/>
        <v>#N/A</v>
      </c>
      <c r="BG62" s="235" t="e">
        <f t="shared" si="265"/>
        <v>#N/A</v>
      </c>
      <c r="BH62" s="235" t="e">
        <f t="shared" si="266"/>
        <v>#N/A</v>
      </c>
      <c r="BI62" s="235" t="e">
        <f t="shared" si="267"/>
        <v>#N/A</v>
      </c>
      <c r="BJ62" s="235" t="e">
        <f t="shared" si="56"/>
        <v>#N/A</v>
      </c>
      <c r="BK62" s="101">
        <f t="shared" si="227"/>
        <v>-1.1480868741318743E-7</v>
      </c>
      <c r="BL62" s="101">
        <f t="shared" si="228"/>
        <v>-9.1035299694570968E-8</v>
      </c>
      <c r="BM62" s="101" t="e">
        <f t="shared" si="229"/>
        <v>#N/A</v>
      </c>
      <c r="BN62" s="101" t="e">
        <f t="shared" si="230"/>
        <v>#N/A</v>
      </c>
      <c r="BO62" s="101" t="e">
        <f t="shared" si="231"/>
        <v>#N/A</v>
      </c>
      <c r="BP62" s="101" t="e">
        <f t="shared" si="268"/>
        <v>#N/A</v>
      </c>
      <c r="BQ62" s="235" t="e">
        <f t="shared" si="232"/>
        <v>#N/A</v>
      </c>
      <c r="BR62" s="235" t="e">
        <f t="shared" si="233"/>
        <v>#N/A</v>
      </c>
      <c r="BS62" s="235" t="e">
        <f t="shared" si="234"/>
        <v>#N/A</v>
      </c>
      <c r="BT62" s="235" t="e">
        <f t="shared" si="235"/>
        <v>#N/A</v>
      </c>
      <c r="BU62" s="235" t="e">
        <f t="shared" si="236"/>
        <v>#N/A</v>
      </c>
      <c r="BV62" s="235" t="e">
        <f t="shared" si="237"/>
        <v>#N/A</v>
      </c>
      <c r="BW62" s="101" t="e">
        <f t="shared" si="58"/>
        <v>#N/A</v>
      </c>
      <c r="BX62" s="235" t="e">
        <f t="shared" si="59"/>
        <v>#N/A</v>
      </c>
      <c r="BY62" s="235" t="e">
        <f t="shared" si="238"/>
        <v>#N/A</v>
      </c>
      <c r="CA62" s="23"/>
      <c r="CB62" s="2"/>
      <c r="CC62" s="176" t="s">
        <v>146</v>
      </c>
      <c r="CD62" s="174">
        <v>3</v>
      </c>
      <c r="CE62" s="444">
        <f ca="1">I6</f>
        <v>-13433.814257288128</v>
      </c>
      <c r="CF62" s="174">
        <f ca="1">VLOOKUP(CF60,$CD$60:$CE$62,$CY$1,FALSE)</f>
        <v>-13433.814257288128</v>
      </c>
      <c r="CG62" s="176" t="s">
        <v>354</v>
      </c>
      <c r="CH62" s="174">
        <f>(CH61-CH60)/5</f>
        <v>6800</v>
      </c>
      <c r="CJ62" s="10">
        <v>54</v>
      </c>
      <c r="CK62" s="450">
        <v>0.38307683302890005</v>
      </c>
      <c r="CL62" s="450">
        <v>1.7125166439901231E-2</v>
      </c>
      <c r="CM62" s="450">
        <v>0.38307683302890005</v>
      </c>
      <c r="CN62" s="450">
        <v>1.7125166439901231E-2</v>
      </c>
      <c r="CO62" s="451">
        <v>0.23297222754174224</v>
      </c>
      <c r="CP62" s="451">
        <v>0.23593236668257114</v>
      </c>
      <c r="CQ62" s="451">
        <v>0.12411354047232678</v>
      </c>
      <c r="CR62" s="451">
        <v>0.12809612475321008</v>
      </c>
      <c r="CS62" s="451">
        <v>13.138200715120192</v>
      </c>
      <c r="CT62" s="451">
        <v>13.135409471069972</v>
      </c>
      <c r="CU62" s="234">
        <v>2.7912440502202429E-3</v>
      </c>
      <c r="CX62" s="402">
        <v>54</v>
      </c>
      <c r="CY62" s="200">
        <f t="shared" si="272"/>
        <v>4.4190000000000002E-3</v>
      </c>
      <c r="CZ62" s="403">
        <v>4.4190000000000002E-3</v>
      </c>
      <c r="DA62" s="345">
        <f t="shared" si="273"/>
        <v>2.7951665155049654E-2</v>
      </c>
      <c r="DB62" s="387">
        <f t="shared" si="274"/>
        <v>0.1075585826254557</v>
      </c>
      <c r="DC62" s="114">
        <f t="shared" si="91"/>
        <v>2.537256601490423E-2</v>
      </c>
      <c r="DD62" s="378">
        <f t="shared" si="92"/>
        <v>2.7125317446546005E-2</v>
      </c>
      <c r="DE62" s="378">
        <f t="shared" si="275"/>
        <v>2.5896281388744155E-2</v>
      </c>
      <c r="DF62" s="340">
        <f t="shared" si="93"/>
        <v>6.9755570667648925E-3</v>
      </c>
      <c r="DG62" s="378">
        <f t="shared" si="94"/>
        <v>9.9999997171806854E-10</v>
      </c>
      <c r="DH62" s="378">
        <f t="shared" si="276"/>
        <v>4.8912877931547496E-3</v>
      </c>
      <c r="DI62" s="340">
        <f>DI61+(DI68-DI58)/10</f>
        <v>0.48200000000000004</v>
      </c>
      <c r="DJ62" s="378">
        <f t="shared" ref="DJ62" si="387">DJ61+(DJ68-DJ58)/10</f>
        <v>0.42200000000000004</v>
      </c>
      <c r="DK62" s="350">
        <f t="shared" si="278"/>
        <v>0.46407223119996999</v>
      </c>
      <c r="DL62" s="340">
        <f t="shared" ref="DL62" si="388">DL61+(DL68-DL58)/10</f>
        <v>0.128</v>
      </c>
      <c r="DM62" s="378">
        <f t="shared" ref="DM62" si="389">DM61+(DM68-DM58)/10</f>
        <v>2.80006E-2</v>
      </c>
      <c r="DN62" s="396">
        <f t="shared" si="281"/>
        <v>9.8120564610971239E-2</v>
      </c>
      <c r="DO62" s="335">
        <f t="shared" si="103"/>
        <v>0</v>
      </c>
      <c r="DP62" s="350">
        <f t="shared" si="104"/>
        <v>2.0000000000000018E-3</v>
      </c>
      <c r="DQ62" s="349">
        <f t="shared" si="282"/>
        <v>5.9759229333433608E-4</v>
      </c>
      <c r="DR62" s="335">
        <f t="shared" si="105"/>
        <v>4.3999999999999595E-3</v>
      </c>
      <c r="DS62" s="350">
        <f t="shared" si="106"/>
        <v>1.3599999999999945E-2</v>
      </c>
      <c r="DT62" s="349">
        <f t="shared" si="283"/>
        <v>7.148924549337899E-3</v>
      </c>
      <c r="DU62" s="335">
        <f>DU61+(DU63-DU58)/5</f>
        <v>0.46399999999999997</v>
      </c>
      <c r="DV62" s="350">
        <f>DV61+(DV63-DV58)/5</f>
        <v>0.46300000000000008</v>
      </c>
      <c r="DW62" s="350">
        <f t="shared" si="284"/>
        <v>0.46370120385333291</v>
      </c>
      <c r="DX62" s="335">
        <f>DX61+(DX63-DX58)/5</f>
        <v>0.94659999999999989</v>
      </c>
      <c r="DY62" s="350">
        <f>DY61+(DY63-DY58)/5</f>
        <v>0.87539999999999984</v>
      </c>
      <c r="DZ62" s="396">
        <f t="shared" si="285"/>
        <v>0.9253257143572976</v>
      </c>
      <c r="EA62" s="350">
        <f t="shared" si="286"/>
        <v>0</v>
      </c>
      <c r="EB62" s="350">
        <f t="shared" si="287"/>
        <v>0</v>
      </c>
      <c r="EC62" s="349">
        <f t="shared" si="288"/>
        <v>0</v>
      </c>
      <c r="ED62" s="335">
        <f t="shared" si="289"/>
        <v>1.6060630313013968E-2</v>
      </c>
      <c r="EE62" s="350">
        <f t="shared" si="290"/>
        <v>9.8511563170428085E-3</v>
      </c>
      <c r="EF62" s="387">
        <f t="shared" si="291"/>
        <v>1.4205263410187807E-2</v>
      </c>
      <c r="EG62" s="335">
        <f t="shared" si="292"/>
        <v>6.9755570667648925E-3</v>
      </c>
      <c r="EH62" s="350">
        <f t="shared" si="293"/>
        <v>9.9999997171806854E-10</v>
      </c>
      <c r="EI62" s="387">
        <f t="shared" si="294"/>
        <v>4.8912877931547496E-3</v>
      </c>
      <c r="EJ62" s="335">
        <f t="shared" si="295"/>
        <v>2.1676472521287016E-3</v>
      </c>
      <c r="EK62" s="350">
        <f t="shared" si="296"/>
        <v>0</v>
      </c>
      <c r="EL62" s="387">
        <f t="shared" si="297"/>
        <v>1.519962605858971E-3</v>
      </c>
      <c r="EO62" s="351" t="s">
        <v>382</v>
      </c>
      <c r="EP62" s="20"/>
      <c r="EQ62" s="19"/>
      <c r="ER62" s="19"/>
      <c r="ES62" s="19"/>
      <c r="ET62" s="19"/>
      <c r="EU62" s="19"/>
      <c r="EV62" s="19"/>
      <c r="EW62" s="334"/>
      <c r="EY62" s="363">
        <v>30</v>
      </c>
      <c r="EZ62" s="346">
        <v>0.153</v>
      </c>
      <c r="FA62" s="347">
        <f t="shared" si="357"/>
        <v>0.12240000000000001</v>
      </c>
      <c r="FB62" s="347">
        <f t="shared" si="358"/>
        <v>0.18359999999999999</v>
      </c>
      <c r="FC62" s="33">
        <f t="shared" si="359"/>
        <v>81.18989052819812</v>
      </c>
      <c r="FD62" s="33">
        <f t="shared" si="360"/>
        <v>449.4629887410706</v>
      </c>
      <c r="FE62" s="308">
        <f t="shared" ca="1" si="364"/>
        <v>0.1579030309916245</v>
      </c>
      <c r="FF62" s="364">
        <f t="shared" si="365"/>
        <v>0.188</v>
      </c>
    </row>
    <row r="63" spans="2:172" ht="15" customHeight="1" x14ac:dyDescent="0.25">
      <c r="B63" s="386" t="s">
        <v>350</v>
      </c>
      <c r="M63" s="393"/>
      <c r="N63" s="413"/>
      <c r="Q63" s="10">
        <v>57</v>
      </c>
      <c r="R63" s="10">
        <f t="shared" si="215"/>
        <v>102</v>
      </c>
      <c r="S63" s="309" t="e">
        <f t="shared" si="242"/>
        <v>#N/A</v>
      </c>
      <c r="T63" s="309" t="e">
        <f t="shared" si="243"/>
        <v>#N/A</v>
      </c>
      <c r="U63" s="309" t="e">
        <f t="shared" si="244"/>
        <v>#N/A</v>
      </c>
      <c r="V63" s="235" t="e">
        <f t="shared" si="245"/>
        <v>#N/A</v>
      </c>
      <c r="W63" s="235" t="e">
        <f t="shared" si="246"/>
        <v>#N/A</v>
      </c>
      <c r="X63" s="309" t="e">
        <f t="shared" si="247"/>
        <v>#N/A</v>
      </c>
      <c r="Y63" s="235" t="e">
        <f t="shared" si="248"/>
        <v>#N/A</v>
      </c>
      <c r="Z63" s="235" t="e">
        <f t="shared" si="249"/>
        <v>#N/A</v>
      </c>
      <c r="AA63" s="235" t="e">
        <f t="shared" si="250"/>
        <v>#N/A</v>
      </c>
      <c r="AB63" s="235" t="e">
        <f t="shared" si="251"/>
        <v>#N/A</v>
      </c>
      <c r="AC63" s="235" t="e">
        <f t="shared" si="252"/>
        <v>#N/A</v>
      </c>
      <c r="AD63" s="235" t="e">
        <f t="shared" si="253"/>
        <v>#N/A</v>
      </c>
      <c r="AE63" s="235" t="e">
        <f t="shared" si="38"/>
        <v>#N/A</v>
      </c>
      <c r="AF63" s="101" t="e">
        <f t="shared" si="216"/>
        <v>#N/A</v>
      </c>
      <c r="AG63" s="101" t="e">
        <f t="shared" si="217"/>
        <v>#N/A</v>
      </c>
      <c r="AH63" s="101" t="e">
        <f t="shared" si="218"/>
        <v>#N/A</v>
      </c>
      <c r="AI63" s="101" t="e">
        <f t="shared" si="219"/>
        <v>#N/A</v>
      </c>
      <c r="AJ63" s="101" t="e">
        <f t="shared" si="220"/>
        <v>#N/A</v>
      </c>
      <c r="AK63" s="101" t="e">
        <f t="shared" si="254"/>
        <v>#N/A</v>
      </c>
      <c r="AL63" s="235" t="e">
        <f t="shared" si="255"/>
        <v>#N/A</v>
      </c>
      <c r="AM63" s="235" t="e">
        <f t="shared" si="221"/>
        <v>#N/A</v>
      </c>
      <c r="AN63" s="235" t="e">
        <f t="shared" si="222"/>
        <v>#N/A</v>
      </c>
      <c r="AO63" s="235" t="e">
        <f t="shared" si="223"/>
        <v>#N/A</v>
      </c>
      <c r="AP63" s="235" t="e">
        <f t="shared" si="224"/>
        <v>#N/A</v>
      </c>
      <c r="AQ63" s="235" t="e">
        <f t="shared" si="225"/>
        <v>#N/A</v>
      </c>
      <c r="AR63" s="101" t="e">
        <f t="shared" si="41"/>
        <v>#N/A</v>
      </c>
      <c r="AS63" s="235" t="e">
        <f t="shared" si="42"/>
        <v>#N/A</v>
      </c>
      <c r="AT63" s="235" t="e">
        <f t="shared" si="226"/>
        <v>#N/A</v>
      </c>
      <c r="AV63" s="10">
        <v>57</v>
      </c>
      <c r="AW63" s="10">
        <f t="shared" si="43"/>
        <v>102</v>
      </c>
      <c r="AX63" s="309" t="e">
        <f t="shared" si="256"/>
        <v>#N/A</v>
      </c>
      <c r="AY63" s="309" t="e">
        <f t="shared" si="257"/>
        <v>#N/A</v>
      </c>
      <c r="AZ63" s="309" t="e">
        <f t="shared" si="258"/>
        <v>#N/A</v>
      </c>
      <c r="BA63" s="235" t="e">
        <f t="shared" si="259"/>
        <v>#N/A</v>
      </c>
      <c r="BB63" s="235" t="e">
        <f t="shared" si="260"/>
        <v>#N/A</v>
      </c>
      <c r="BC63" s="309" t="e">
        <f t="shared" si="261"/>
        <v>#N/A</v>
      </c>
      <c r="BD63" s="235" t="e">
        <f t="shared" si="262"/>
        <v>#N/A</v>
      </c>
      <c r="BE63" s="235" t="e">
        <f t="shared" si="263"/>
        <v>#N/A</v>
      </c>
      <c r="BF63" s="235" t="e">
        <f t="shared" si="264"/>
        <v>#N/A</v>
      </c>
      <c r="BG63" s="235" t="e">
        <f t="shared" si="265"/>
        <v>#N/A</v>
      </c>
      <c r="BH63" s="235" t="e">
        <f t="shared" si="266"/>
        <v>#N/A</v>
      </c>
      <c r="BI63" s="235" t="e">
        <f t="shared" si="267"/>
        <v>#N/A</v>
      </c>
      <c r="BJ63" s="235" t="e">
        <f t="shared" si="56"/>
        <v>#N/A</v>
      </c>
      <c r="BK63" s="101" t="e">
        <f t="shared" si="227"/>
        <v>#N/A</v>
      </c>
      <c r="BL63" s="101" t="e">
        <f t="shared" si="228"/>
        <v>#N/A</v>
      </c>
      <c r="BM63" s="101" t="e">
        <f t="shared" si="229"/>
        <v>#N/A</v>
      </c>
      <c r="BN63" s="101" t="e">
        <f t="shared" si="230"/>
        <v>#N/A</v>
      </c>
      <c r="BO63" s="101" t="e">
        <f t="shared" si="231"/>
        <v>#N/A</v>
      </c>
      <c r="BP63" s="101" t="e">
        <f t="shared" si="268"/>
        <v>#N/A</v>
      </c>
      <c r="BQ63" s="235" t="e">
        <f t="shared" si="232"/>
        <v>#N/A</v>
      </c>
      <c r="BR63" s="235" t="e">
        <f t="shared" si="233"/>
        <v>#N/A</v>
      </c>
      <c r="BS63" s="235" t="e">
        <f t="shared" si="234"/>
        <v>#N/A</v>
      </c>
      <c r="BT63" s="235" t="e">
        <f t="shared" si="235"/>
        <v>#N/A</v>
      </c>
      <c r="BU63" s="235" t="e">
        <f t="shared" si="236"/>
        <v>#N/A</v>
      </c>
      <c r="BV63" s="235" t="e">
        <f t="shared" si="237"/>
        <v>#N/A</v>
      </c>
      <c r="BW63" s="101" t="e">
        <f t="shared" si="58"/>
        <v>#N/A</v>
      </c>
      <c r="BX63" s="235" t="e">
        <f t="shared" si="59"/>
        <v>#N/A</v>
      </c>
      <c r="BY63" s="235" t="e">
        <f t="shared" si="238"/>
        <v>#N/A</v>
      </c>
      <c r="CA63" s="23"/>
      <c r="CJ63" s="10">
        <v>55</v>
      </c>
      <c r="CK63" s="450">
        <v>0.39003481052928846</v>
      </c>
      <c r="CL63" s="450">
        <v>2.009515259400339E-2</v>
      </c>
      <c r="CM63" s="450">
        <v>0.39003481052928846</v>
      </c>
      <c r="CN63" s="450">
        <v>2.009515259400339E-2</v>
      </c>
      <c r="CO63" s="451">
        <v>0.22264523002989126</v>
      </c>
      <c r="CP63" s="451">
        <v>0.22498817030728013</v>
      </c>
      <c r="CQ63" s="451">
        <v>0.1241207423811059</v>
      </c>
      <c r="CR63" s="451">
        <v>0.12762217613327623</v>
      </c>
      <c r="CS63" s="451">
        <v>12.841736433489647</v>
      </c>
      <c r="CT63" s="451">
        <v>12.843408322318728</v>
      </c>
      <c r="CU63" s="234">
        <v>-1.6718888290814249E-3</v>
      </c>
      <c r="CX63" s="402">
        <v>55</v>
      </c>
      <c r="CY63" s="200">
        <f t="shared" si="272"/>
        <v>4.7739999999999996E-3</v>
      </c>
      <c r="CZ63" s="403">
        <v>4.7739999999999996E-3</v>
      </c>
      <c r="DA63" s="345">
        <f t="shared" si="273"/>
        <v>3.2716243504585907E-2</v>
      </c>
      <c r="DB63" s="387">
        <f t="shared" si="274"/>
        <v>0.1419156596645651</v>
      </c>
      <c r="DC63" s="114">
        <f t="shared" si="91"/>
        <v>2.537256601490423E-2</v>
      </c>
      <c r="DD63" s="378">
        <f t="shared" si="92"/>
        <v>2.7125317446546005E-2</v>
      </c>
      <c r="DE63" s="378">
        <f t="shared" si="275"/>
        <v>2.5896281388744155E-2</v>
      </c>
      <c r="DF63" s="340">
        <f t="shared" si="93"/>
        <v>6.9755570667648925E-3</v>
      </c>
      <c r="DG63" s="378">
        <f t="shared" si="94"/>
        <v>9.9999997171806854E-10</v>
      </c>
      <c r="DH63" s="378">
        <f t="shared" si="276"/>
        <v>4.8912877931547496E-3</v>
      </c>
      <c r="DI63" s="340">
        <f>DI62+(DI68-DI58)/10</f>
        <v>0.49500000000000005</v>
      </c>
      <c r="DJ63" s="378">
        <f t="shared" ref="DJ63" si="390">DJ62+(DJ68-DJ58)/10</f>
        <v>0.44000000000000006</v>
      </c>
      <c r="DK63" s="350">
        <f t="shared" si="278"/>
        <v>0.47856621193330584</v>
      </c>
      <c r="DL63" s="340">
        <f t="shared" ref="DL63" si="391">DL62+(DL68-DL58)/10</f>
        <v>0.14000000000000001</v>
      </c>
      <c r="DM63" s="378">
        <f t="shared" ref="DM63" si="392">DM62+(DM68-DM58)/10</f>
        <v>3.5000500000000004E-2</v>
      </c>
      <c r="DN63" s="396">
        <f t="shared" si="281"/>
        <v>0.10862655399802075</v>
      </c>
      <c r="DO63" s="335">
        <f t="shared" si="103"/>
        <v>0</v>
      </c>
      <c r="DP63" s="350">
        <f t="shared" si="104"/>
        <v>2.0000000000000018E-3</v>
      </c>
      <c r="DQ63" s="349">
        <f t="shared" si="282"/>
        <v>5.9759229333433608E-4</v>
      </c>
      <c r="DR63" s="335">
        <f t="shared" si="105"/>
        <v>4.4000000000001815E-3</v>
      </c>
      <c r="DS63" s="350">
        <f t="shared" si="106"/>
        <v>1.3600000000000168E-2</v>
      </c>
      <c r="DT63" s="349">
        <f t="shared" si="283"/>
        <v>7.1489245493381211E-3</v>
      </c>
      <c r="DU63" s="335">
        <f>VLOOKUP($CX63,$EY$8:$FF$28,8,FALSE)</f>
        <v>0.46399999999999997</v>
      </c>
      <c r="DV63" s="350">
        <f>VLOOKUP($CX63,$EY$32:$FF$52,8,FALSE)</f>
        <v>0.46500000000000008</v>
      </c>
      <c r="DW63" s="350">
        <f t="shared" si="284"/>
        <v>0.46429879614666725</v>
      </c>
      <c r="DX63" s="335">
        <f>VLOOKUP($CX63,$EY$56:$FF$76,8,FALSE)</f>
        <v>0.95100000000000007</v>
      </c>
      <c r="DY63" s="350">
        <f>VLOOKUP($CX63,$EY$80:$FF$100,8,FALSE)</f>
        <v>0.88900000000000001</v>
      </c>
      <c r="DZ63" s="396">
        <f t="shared" si="285"/>
        <v>0.93247463890663562</v>
      </c>
      <c r="EA63" s="350">
        <f t="shared" si="286"/>
        <v>0</v>
      </c>
      <c r="EB63" s="350">
        <f t="shared" si="287"/>
        <v>0</v>
      </c>
      <c r="EC63" s="349">
        <f t="shared" si="288"/>
        <v>0</v>
      </c>
      <c r="ED63" s="335">
        <f t="shared" si="289"/>
        <v>1.6060630313013968E-2</v>
      </c>
      <c r="EE63" s="350">
        <f t="shared" si="290"/>
        <v>9.8511563170428085E-3</v>
      </c>
      <c r="EF63" s="387">
        <f t="shared" si="291"/>
        <v>1.4205263410187807E-2</v>
      </c>
      <c r="EG63" s="335">
        <f t="shared" si="292"/>
        <v>6.9755570667648925E-3</v>
      </c>
      <c r="EH63" s="350">
        <f t="shared" si="293"/>
        <v>9.9999997171806854E-10</v>
      </c>
      <c r="EI63" s="387">
        <f t="shared" si="294"/>
        <v>4.8912877931547496E-3</v>
      </c>
      <c r="EJ63" s="335">
        <f t="shared" si="295"/>
        <v>2.1676472521287016E-3</v>
      </c>
      <c r="EK63" s="350">
        <f t="shared" si="296"/>
        <v>0</v>
      </c>
      <c r="EL63" s="387">
        <f t="shared" si="297"/>
        <v>1.519962605858971E-3</v>
      </c>
      <c r="EO63" s="454" t="s">
        <v>160</v>
      </c>
      <c r="EP63" s="452" t="s">
        <v>159</v>
      </c>
      <c r="EQ63" s="452" t="s">
        <v>380</v>
      </c>
      <c r="ER63" s="452" t="s">
        <v>79</v>
      </c>
      <c r="ES63" s="452" t="s">
        <v>81</v>
      </c>
      <c r="ET63" s="452" t="s">
        <v>303</v>
      </c>
      <c r="EU63" s="452" t="s">
        <v>163</v>
      </c>
      <c r="EV63" s="321" t="s">
        <v>16</v>
      </c>
      <c r="EW63" s="457" t="s">
        <v>381</v>
      </c>
      <c r="EY63" s="363">
        <v>35</v>
      </c>
      <c r="EZ63" s="346">
        <v>0.26500000000000001</v>
      </c>
      <c r="FA63" s="347">
        <f t="shared" si="357"/>
        <v>0.21200000000000002</v>
      </c>
      <c r="FB63" s="347">
        <f t="shared" si="358"/>
        <v>0.318</v>
      </c>
      <c r="FC63" s="33">
        <f t="shared" si="359"/>
        <v>70.321805830254561</v>
      </c>
      <c r="FD63" s="33">
        <f t="shared" si="360"/>
        <v>195.04349918957396</v>
      </c>
      <c r="FE63" s="308">
        <f t="shared" ca="1" si="364"/>
        <v>0.24381062047737456</v>
      </c>
      <c r="FF63" s="364">
        <f t="shared" si="365"/>
        <v>0.45300000000000001</v>
      </c>
    </row>
    <row r="64" spans="2:172" ht="15" customHeight="1" x14ac:dyDescent="0.2">
      <c r="B64" s="15" t="s">
        <v>278</v>
      </c>
      <c r="C64" s="23">
        <f t="shared" ref="C64:C66" si="393">IF(psa,J64,IF(owsa_low=L64,F64,IF(owsa_high=L64,G64,IF(ISNUMBER(D64),D64,E64))))</f>
        <v>0.95</v>
      </c>
      <c r="D64" s="141"/>
      <c r="E64" s="23">
        <v>0.95</v>
      </c>
      <c r="F64" s="263">
        <f t="shared" ref="F64:F66" si="394">IF(ISNUMBER(D64),D64,E64)*(1-owsa_boc)</f>
        <v>0.76</v>
      </c>
      <c r="G64" s="263">
        <f t="shared" ref="G64:G66" si="395">MIN(1,IF(ISNUMBER(D64),D64,E64)*(1+owsa_boc))</f>
        <v>1</v>
      </c>
      <c r="H64" s="33">
        <f t="shared" ref="H64" si="396">IF(ISNUMBER(D64),D64,E64)^2*(1-IF(ISNUMBER(D64),D64,E64))/((G64-F64)/(2*z))^2-IF(ISNUMBER(D64),D64,E64)</f>
        <v>11.087904811376562</v>
      </c>
      <c r="I64" s="33">
        <f t="shared" ref="I64" si="397">(IF(ISNUMBER(D64),D64,E64)^2*(1-IF(ISNUMBER(D64),D64,E64))/((G64-F64)/(2*z))^2-IF(ISNUMBER(D64),D64,E64))*(1-IF(ISNUMBER(D64),D64,E64))/IF(ISNUMBER(D64),D64,E64)</f>
        <v>0.58357393744087227</v>
      </c>
      <c r="J64" s="23">
        <f t="shared" ref="J64:J66" ca="1" si="398">_xlfn.BETA.INV(RAND(),H64,I64)</f>
        <v>0.97381054548185131</v>
      </c>
      <c r="K64" s="10" t="s">
        <v>49</v>
      </c>
      <c r="L64" s="10">
        <v>15</v>
      </c>
      <c r="M64" s="393" t="s">
        <v>279</v>
      </c>
      <c r="N64" s="415" t="s">
        <v>310</v>
      </c>
      <c r="Q64" s="10">
        <v>58</v>
      </c>
      <c r="R64" s="10">
        <f t="shared" si="215"/>
        <v>103</v>
      </c>
      <c r="S64" s="309" t="e">
        <f t="shared" si="242"/>
        <v>#N/A</v>
      </c>
      <c r="T64" s="309" t="e">
        <f t="shared" si="243"/>
        <v>#N/A</v>
      </c>
      <c r="U64" s="309" t="e">
        <f t="shared" si="244"/>
        <v>#N/A</v>
      </c>
      <c r="V64" s="235" t="e">
        <f t="shared" si="245"/>
        <v>#N/A</v>
      </c>
      <c r="W64" s="235" t="e">
        <f t="shared" si="246"/>
        <v>#N/A</v>
      </c>
      <c r="X64" s="309" t="e">
        <f t="shared" si="247"/>
        <v>#N/A</v>
      </c>
      <c r="Y64" s="235" t="e">
        <f t="shared" si="248"/>
        <v>#N/A</v>
      </c>
      <c r="Z64" s="235" t="e">
        <f t="shared" si="249"/>
        <v>#N/A</v>
      </c>
      <c r="AA64" s="235" t="e">
        <f t="shared" si="250"/>
        <v>#N/A</v>
      </c>
      <c r="AB64" s="235" t="e">
        <f t="shared" si="251"/>
        <v>#N/A</v>
      </c>
      <c r="AC64" s="235" t="e">
        <f t="shared" si="252"/>
        <v>#N/A</v>
      </c>
      <c r="AD64" s="235" t="e">
        <f t="shared" si="253"/>
        <v>#N/A</v>
      </c>
      <c r="AE64" s="235" t="e">
        <f t="shared" si="38"/>
        <v>#N/A</v>
      </c>
      <c r="AF64" s="101" t="e">
        <f t="shared" si="216"/>
        <v>#N/A</v>
      </c>
      <c r="AG64" s="101" t="e">
        <f t="shared" si="217"/>
        <v>#N/A</v>
      </c>
      <c r="AH64" s="101" t="e">
        <f t="shared" si="218"/>
        <v>#N/A</v>
      </c>
      <c r="AI64" s="101" t="e">
        <f t="shared" si="219"/>
        <v>#N/A</v>
      </c>
      <c r="AJ64" s="101" t="e">
        <f t="shared" si="220"/>
        <v>#N/A</v>
      </c>
      <c r="AK64" s="101" t="e">
        <f t="shared" si="254"/>
        <v>#N/A</v>
      </c>
      <c r="AL64" s="235" t="e">
        <f t="shared" si="255"/>
        <v>#N/A</v>
      </c>
      <c r="AM64" s="235" t="e">
        <f t="shared" si="221"/>
        <v>#N/A</v>
      </c>
      <c r="AN64" s="235" t="e">
        <f t="shared" si="222"/>
        <v>#N/A</v>
      </c>
      <c r="AO64" s="235" t="e">
        <f t="shared" si="223"/>
        <v>#N/A</v>
      </c>
      <c r="AP64" s="235" t="e">
        <f t="shared" si="224"/>
        <v>#N/A</v>
      </c>
      <c r="AQ64" s="235" t="e">
        <f t="shared" si="225"/>
        <v>#N/A</v>
      </c>
      <c r="AR64" s="101" t="e">
        <f t="shared" si="41"/>
        <v>#N/A</v>
      </c>
      <c r="AS64" s="235" t="e">
        <f t="shared" si="42"/>
        <v>#N/A</v>
      </c>
      <c r="AT64" s="235" t="e">
        <f t="shared" si="226"/>
        <v>#N/A</v>
      </c>
      <c r="AV64" s="10">
        <v>58</v>
      </c>
      <c r="AW64" s="10">
        <f t="shared" si="43"/>
        <v>103</v>
      </c>
      <c r="AX64" s="309" t="e">
        <f t="shared" si="256"/>
        <v>#N/A</v>
      </c>
      <c r="AY64" s="309" t="e">
        <f t="shared" si="257"/>
        <v>#N/A</v>
      </c>
      <c r="AZ64" s="309" t="e">
        <f t="shared" si="258"/>
        <v>#N/A</v>
      </c>
      <c r="BA64" s="235" t="e">
        <f t="shared" si="259"/>
        <v>#N/A</v>
      </c>
      <c r="BB64" s="235" t="e">
        <f t="shared" si="260"/>
        <v>#N/A</v>
      </c>
      <c r="BC64" s="309" t="e">
        <f t="shared" si="261"/>
        <v>#N/A</v>
      </c>
      <c r="BD64" s="235" t="e">
        <f t="shared" si="262"/>
        <v>#N/A</v>
      </c>
      <c r="BE64" s="235" t="e">
        <f t="shared" si="263"/>
        <v>#N/A</v>
      </c>
      <c r="BF64" s="235" t="e">
        <f t="shared" si="264"/>
        <v>#N/A</v>
      </c>
      <c r="BG64" s="235" t="e">
        <f t="shared" si="265"/>
        <v>#N/A</v>
      </c>
      <c r="BH64" s="235" t="e">
        <f t="shared" si="266"/>
        <v>#N/A</v>
      </c>
      <c r="BI64" s="235" t="e">
        <f t="shared" si="267"/>
        <v>#N/A</v>
      </c>
      <c r="BJ64" s="235" t="e">
        <f t="shared" si="56"/>
        <v>#N/A</v>
      </c>
      <c r="BK64" s="101" t="e">
        <f t="shared" si="227"/>
        <v>#N/A</v>
      </c>
      <c r="BL64" s="101" t="e">
        <f t="shared" si="228"/>
        <v>#N/A</v>
      </c>
      <c r="BM64" s="101" t="e">
        <f t="shared" si="229"/>
        <v>#N/A</v>
      </c>
      <c r="BN64" s="101" t="e">
        <f t="shared" si="230"/>
        <v>#N/A</v>
      </c>
      <c r="BO64" s="101" t="e">
        <f t="shared" si="231"/>
        <v>#N/A</v>
      </c>
      <c r="BP64" s="101" t="e">
        <f t="shared" si="268"/>
        <v>#N/A</v>
      </c>
      <c r="BQ64" s="235" t="e">
        <f t="shared" si="232"/>
        <v>#N/A</v>
      </c>
      <c r="BR64" s="235" t="e">
        <f t="shared" si="233"/>
        <v>#N/A</v>
      </c>
      <c r="BS64" s="235" t="e">
        <f t="shared" si="234"/>
        <v>#N/A</v>
      </c>
      <c r="BT64" s="235" t="e">
        <f t="shared" si="235"/>
        <v>#N/A</v>
      </c>
      <c r="BU64" s="235" t="e">
        <f t="shared" si="236"/>
        <v>#N/A</v>
      </c>
      <c r="BV64" s="235" t="e">
        <f t="shared" si="237"/>
        <v>#N/A</v>
      </c>
      <c r="BW64" s="101" t="e">
        <f t="shared" si="58"/>
        <v>#N/A</v>
      </c>
      <c r="BX64" s="235" t="e">
        <f t="shared" si="59"/>
        <v>#N/A</v>
      </c>
      <c r="BY64" s="235" t="e">
        <f t="shared" si="238"/>
        <v>#N/A</v>
      </c>
      <c r="CA64" s="23"/>
      <c r="CJ64" s="10">
        <v>56</v>
      </c>
      <c r="CK64" s="450">
        <v>0.39711081049470415</v>
      </c>
      <c r="CL64" s="450">
        <v>2.3183161213132727E-2</v>
      </c>
      <c r="CM64" s="450">
        <v>0.39711081049470415</v>
      </c>
      <c r="CN64" s="450">
        <v>2.3183161213132727E-2</v>
      </c>
      <c r="CO64" s="451">
        <v>0.2119996361768674</v>
      </c>
      <c r="CP64" s="451">
        <v>0.21402708636495116</v>
      </c>
      <c r="CQ64" s="451">
        <v>0.12400655300102618</v>
      </c>
      <c r="CR64" s="451">
        <v>0.1271513902253924</v>
      </c>
      <c r="CS64" s="451">
        <v>12.53887274988098</v>
      </c>
      <c r="CT64" s="451">
        <v>12.543005370972573</v>
      </c>
      <c r="CU64" s="234">
        <v>-4.1326210915926254E-3</v>
      </c>
      <c r="CX64" s="402">
        <v>56</v>
      </c>
      <c r="CY64" s="200">
        <f t="shared" si="272"/>
        <v>5.1450000000000003E-3</v>
      </c>
      <c r="CZ64" s="403">
        <v>5.1450000000000003E-3</v>
      </c>
      <c r="DA64" s="345">
        <f t="shared" si="273"/>
        <v>3.2716243504585907E-2</v>
      </c>
      <c r="DB64" s="387">
        <f t="shared" si="274"/>
        <v>0.1419156596645651</v>
      </c>
      <c r="DC64" s="114">
        <f t="shared" si="91"/>
        <v>2.537256601490423E-2</v>
      </c>
      <c r="DD64" s="378">
        <f t="shared" si="92"/>
        <v>2.7125317446546005E-2</v>
      </c>
      <c r="DE64" s="378">
        <f t="shared" si="275"/>
        <v>2.5896281388744155E-2</v>
      </c>
      <c r="DF64" s="340">
        <f t="shared" si="93"/>
        <v>6.9755570667648925E-3</v>
      </c>
      <c r="DG64" s="378">
        <f t="shared" si="94"/>
        <v>9.9999997171806854E-10</v>
      </c>
      <c r="DH64" s="378">
        <f t="shared" si="276"/>
        <v>4.8912877931547496E-3</v>
      </c>
      <c r="DI64" s="340">
        <f>DI63+(DI68-DI58)/10</f>
        <v>0.50800000000000001</v>
      </c>
      <c r="DJ64" s="378">
        <f t="shared" ref="DJ64" si="399">DJ63+(DJ68-DJ58)/10</f>
        <v>0.45800000000000007</v>
      </c>
      <c r="DK64" s="350">
        <f t="shared" si="278"/>
        <v>0.49306019266664169</v>
      </c>
      <c r="DL64" s="340">
        <f t="shared" ref="DL64" si="400">DL63+(DL68-DL58)/10</f>
        <v>0.15200000000000002</v>
      </c>
      <c r="DM64" s="378">
        <f t="shared" ref="DM64" si="401">DM63+(DM68-DM58)/10</f>
        <v>4.2000400000000007E-2</v>
      </c>
      <c r="DN64" s="396">
        <f t="shared" si="281"/>
        <v>0.11913254338507025</v>
      </c>
      <c r="DO64" s="335">
        <f t="shared" si="103"/>
        <v>0</v>
      </c>
      <c r="DP64" s="350">
        <f t="shared" si="104"/>
        <v>0</v>
      </c>
      <c r="DQ64" s="349">
        <f t="shared" si="282"/>
        <v>0</v>
      </c>
      <c r="DR64" s="335">
        <f t="shared" si="105"/>
        <v>4.1999999999999815E-3</v>
      </c>
      <c r="DS64" s="350">
        <f t="shared" si="106"/>
        <v>7.1999999999999842E-3</v>
      </c>
      <c r="DT64" s="349">
        <f t="shared" si="283"/>
        <v>5.0963884400014852E-3</v>
      </c>
      <c r="DU64" s="335">
        <f>DU63+(DU68-DU63)/5</f>
        <v>0.46399999999999997</v>
      </c>
      <c r="DV64" s="350">
        <f>DV63+(DV68-DV63)/5</f>
        <v>0.46500000000000008</v>
      </c>
      <c r="DW64" s="350">
        <f t="shared" si="284"/>
        <v>0.46429879614666725</v>
      </c>
      <c r="DX64" s="335">
        <f>DX63+(DX68-DX63)/5</f>
        <v>0.95520000000000005</v>
      </c>
      <c r="DY64" s="350">
        <f>DY63+(DY68-DY63)/5</f>
        <v>0.8962</v>
      </c>
      <c r="DZ64" s="396">
        <f t="shared" si="285"/>
        <v>0.93757102734663722</v>
      </c>
      <c r="EA64" s="350">
        <f t="shared" si="286"/>
        <v>0</v>
      </c>
      <c r="EB64" s="350">
        <f t="shared" si="287"/>
        <v>0</v>
      </c>
      <c r="EC64" s="349">
        <f t="shared" si="288"/>
        <v>0</v>
      </c>
      <c r="ED64" s="335">
        <f t="shared" si="289"/>
        <v>1.6060630313013968E-2</v>
      </c>
      <c r="EE64" s="350">
        <f t="shared" si="290"/>
        <v>9.8511563170428085E-3</v>
      </c>
      <c r="EF64" s="387">
        <f t="shared" si="291"/>
        <v>1.4205263410187807E-2</v>
      </c>
      <c r="EG64" s="335">
        <f t="shared" si="292"/>
        <v>6.9755570667648925E-3</v>
      </c>
      <c r="EH64" s="350">
        <f t="shared" si="293"/>
        <v>9.9999997171806854E-10</v>
      </c>
      <c r="EI64" s="387">
        <f t="shared" si="294"/>
        <v>4.8912877931547496E-3</v>
      </c>
      <c r="EJ64" s="335">
        <f t="shared" si="295"/>
        <v>2.1676472521287016E-3</v>
      </c>
      <c r="EK64" s="350">
        <f t="shared" si="296"/>
        <v>0</v>
      </c>
      <c r="EL64" s="387">
        <f t="shared" si="297"/>
        <v>1.519962605858971E-3</v>
      </c>
      <c r="EO64" s="454">
        <v>0</v>
      </c>
      <c r="EP64" s="452"/>
      <c r="EQ64" s="458">
        <v>0</v>
      </c>
      <c r="ER64" s="458">
        <v>0</v>
      </c>
      <c r="ES64" s="458">
        <v>0</v>
      </c>
      <c r="ET64" s="54" t="e">
        <f>(LN(ES64)-LN(ER64))/(2*z)</f>
        <v>#NUM!</v>
      </c>
      <c r="EU64" s="458">
        <f t="shared" ref="EU64:EU74" ca="1" si="402">IFERROR(_xlfn.LOGNORM.INV(RAND(),LN(EQ64)-(ET64^2)/2,ET64),EQ64)</f>
        <v>0</v>
      </c>
      <c r="EV64" s="458">
        <f t="shared" ref="EV64:EV74" si="403">IF(psa,EU64,EQ64)</f>
        <v>0</v>
      </c>
      <c r="EW64" s="396">
        <f>1-EXP(-(EV64/1000))</f>
        <v>0</v>
      </c>
      <c r="EY64" s="363">
        <v>40</v>
      </c>
      <c r="EZ64" s="346">
        <v>0.25</v>
      </c>
      <c r="FA64" s="347">
        <f t="shared" si="357"/>
        <v>0.2</v>
      </c>
      <c r="FB64" s="347">
        <f t="shared" si="358"/>
        <v>0.3</v>
      </c>
      <c r="FC64" s="33">
        <f t="shared" si="359"/>
        <v>71.777352888014846</v>
      </c>
      <c r="FD64" s="33">
        <f t="shared" si="360"/>
        <v>215.33205866404455</v>
      </c>
      <c r="FE64" s="308">
        <f t="shared" ca="1" si="364"/>
        <v>0.2178652415588552</v>
      </c>
      <c r="FF64" s="364">
        <f t="shared" si="365"/>
        <v>0.70300000000000007</v>
      </c>
    </row>
    <row r="65" spans="2:163" ht="15" customHeight="1" x14ac:dyDescent="0.2">
      <c r="B65" s="15" t="s">
        <v>359</v>
      </c>
      <c r="C65" s="23">
        <f t="shared" si="393"/>
        <v>0.66300000000000003</v>
      </c>
      <c r="D65" s="141"/>
      <c r="E65" s="23">
        <f>0.663</f>
        <v>0.66300000000000003</v>
      </c>
      <c r="F65" s="263">
        <f t="shared" si="394"/>
        <v>0.53040000000000009</v>
      </c>
      <c r="G65" s="263">
        <f t="shared" si="395"/>
        <v>0.79559999999999997</v>
      </c>
      <c r="H65" s="33">
        <f t="shared" ref="H65:H66" si="404">IF(ISNUMBER(D65),D65,E65)^2*(1-IF(ISNUMBER(D65),D65,E65))/((G65-F65)/(2*z))^2-IF(ISNUMBER(D65),D65,E65)</f>
        <v>31.701290564348017</v>
      </c>
      <c r="I65" s="33">
        <f t="shared" ref="I65:I66" si="405">(IF(ISNUMBER(D65),D65,E65)^2*(1-IF(ISNUMBER(D65),D65,E65))/((G65-F65)/(2*z))^2-IF(ISNUMBER(D65),D65,E65))*(1-IF(ISNUMBER(D65),D65,E65))/IF(ISNUMBER(D65),D65,E65)</f>
        <v>16.113627330596199</v>
      </c>
      <c r="J65" s="23">
        <f t="shared" ca="1" si="398"/>
        <v>0.53197641889590752</v>
      </c>
      <c r="K65" s="10" t="s">
        <v>49</v>
      </c>
      <c r="L65" s="10">
        <v>16</v>
      </c>
      <c r="M65" s="393" t="s">
        <v>341</v>
      </c>
      <c r="N65" s="413" t="s">
        <v>395</v>
      </c>
      <c r="Q65" s="10">
        <v>59</v>
      </c>
      <c r="R65" s="10">
        <f t="shared" si="215"/>
        <v>104</v>
      </c>
      <c r="S65" s="309" t="e">
        <f t="shared" si="242"/>
        <v>#N/A</v>
      </c>
      <c r="T65" s="309" t="e">
        <f t="shared" si="243"/>
        <v>#N/A</v>
      </c>
      <c r="U65" s="309" t="e">
        <f t="shared" si="244"/>
        <v>#N/A</v>
      </c>
      <c r="V65" s="235" t="e">
        <f t="shared" si="245"/>
        <v>#N/A</v>
      </c>
      <c r="W65" s="235" t="e">
        <f t="shared" si="246"/>
        <v>#N/A</v>
      </c>
      <c r="X65" s="309" t="e">
        <f t="shared" si="247"/>
        <v>#N/A</v>
      </c>
      <c r="Y65" s="235" t="e">
        <f t="shared" si="248"/>
        <v>#N/A</v>
      </c>
      <c r="Z65" s="235" t="e">
        <f t="shared" si="249"/>
        <v>#N/A</v>
      </c>
      <c r="AA65" s="235" t="e">
        <f t="shared" si="250"/>
        <v>#N/A</v>
      </c>
      <c r="AB65" s="235" t="e">
        <f t="shared" si="251"/>
        <v>#N/A</v>
      </c>
      <c r="AC65" s="235" t="e">
        <f t="shared" si="252"/>
        <v>#N/A</v>
      </c>
      <c r="AD65" s="235" t="e">
        <f t="shared" si="253"/>
        <v>#N/A</v>
      </c>
      <c r="AE65" s="235" t="e">
        <f t="shared" si="38"/>
        <v>#N/A</v>
      </c>
      <c r="AF65" s="101" t="e">
        <f t="shared" si="216"/>
        <v>#N/A</v>
      </c>
      <c r="AG65" s="101" t="e">
        <f t="shared" si="217"/>
        <v>#N/A</v>
      </c>
      <c r="AH65" s="101" t="e">
        <f t="shared" si="218"/>
        <v>#N/A</v>
      </c>
      <c r="AI65" s="101" t="e">
        <f t="shared" si="219"/>
        <v>#N/A</v>
      </c>
      <c r="AJ65" s="101" t="e">
        <f t="shared" si="220"/>
        <v>#N/A</v>
      </c>
      <c r="AK65" s="101" t="e">
        <f t="shared" si="254"/>
        <v>#N/A</v>
      </c>
      <c r="AL65" s="235" t="e">
        <f t="shared" si="255"/>
        <v>#N/A</v>
      </c>
      <c r="AM65" s="235" t="e">
        <f t="shared" si="221"/>
        <v>#N/A</v>
      </c>
      <c r="AN65" s="235" t="e">
        <f t="shared" si="222"/>
        <v>#N/A</v>
      </c>
      <c r="AO65" s="235" t="e">
        <f t="shared" si="223"/>
        <v>#N/A</v>
      </c>
      <c r="AP65" s="235" t="e">
        <f t="shared" si="224"/>
        <v>#N/A</v>
      </c>
      <c r="AQ65" s="235" t="e">
        <f t="shared" si="225"/>
        <v>#N/A</v>
      </c>
      <c r="AR65" s="101" t="e">
        <f t="shared" si="41"/>
        <v>#N/A</v>
      </c>
      <c r="AS65" s="235" t="e">
        <f t="shared" si="42"/>
        <v>#N/A</v>
      </c>
      <c r="AT65" s="235" t="e">
        <f t="shared" si="226"/>
        <v>#N/A</v>
      </c>
      <c r="AV65" s="10">
        <v>59</v>
      </c>
      <c r="AW65" s="10">
        <f t="shared" si="43"/>
        <v>104</v>
      </c>
      <c r="AX65" s="309" t="e">
        <f t="shared" si="256"/>
        <v>#N/A</v>
      </c>
      <c r="AY65" s="309" t="e">
        <f t="shared" si="257"/>
        <v>#N/A</v>
      </c>
      <c r="AZ65" s="309" t="e">
        <f t="shared" si="258"/>
        <v>#N/A</v>
      </c>
      <c r="BA65" s="235" t="e">
        <f t="shared" si="259"/>
        <v>#N/A</v>
      </c>
      <c r="BB65" s="235" t="e">
        <f t="shared" si="260"/>
        <v>#N/A</v>
      </c>
      <c r="BC65" s="309" t="e">
        <f t="shared" si="261"/>
        <v>#N/A</v>
      </c>
      <c r="BD65" s="235" t="e">
        <f t="shared" si="262"/>
        <v>#N/A</v>
      </c>
      <c r="BE65" s="235" t="e">
        <f t="shared" si="263"/>
        <v>#N/A</v>
      </c>
      <c r="BF65" s="235" t="e">
        <f t="shared" si="264"/>
        <v>#N/A</v>
      </c>
      <c r="BG65" s="235" t="e">
        <f t="shared" si="265"/>
        <v>#N/A</v>
      </c>
      <c r="BH65" s="235" t="e">
        <f t="shared" si="266"/>
        <v>#N/A</v>
      </c>
      <c r="BI65" s="235" t="e">
        <f t="shared" si="267"/>
        <v>#N/A</v>
      </c>
      <c r="BJ65" s="235" t="e">
        <f t="shared" si="56"/>
        <v>#N/A</v>
      </c>
      <c r="BK65" s="101" t="e">
        <f t="shared" si="227"/>
        <v>#N/A</v>
      </c>
      <c r="BL65" s="101" t="e">
        <f t="shared" si="228"/>
        <v>#N/A</v>
      </c>
      <c r="BM65" s="101" t="e">
        <f t="shared" si="229"/>
        <v>#N/A</v>
      </c>
      <c r="BN65" s="101" t="e">
        <f t="shared" si="230"/>
        <v>#N/A</v>
      </c>
      <c r="BO65" s="101" t="e">
        <f t="shared" si="231"/>
        <v>#N/A</v>
      </c>
      <c r="BP65" s="101" t="e">
        <f t="shared" si="268"/>
        <v>#N/A</v>
      </c>
      <c r="BQ65" s="235" t="e">
        <f t="shared" si="232"/>
        <v>#N/A</v>
      </c>
      <c r="BR65" s="235" t="e">
        <f t="shared" si="233"/>
        <v>#N/A</v>
      </c>
      <c r="BS65" s="235" t="e">
        <f t="shared" si="234"/>
        <v>#N/A</v>
      </c>
      <c r="BT65" s="235" t="e">
        <f t="shared" si="235"/>
        <v>#N/A</v>
      </c>
      <c r="BU65" s="235" t="e">
        <f t="shared" si="236"/>
        <v>#N/A</v>
      </c>
      <c r="BV65" s="235" t="e">
        <f t="shared" si="237"/>
        <v>#N/A</v>
      </c>
      <c r="BW65" s="101" t="e">
        <f t="shared" si="58"/>
        <v>#N/A</v>
      </c>
      <c r="BX65" s="235" t="e">
        <f t="shared" si="59"/>
        <v>#N/A</v>
      </c>
      <c r="BY65" s="235" t="e">
        <f t="shared" si="238"/>
        <v>#N/A</v>
      </c>
      <c r="CA65" s="23"/>
      <c r="CJ65" s="10">
        <v>57</v>
      </c>
      <c r="CK65" s="450">
        <v>0.40429094124965881</v>
      </c>
      <c r="CL65" s="450">
        <v>2.6375300621800966E-2</v>
      </c>
      <c r="CM65" s="450">
        <v>0.40429094124965881</v>
      </c>
      <c r="CN65" s="450">
        <v>2.6375300621800966E-2</v>
      </c>
      <c r="CO65" s="451">
        <v>0.20134109947486814</v>
      </c>
      <c r="CP65" s="451">
        <v>0.20306069117345987</v>
      </c>
      <c r="CQ65" s="451">
        <v>0.12390965224344655</v>
      </c>
      <c r="CR65" s="451">
        <v>0.12668686011431438</v>
      </c>
      <c r="CS65" s="451">
        <v>12.227205388968935</v>
      </c>
      <c r="CT65" s="451">
        <v>12.233893506958108</v>
      </c>
      <c r="CU65" s="234">
        <v>-6.6881179891726816E-3</v>
      </c>
      <c r="CX65" s="402">
        <v>57</v>
      </c>
      <c r="CY65" s="200">
        <f t="shared" si="272"/>
        <v>5.5209999999999999E-3</v>
      </c>
      <c r="CZ65" s="403">
        <v>5.5209999999999999E-3</v>
      </c>
      <c r="DA65" s="345">
        <f t="shared" si="273"/>
        <v>3.2716243504585907E-2</v>
      </c>
      <c r="DB65" s="387">
        <f t="shared" si="274"/>
        <v>0.1419156596645651</v>
      </c>
      <c r="DC65" s="114">
        <f t="shared" si="91"/>
        <v>2.537256601490423E-2</v>
      </c>
      <c r="DD65" s="378">
        <f t="shared" si="92"/>
        <v>2.7125317446546005E-2</v>
      </c>
      <c r="DE65" s="378">
        <f t="shared" si="275"/>
        <v>2.5896281388744155E-2</v>
      </c>
      <c r="DF65" s="340">
        <f t="shared" si="93"/>
        <v>6.9755570667648925E-3</v>
      </c>
      <c r="DG65" s="378">
        <f t="shared" si="94"/>
        <v>9.9999997171806854E-10</v>
      </c>
      <c r="DH65" s="378">
        <f t="shared" si="276"/>
        <v>4.8912877931547496E-3</v>
      </c>
      <c r="DI65" s="340">
        <f>DI64+(DI68-DI58)/10</f>
        <v>0.52100000000000002</v>
      </c>
      <c r="DJ65" s="378">
        <f t="shared" ref="DJ65" si="406">DJ64+(DJ68-DJ58)/10</f>
        <v>0.47600000000000009</v>
      </c>
      <c r="DK65" s="350">
        <f t="shared" si="278"/>
        <v>0.50755417339997755</v>
      </c>
      <c r="DL65" s="340">
        <f t="shared" ref="DL65" si="407">DL64+(DL68-DL58)/10</f>
        <v>0.16400000000000003</v>
      </c>
      <c r="DM65" s="378">
        <f t="shared" ref="DM65" si="408">DM64+(DM68-DM58)/10</f>
        <v>4.9000300000000011E-2</v>
      </c>
      <c r="DN65" s="396">
        <f t="shared" si="281"/>
        <v>0.12963853277211973</v>
      </c>
      <c r="DO65" s="335">
        <f t="shared" si="103"/>
        <v>0</v>
      </c>
      <c r="DP65" s="350">
        <f t="shared" si="104"/>
        <v>0</v>
      </c>
      <c r="DQ65" s="349">
        <f t="shared" si="282"/>
        <v>0</v>
      </c>
      <c r="DR65" s="335">
        <f t="shared" si="105"/>
        <v>4.1999999999999815E-3</v>
      </c>
      <c r="DS65" s="350">
        <f t="shared" si="106"/>
        <v>7.1999999999999842E-3</v>
      </c>
      <c r="DT65" s="349">
        <f t="shared" si="283"/>
        <v>5.0963884400014852E-3</v>
      </c>
      <c r="DU65" s="200">
        <f>DU64+(DU68-DU63)/5</f>
        <v>0.46399999999999997</v>
      </c>
      <c r="DV65" s="114">
        <f>DV64+(DV68-DV63)/5</f>
        <v>0.46500000000000008</v>
      </c>
      <c r="DW65" s="350">
        <f t="shared" si="284"/>
        <v>0.46429879614666725</v>
      </c>
      <c r="DX65" s="200">
        <f>DX64+(DX68-DX63)/5</f>
        <v>0.95940000000000003</v>
      </c>
      <c r="DY65" s="114">
        <f>DY64+(DY68-DY63)/5</f>
        <v>0.90339999999999998</v>
      </c>
      <c r="DZ65" s="396">
        <f t="shared" si="285"/>
        <v>0.94266741578663871</v>
      </c>
      <c r="EA65" s="350">
        <f t="shared" si="286"/>
        <v>0</v>
      </c>
      <c r="EB65" s="350">
        <f t="shared" si="287"/>
        <v>0</v>
      </c>
      <c r="EC65" s="349">
        <f t="shared" si="288"/>
        <v>0</v>
      </c>
      <c r="ED65" s="335">
        <f t="shared" si="289"/>
        <v>1.6060630313013968E-2</v>
      </c>
      <c r="EE65" s="350">
        <f t="shared" si="290"/>
        <v>9.8511563170428085E-3</v>
      </c>
      <c r="EF65" s="387">
        <f t="shared" si="291"/>
        <v>1.4205263410187807E-2</v>
      </c>
      <c r="EG65" s="335">
        <f t="shared" si="292"/>
        <v>6.9755570667648925E-3</v>
      </c>
      <c r="EH65" s="350">
        <f t="shared" si="293"/>
        <v>9.9999997171806854E-10</v>
      </c>
      <c r="EI65" s="387">
        <f t="shared" si="294"/>
        <v>4.8912877931547496E-3</v>
      </c>
      <c r="EJ65" s="335">
        <f t="shared" si="295"/>
        <v>2.1676472521287016E-3</v>
      </c>
      <c r="EK65" s="350">
        <f t="shared" si="296"/>
        <v>0</v>
      </c>
      <c r="EL65" s="387">
        <f t="shared" si="297"/>
        <v>1.519962605858971E-3</v>
      </c>
      <c r="EO65" s="454">
        <v>1</v>
      </c>
      <c r="EP65" s="452"/>
      <c r="EQ65" s="458">
        <v>0</v>
      </c>
      <c r="ER65" s="458">
        <v>0</v>
      </c>
      <c r="ES65" s="458">
        <v>0</v>
      </c>
      <c r="ET65" s="347" t="e">
        <f t="shared" ref="ET65:ET74" si="409">(LN(ES65)-LN(ER65))/(2*z)</f>
        <v>#NUM!</v>
      </c>
      <c r="EU65" s="458">
        <f t="shared" ca="1" si="402"/>
        <v>0</v>
      </c>
      <c r="EV65" s="458">
        <f t="shared" si="403"/>
        <v>0</v>
      </c>
      <c r="EW65" s="396">
        <f t="shared" ref="EW65:EW74" si="410">1-EXP(-(EV65/1000))</f>
        <v>0</v>
      </c>
      <c r="EY65" s="363">
        <v>45</v>
      </c>
      <c r="EZ65" s="346">
        <v>0.16</v>
      </c>
      <c r="FA65" s="347">
        <f t="shared" si="357"/>
        <v>0.128</v>
      </c>
      <c r="FB65" s="347">
        <f t="shared" si="358"/>
        <v>0.192</v>
      </c>
      <c r="FC65" s="33">
        <f t="shared" si="359"/>
        <v>80.510635234576597</v>
      </c>
      <c r="FD65" s="33">
        <f t="shared" si="360"/>
        <v>422.68083498152708</v>
      </c>
      <c r="FE65" s="308">
        <f t="shared" ca="1" si="364"/>
        <v>0.13850405263688034</v>
      </c>
      <c r="FF65" s="364">
        <f t="shared" si="365"/>
        <v>0.8630000000000001</v>
      </c>
    </row>
    <row r="66" spans="2:163" ht="15" customHeight="1" x14ac:dyDescent="0.2">
      <c r="B66" s="15" t="s">
        <v>356</v>
      </c>
      <c r="C66" s="23">
        <f t="shared" si="393"/>
        <v>0.628</v>
      </c>
      <c r="D66" s="141"/>
      <c r="E66" s="461">
        <f>0.3*0.81+0.7*0.55</f>
        <v>0.628</v>
      </c>
      <c r="F66" s="263">
        <f t="shared" si="394"/>
        <v>0.50240000000000007</v>
      </c>
      <c r="G66" s="263">
        <f t="shared" si="395"/>
        <v>0.75359999999999994</v>
      </c>
      <c r="H66" s="33">
        <f t="shared" si="404"/>
        <v>35.09756703245538</v>
      </c>
      <c r="I66" s="33">
        <f t="shared" si="405"/>
        <v>20.790278560626437</v>
      </c>
      <c r="J66" s="23">
        <f t="shared" ca="1" si="398"/>
        <v>0.65711946202678229</v>
      </c>
      <c r="K66" s="10" t="s">
        <v>49</v>
      </c>
      <c r="L66" s="10">
        <v>17</v>
      </c>
      <c r="M66" s="393" t="s">
        <v>342</v>
      </c>
      <c r="N66" s="413" t="s">
        <v>396</v>
      </c>
      <c r="Q66" s="10">
        <v>60</v>
      </c>
      <c r="R66" s="10">
        <f t="shared" si="215"/>
        <v>105</v>
      </c>
      <c r="S66" s="309" t="e">
        <f t="shared" si="242"/>
        <v>#N/A</v>
      </c>
      <c r="T66" s="309" t="e">
        <f t="shared" si="243"/>
        <v>#N/A</v>
      </c>
      <c r="U66" s="309" t="e">
        <f t="shared" si="244"/>
        <v>#N/A</v>
      </c>
      <c r="V66" s="235" t="e">
        <f t="shared" si="245"/>
        <v>#N/A</v>
      </c>
      <c r="W66" s="235" t="e">
        <f t="shared" si="246"/>
        <v>#N/A</v>
      </c>
      <c r="X66" s="309" t="e">
        <f t="shared" si="247"/>
        <v>#N/A</v>
      </c>
      <c r="Y66" s="235" t="e">
        <f t="shared" si="248"/>
        <v>#N/A</v>
      </c>
      <c r="Z66" s="235" t="e">
        <f t="shared" si="249"/>
        <v>#N/A</v>
      </c>
      <c r="AA66" s="235" t="e">
        <f t="shared" si="250"/>
        <v>#N/A</v>
      </c>
      <c r="AB66" s="235" t="e">
        <f t="shared" si="251"/>
        <v>#N/A</v>
      </c>
      <c r="AC66" s="235" t="e">
        <f t="shared" si="252"/>
        <v>#N/A</v>
      </c>
      <c r="AD66" s="235" t="e">
        <f t="shared" si="253"/>
        <v>#N/A</v>
      </c>
      <c r="AE66" s="235" t="e">
        <f t="shared" si="38"/>
        <v>#N/A</v>
      </c>
      <c r="AF66" s="101" t="e">
        <f t="shared" si="216"/>
        <v>#N/A</v>
      </c>
      <c r="AG66" s="101" t="e">
        <f t="shared" si="217"/>
        <v>#N/A</v>
      </c>
      <c r="AH66" s="101" t="e">
        <f t="shared" si="218"/>
        <v>#N/A</v>
      </c>
      <c r="AI66" s="101" t="e">
        <f t="shared" si="219"/>
        <v>#N/A</v>
      </c>
      <c r="AJ66" s="101" t="e">
        <f t="shared" si="220"/>
        <v>#N/A</v>
      </c>
      <c r="AK66" s="101" t="e">
        <f t="shared" si="254"/>
        <v>#N/A</v>
      </c>
      <c r="AL66" s="235" t="e">
        <f t="shared" si="255"/>
        <v>#N/A</v>
      </c>
      <c r="AM66" s="235" t="e">
        <f t="shared" si="221"/>
        <v>#N/A</v>
      </c>
      <c r="AN66" s="235" t="e">
        <f t="shared" si="222"/>
        <v>#N/A</v>
      </c>
      <c r="AO66" s="235" t="e">
        <f t="shared" si="223"/>
        <v>#N/A</v>
      </c>
      <c r="AP66" s="235" t="e">
        <f t="shared" si="224"/>
        <v>#N/A</v>
      </c>
      <c r="AQ66" s="235" t="e">
        <f t="shared" si="225"/>
        <v>#N/A</v>
      </c>
      <c r="AR66" s="101" t="e">
        <f t="shared" si="41"/>
        <v>#N/A</v>
      </c>
      <c r="AS66" s="235" t="e">
        <f t="shared" si="42"/>
        <v>#N/A</v>
      </c>
      <c r="AT66" s="235" t="e">
        <f t="shared" si="226"/>
        <v>#N/A</v>
      </c>
      <c r="AV66" s="10">
        <v>60</v>
      </c>
      <c r="AW66" s="10">
        <f t="shared" si="43"/>
        <v>105</v>
      </c>
      <c r="AX66" s="309" t="e">
        <f t="shared" si="256"/>
        <v>#N/A</v>
      </c>
      <c r="AY66" s="309" t="e">
        <f t="shared" si="257"/>
        <v>#N/A</v>
      </c>
      <c r="AZ66" s="309" t="e">
        <f t="shared" si="258"/>
        <v>#N/A</v>
      </c>
      <c r="BA66" s="235" t="e">
        <f t="shared" si="259"/>
        <v>#N/A</v>
      </c>
      <c r="BB66" s="235" t="e">
        <f t="shared" si="260"/>
        <v>#N/A</v>
      </c>
      <c r="BC66" s="309" t="e">
        <f t="shared" si="261"/>
        <v>#N/A</v>
      </c>
      <c r="BD66" s="235" t="e">
        <f t="shared" si="262"/>
        <v>#N/A</v>
      </c>
      <c r="BE66" s="235" t="e">
        <f t="shared" si="263"/>
        <v>#N/A</v>
      </c>
      <c r="BF66" s="235" t="e">
        <f t="shared" si="264"/>
        <v>#N/A</v>
      </c>
      <c r="BG66" s="235" t="e">
        <f t="shared" si="265"/>
        <v>#N/A</v>
      </c>
      <c r="BH66" s="235" t="e">
        <f t="shared" si="266"/>
        <v>#N/A</v>
      </c>
      <c r="BI66" s="235" t="e">
        <f t="shared" si="267"/>
        <v>#N/A</v>
      </c>
      <c r="BJ66" s="235" t="e">
        <f t="shared" si="56"/>
        <v>#N/A</v>
      </c>
      <c r="BK66" s="101" t="e">
        <f t="shared" si="227"/>
        <v>#N/A</v>
      </c>
      <c r="BL66" s="101" t="e">
        <f t="shared" si="228"/>
        <v>#N/A</v>
      </c>
      <c r="BM66" s="101" t="e">
        <f t="shared" si="229"/>
        <v>#N/A</v>
      </c>
      <c r="BN66" s="101" t="e">
        <f t="shared" si="230"/>
        <v>#N/A</v>
      </c>
      <c r="BO66" s="101" t="e">
        <f t="shared" si="231"/>
        <v>#N/A</v>
      </c>
      <c r="BP66" s="101" t="e">
        <f t="shared" si="268"/>
        <v>#N/A</v>
      </c>
      <c r="BQ66" s="235" t="e">
        <f t="shared" si="232"/>
        <v>#N/A</v>
      </c>
      <c r="BR66" s="235" t="e">
        <f t="shared" si="233"/>
        <v>#N/A</v>
      </c>
      <c r="BS66" s="235" t="e">
        <f t="shared" si="234"/>
        <v>#N/A</v>
      </c>
      <c r="BT66" s="235" t="e">
        <f t="shared" si="235"/>
        <v>#N/A</v>
      </c>
      <c r="BU66" s="235" t="e">
        <f t="shared" si="236"/>
        <v>#N/A</v>
      </c>
      <c r="BV66" s="235" t="e">
        <f t="shared" si="237"/>
        <v>#N/A</v>
      </c>
      <c r="BW66" s="101" t="e">
        <f t="shared" si="58"/>
        <v>#N/A</v>
      </c>
      <c r="BX66" s="235" t="e">
        <f t="shared" si="59"/>
        <v>#N/A</v>
      </c>
      <c r="BY66" s="235" t="e">
        <f t="shared" si="238"/>
        <v>#N/A</v>
      </c>
      <c r="CA66" s="23"/>
      <c r="CJ66" s="10">
        <v>58</v>
      </c>
      <c r="CK66" s="450">
        <v>0.41156340894598553</v>
      </c>
      <c r="CL66" s="450">
        <v>2.9659776971841533E-2</v>
      </c>
      <c r="CM66" s="450">
        <v>0.41156340894598553</v>
      </c>
      <c r="CN66" s="450">
        <v>2.9659776971841533E-2</v>
      </c>
      <c r="CO66" s="451">
        <v>0.19068298585037124</v>
      </c>
      <c r="CP66" s="451">
        <v>0.19210315242423592</v>
      </c>
      <c r="CQ66" s="451">
        <v>0.12383326373794293</v>
      </c>
      <c r="CR66" s="451">
        <v>0.12623174852062166</v>
      </c>
      <c r="CS66" s="451">
        <v>11.906251434927233</v>
      </c>
      <c r="CT66" s="451">
        <v>11.915599929963426</v>
      </c>
      <c r="CU66" s="234">
        <v>-9.3484950361926167E-3</v>
      </c>
      <c r="CX66" s="377">
        <v>58</v>
      </c>
      <c r="CY66" s="335">
        <f t="shared" si="272"/>
        <v>5.8999999999999999E-3</v>
      </c>
      <c r="CZ66" s="338">
        <v>5.8999999999999999E-3</v>
      </c>
      <c r="DA66" s="345">
        <f t="shared" si="273"/>
        <v>3.2716243504585907E-2</v>
      </c>
      <c r="DB66" s="387">
        <f t="shared" si="274"/>
        <v>0.1419156596645651</v>
      </c>
      <c r="DC66" s="114">
        <f t="shared" si="91"/>
        <v>2.537256601490423E-2</v>
      </c>
      <c r="DD66" s="378">
        <f t="shared" si="92"/>
        <v>2.7125317446546005E-2</v>
      </c>
      <c r="DE66" s="378">
        <f t="shared" si="275"/>
        <v>2.5896281388744155E-2</v>
      </c>
      <c r="DF66" s="340">
        <f t="shared" si="93"/>
        <v>6.9755570667648925E-3</v>
      </c>
      <c r="DG66" s="378">
        <f t="shared" si="94"/>
        <v>9.9999997171806854E-10</v>
      </c>
      <c r="DH66" s="378">
        <f t="shared" si="276"/>
        <v>4.8912877931547496E-3</v>
      </c>
      <c r="DI66" s="340">
        <f>DI65+(DI68-DI58)/10</f>
        <v>0.53400000000000003</v>
      </c>
      <c r="DJ66" s="378">
        <f t="shared" ref="DJ66" si="411">DJ65+(DJ68-DJ58)/10</f>
        <v>0.49400000000000011</v>
      </c>
      <c r="DK66" s="350">
        <f t="shared" si="278"/>
        <v>0.52204815413331329</v>
      </c>
      <c r="DL66" s="340">
        <f t="shared" ref="DL66" si="412">DL65+(DL68-DL58)/10</f>
        <v>0.17600000000000005</v>
      </c>
      <c r="DM66" s="378">
        <f t="shared" ref="DM66" si="413">DM65+(DM68-DM58)/10</f>
        <v>5.6000200000000014E-2</v>
      </c>
      <c r="DN66" s="396">
        <f t="shared" si="281"/>
        <v>0.14014452215916925</v>
      </c>
      <c r="DO66" s="335">
        <f t="shared" si="103"/>
        <v>0</v>
      </c>
      <c r="DP66" s="350">
        <f t="shared" si="104"/>
        <v>0</v>
      </c>
      <c r="DQ66" s="349">
        <f t="shared" si="282"/>
        <v>0</v>
      </c>
      <c r="DR66" s="335">
        <f t="shared" si="105"/>
        <v>4.1999999999999815E-3</v>
      </c>
      <c r="DS66" s="350">
        <f t="shared" si="106"/>
        <v>7.1999999999999842E-3</v>
      </c>
      <c r="DT66" s="349">
        <f t="shared" si="283"/>
        <v>5.0963884400014852E-3</v>
      </c>
      <c r="DU66" s="200">
        <f>DU65+(DU68-DU63)/5</f>
        <v>0.46399999999999997</v>
      </c>
      <c r="DV66" s="114">
        <f>DV65+(DV68-DV63)/5</f>
        <v>0.46500000000000008</v>
      </c>
      <c r="DW66" s="350">
        <f t="shared" si="284"/>
        <v>0.46429879614666725</v>
      </c>
      <c r="DX66" s="200">
        <f>DX65+(DX68-DX63)/5</f>
        <v>0.96360000000000001</v>
      </c>
      <c r="DY66" s="114">
        <f>DY65+(DY68-DY63)/5</f>
        <v>0.91059999999999997</v>
      </c>
      <c r="DZ66" s="396">
        <f t="shared" si="285"/>
        <v>0.94776380422664019</v>
      </c>
      <c r="EA66" s="350">
        <f t="shared" si="286"/>
        <v>0</v>
      </c>
      <c r="EB66" s="350">
        <f t="shared" si="287"/>
        <v>0</v>
      </c>
      <c r="EC66" s="349">
        <f t="shared" si="288"/>
        <v>0</v>
      </c>
      <c r="ED66" s="335">
        <f t="shared" si="289"/>
        <v>1.6060630313013968E-2</v>
      </c>
      <c r="EE66" s="350">
        <f t="shared" si="290"/>
        <v>9.8511563170428085E-3</v>
      </c>
      <c r="EF66" s="387">
        <f t="shared" si="291"/>
        <v>1.4205263410187807E-2</v>
      </c>
      <c r="EG66" s="335">
        <f t="shared" si="292"/>
        <v>6.9755570667648925E-3</v>
      </c>
      <c r="EH66" s="350">
        <f t="shared" si="293"/>
        <v>9.9999997171806854E-10</v>
      </c>
      <c r="EI66" s="387">
        <f t="shared" si="294"/>
        <v>4.8912877931547496E-3</v>
      </c>
      <c r="EJ66" s="335">
        <f t="shared" si="295"/>
        <v>2.1676472521287016E-3</v>
      </c>
      <c r="EK66" s="350">
        <f t="shared" si="296"/>
        <v>0</v>
      </c>
      <c r="EL66" s="387">
        <f t="shared" si="297"/>
        <v>1.519962605858971E-3</v>
      </c>
      <c r="EO66" s="454">
        <v>11</v>
      </c>
      <c r="EP66" s="452" t="s">
        <v>196</v>
      </c>
      <c r="EQ66" s="458">
        <v>0</v>
      </c>
      <c r="ER66" s="458">
        <v>0</v>
      </c>
      <c r="ES66" s="458">
        <v>0</v>
      </c>
      <c r="ET66" s="347" t="e">
        <f t="shared" si="409"/>
        <v>#NUM!</v>
      </c>
      <c r="EU66" s="458">
        <f t="shared" ca="1" si="402"/>
        <v>0</v>
      </c>
      <c r="EV66" s="458">
        <f t="shared" si="403"/>
        <v>0</v>
      </c>
      <c r="EW66" s="396">
        <f t="shared" si="410"/>
        <v>0</v>
      </c>
      <c r="EY66" s="363">
        <v>50</v>
      </c>
      <c r="EZ66" s="346">
        <v>6.6000000000000003E-2</v>
      </c>
      <c r="FA66" s="347">
        <f t="shared" si="357"/>
        <v>5.2800000000000007E-2</v>
      </c>
      <c r="FB66" s="347">
        <f t="shared" si="358"/>
        <v>7.9200000000000007E-2</v>
      </c>
      <c r="FC66" s="33">
        <f t="shared" si="359"/>
        <v>89.6320634632078</v>
      </c>
      <c r="FD66" s="33">
        <f t="shared" si="360"/>
        <v>1268.4295041611526</v>
      </c>
      <c r="FE66" s="308">
        <f t="shared" ca="1" si="364"/>
        <v>6.8474574414921441E-2</v>
      </c>
      <c r="FF66" s="364">
        <f t="shared" si="365"/>
        <v>0.92900000000000005</v>
      </c>
    </row>
    <row r="67" spans="2:163" ht="15" customHeight="1" x14ac:dyDescent="0.2">
      <c r="B67" s="15" t="s">
        <v>392</v>
      </c>
      <c r="C67" s="23">
        <f t="shared" ref="C67:C68" si="414">IF(psa,J67,IF(owsa_low=L67,F67,IF(owsa_high=L67,G67,IF(ISNUMBER(D67),D67,E67))))</f>
        <v>0.81</v>
      </c>
      <c r="D67" s="141"/>
      <c r="E67" s="461">
        <v>0.81</v>
      </c>
      <c r="F67" s="263">
        <f t="shared" ref="F67" si="415">IF(ISNUMBER(D67),D67,E67)*(1-owsa_boc)</f>
        <v>0.64800000000000013</v>
      </c>
      <c r="G67" s="263">
        <f t="shared" ref="G67" si="416">MIN(1,IF(ISNUMBER(D67),D67,E67)*(1+owsa_boc))</f>
        <v>0.97199999999999998</v>
      </c>
      <c r="H67" s="33">
        <f t="shared" ref="H67" si="417">IF(ISNUMBER(D67),D67,E67)^2*(1-IF(ISNUMBER(D67),D67,E67))/((G67-F67)/(2*z))^2-IF(ISNUMBER(D67),D67,E67)</f>
        <v>17.436929398297103</v>
      </c>
      <c r="I67" s="33">
        <f t="shared" ref="I67" si="418">(IF(ISNUMBER(D67),D67,E67)^2*(1-IF(ISNUMBER(D67),D67,E67))/((G67-F67)/(2*z))^2-IF(ISNUMBER(D67),D67,E67))*(1-IF(ISNUMBER(D67),D67,E67))/IF(ISNUMBER(D67),D67,E67)</f>
        <v>4.0901439329338869</v>
      </c>
      <c r="J67" s="23">
        <f t="shared" ref="J67" ca="1" si="419">_xlfn.BETA.INV(RAND(),H67,I67)</f>
        <v>0.73133874806583887</v>
      </c>
      <c r="K67" s="10" t="s">
        <v>49</v>
      </c>
      <c r="L67" s="10">
        <v>18</v>
      </c>
      <c r="M67" s="393" t="s">
        <v>390</v>
      </c>
      <c r="N67" s="413" t="s">
        <v>396</v>
      </c>
      <c r="Q67" s="10">
        <v>61</v>
      </c>
      <c r="R67" s="10">
        <f t="shared" si="215"/>
        <v>106</v>
      </c>
      <c r="S67" s="309" t="e">
        <f t="shared" si="242"/>
        <v>#N/A</v>
      </c>
      <c r="T67" s="309" t="e">
        <f t="shared" si="243"/>
        <v>#N/A</v>
      </c>
      <c r="U67" s="309" t="e">
        <f t="shared" si="244"/>
        <v>#N/A</v>
      </c>
      <c r="V67" s="235" t="e">
        <f t="shared" si="245"/>
        <v>#N/A</v>
      </c>
      <c r="W67" s="235" t="e">
        <f t="shared" si="246"/>
        <v>#N/A</v>
      </c>
      <c r="X67" s="309" t="e">
        <f t="shared" si="247"/>
        <v>#N/A</v>
      </c>
      <c r="Y67" s="235" t="e">
        <f t="shared" si="248"/>
        <v>#N/A</v>
      </c>
      <c r="Z67" s="235" t="e">
        <f t="shared" si="249"/>
        <v>#N/A</v>
      </c>
      <c r="AA67" s="235" t="e">
        <f t="shared" si="250"/>
        <v>#N/A</v>
      </c>
      <c r="AB67" s="235" t="e">
        <f t="shared" si="251"/>
        <v>#N/A</v>
      </c>
      <c r="AC67" s="235" t="e">
        <f t="shared" si="252"/>
        <v>#N/A</v>
      </c>
      <c r="AD67" s="235" t="e">
        <f t="shared" si="253"/>
        <v>#N/A</v>
      </c>
      <c r="AE67" s="235" t="e">
        <f t="shared" si="38"/>
        <v>#N/A</v>
      </c>
      <c r="AF67" s="101" t="e">
        <f t="shared" si="216"/>
        <v>#N/A</v>
      </c>
      <c r="AG67" s="101" t="e">
        <f t="shared" si="217"/>
        <v>#N/A</v>
      </c>
      <c r="AH67" s="101" t="e">
        <f t="shared" si="218"/>
        <v>#N/A</v>
      </c>
      <c r="AI67" s="101" t="e">
        <f t="shared" si="219"/>
        <v>#N/A</v>
      </c>
      <c r="AJ67" s="101" t="e">
        <f t="shared" si="220"/>
        <v>#N/A</v>
      </c>
      <c r="AK67" s="101" t="e">
        <f t="shared" si="254"/>
        <v>#N/A</v>
      </c>
      <c r="AL67" s="235" t="e">
        <f t="shared" si="255"/>
        <v>#N/A</v>
      </c>
      <c r="AM67" s="235" t="e">
        <f t="shared" si="221"/>
        <v>#N/A</v>
      </c>
      <c r="AN67" s="235" t="e">
        <f t="shared" si="222"/>
        <v>#N/A</v>
      </c>
      <c r="AO67" s="235" t="e">
        <f t="shared" si="223"/>
        <v>#N/A</v>
      </c>
      <c r="AP67" s="235" t="e">
        <f t="shared" si="224"/>
        <v>#N/A</v>
      </c>
      <c r="AQ67" s="235" t="e">
        <f t="shared" si="225"/>
        <v>#N/A</v>
      </c>
      <c r="AR67" s="101" t="e">
        <f t="shared" si="41"/>
        <v>#N/A</v>
      </c>
      <c r="AS67" s="235" t="e">
        <f t="shared" si="42"/>
        <v>#N/A</v>
      </c>
      <c r="AT67" s="235" t="e">
        <f t="shared" si="226"/>
        <v>#N/A</v>
      </c>
      <c r="AV67" s="10">
        <v>61</v>
      </c>
      <c r="AW67" s="10">
        <f t="shared" si="43"/>
        <v>106</v>
      </c>
      <c r="AX67" s="309" t="e">
        <f t="shared" si="256"/>
        <v>#N/A</v>
      </c>
      <c r="AY67" s="309" t="e">
        <f t="shared" si="257"/>
        <v>#N/A</v>
      </c>
      <c r="AZ67" s="309" t="e">
        <f t="shared" si="258"/>
        <v>#N/A</v>
      </c>
      <c r="BA67" s="235" t="e">
        <f t="shared" si="259"/>
        <v>#N/A</v>
      </c>
      <c r="BB67" s="235" t="e">
        <f t="shared" si="260"/>
        <v>#N/A</v>
      </c>
      <c r="BC67" s="309" t="e">
        <f t="shared" si="261"/>
        <v>#N/A</v>
      </c>
      <c r="BD67" s="235" t="e">
        <f t="shared" si="262"/>
        <v>#N/A</v>
      </c>
      <c r="BE67" s="235" t="e">
        <f t="shared" si="263"/>
        <v>#N/A</v>
      </c>
      <c r="BF67" s="235" t="e">
        <f t="shared" si="264"/>
        <v>#N/A</v>
      </c>
      <c r="BG67" s="235" t="e">
        <f t="shared" si="265"/>
        <v>#N/A</v>
      </c>
      <c r="BH67" s="235" t="e">
        <f t="shared" si="266"/>
        <v>#N/A</v>
      </c>
      <c r="BI67" s="235" t="e">
        <f t="shared" si="267"/>
        <v>#N/A</v>
      </c>
      <c r="BJ67" s="235" t="e">
        <f t="shared" si="56"/>
        <v>#N/A</v>
      </c>
      <c r="BK67" s="101" t="e">
        <f t="shared" si="227"/>
        <v>#N/A</v>
      </c>
      <c r="BL67" s="101" t="e">
        <f t="shared" si="228"/>
        <v>#N/A</v>
      </c>
      <c r="BM67" s="101" t="e">
        <f t="shared" si="229"/>
        <v>#N/A</v>
      </c>
      <c r="BN67" s="101" t="e">
        <f t="shared" si="230"/>
        <v>#N/A</v>
      </c>
      <c r="BO67" s="101" t="e">
        <f t="shared" si="231"/>
        <v>#N/A</v>
      </c>
      <c r="BP67" s="101" t="e">
        <f t="shared" si="268"/>
        <v>#N/A</v>
      </c>
      <c r="BQ67" s="235" t="e">
        <f t="shared" si="232"/>
        <v>#N/A</v>
      </c>
      <c r="BR67" s="235" t="e">
        <f t="shared" si="233"/>
        <v>#N/A</v>
      </c>
      <c r="BS67" s="235" t="e">
        <f t="shared" si="234"/>
        <v>#N/A</v>
      </c>
      <c r="BT67" s="235" t="e">
        <f t="shared" si="235"/>
        <v>#N/A</v>
      </c>
      <c r="BU67" s="235" t="e">
        <f t="shared" si="236"/>
        <v>#N/A</v>
      </c>
      <c r="BV67" s="235" t="e">
        <f t="shared" si="237"/>
        <v>#N/A</v>
      </c>
      <c r="BW67" s="101" t="e">
        <f t="shared" si="58"/>
        <v>#N/A</v>
      </c>
      <c r="BX67" s="235" t="e">
        <f t="shared" si="59"/>
        <v>#N/A</v>
      </c>
      <c r="BY67" s="235" t="e">
        <f t="shared" si="238"/>
        <v>#N/A</v>
      </c>
      <c r="CA67" s="23"/>
      <c r="CJ67" s="10">
        <v>59</v>
      </c>
      <c r="CK67" s="450">
        <v>0.4189181359695513</v>
      </c>
      <c r="CL67" s="450">
        <v>3.3026512649120821E-2</v>
      </c>
      <c r="CM67" s="450">
        <v>0.4189181359695513</v>
      </c>
      <c r="CN67" s="450">
        <v>3.3026512649120821E-2</v>
      </c>
      <c r="CO67" s="451">
        <v>0.18003857829165468</v>
      </c>
      <c r="CP67" s="451">
        <v>0.18116870035015711</v>
      </c>
      <c r="CQ67" s="451">
        <v>0.12378508745058983</v>
      </c>
      <c r="CR67" s="451">
        <v>0.12579010974217916</v>
      </c>
      <c r="CS67" s="451">
        <v>11.575441402473952</v>
      </c>
      <c r="CT67" s="451">
        <v>11.587605303223574</v>
      </c>
      <c r="CU67" s="234">
        <v>-1.2163900749621703E-2</v>
      </c>
      <c r="CX67" s="377">
        <v>59</v>
      </c>
      <c r="CY67" s="335">
        <f t="shared" si="272"/>
        <v>6.2919999999999998E-3</v>
      </c>
      <c r="CZ67" s="338">
        <v>6.2919999999999998E-3</v>
      </c>
      <c r="DA67" s="345">
        <f t="shared" si="273"/>
        <v>3.2716243504585907E-2</v>
      </c>
      <c r="DB67" s="387">
        <f t="shared" si="274"/>
        <v>0.1419156596645651</v>
      </c>
      <c r="DC67" s="114">
        <f t="shared" si="91"/>
        <v>2.537256601490423E-2</v>
      </c>
      <c r="DD67" s="378">
        <f t="shared" si="92"/>
        <v>2.7125317446546005E-2</v>
      </c>
      <c r="DE67" s="378">
        <f t="shared" si="275"/>
        <v>2.5896281388744155E-2</v>
      </c>
      <c r="DF67" s="340">
        <f t="shared" si="93"/>
        <v>6.9755570667648925E-3</v>
      </c>
      <c r="DG67" s="378">
        <f t="shared" si="94"/>
        <v>9.9999997171806854E-10</v>
      </c>
      <c r="DH67" s="378">
        <f t="shared" si="276"/>
        <v>4.8912877931547496E-3</v>
      </c>
      <c r="DI67" s="340">
        <f>DI66+(DI68-DI58)/10</f>
        <v>0.54700000000000004</v>
      </c>
      <c r="DJ67" s="378">
        <f t="shared" ref="DJ67" si="420">DJ66+(DJ68-DJ58)/10</f>
        <v>0.51200000000000012</v>
      </c>
      <c r="DK67" s="350">
        <f t="shared" si="278"/>
        <v>0.53654213486664926</v>
      </c>
      <c r="DL67" s="340">
        <f t="shared" ref="DL67" si="421">DL66+(DL68-DL58)/10</f>
        <v>0.18800000000000006</v>
      </c>
      <c r="DM67" s="378">
        <f t="shared" ref="DM67" si="422">DM66+(DM68-DM58)/10</f>
        <v>6.3000100000000017E-2</v>
      </c>
      <c r="DN67" s="396">
        <f t="shared" si="281"/>
        <v>0.15065051154621875</v>
      </c>
      <c r="DO67" s="335">
        <f t="shared" si="103"/>
        <v>0</v>
      </c>
      <c r="DP67" s="350">
        <f t="shared" si="104"/>
        <v>0</v>
      </c>
      <c r="DQ67" s="349">
        <f t="shared" si="282"/>
        <v>0</v>
      </c>
      <c r="DR67" s="335">
        <f t="shared" si="105"/>
        <v>4.1999999999999815E-3</v>
      </c>
      <c r="DS67" s="350">
        <f t="shared" si="106"/>
        <v>7.1999999999999842E-3</v>
      </c>
      <c r="DT67" s="349">
        <f t="shared" si="283"/>
        <v>5.0963884400014852E-3</v>
      </c>
      <c r="DU67" s="200">
        <f>DU66+(DU68-DU63)/5</f>
        <v>0.46399999999999997</v>
      </c>
      <c r="DV67" s="114">
        <f>DV66+(DV68-DV63)/5</f>
        <v>0.46500000000000008</v>
      </c>
      <c r="DW67" s="350">
        <f t="shared" si="284"/>
        <v>0.46429879614666725</v>
      </c>
      <c r="DX67" s="200">
        <f>DX66+(DX68-DX63)/5</f>
        <v>0.96779999999999999</v>
      </c>
      <c r="DY67" s="114">
        <f>DY66+(DY68-DY63)/5</f>
        <v>0.91779999999999995</v>
      </c>
      <c r="DZ67" s="396">
        <f t="shared" si="285"/>
        <v>0.95286019266664168</v>
      </c>
      <c r="EA67" s="350">
        <f t="shared" si="286"/>
        <v>0</v>
      </c>
      <c r="EB67" s="350">
        <f t="shared" si="287"/>
        <v>0</v>
      </c>
      <c r="EC67" s="349">
        <f t="shared" si="288"/>
        <v>0</v>
      </c>
      <c r="ED67" s="335">
        <f t="shared" si="289"/>
        <v>1.6060630313013968E-2</v>
      </c>
      <c r="EE67" s="350">
        <f t="shared" si="290"/>
        <v>9.8511563170428085E-3</v>
      </c>
      <c r="EF67" s="387">
        <f t="shared" si="291"/>
        <v>1.4205263410187807E-2</v>
      </c>
      <c r="EG67" s="335">
        <f t="shared" si="292"/>
        <v>6.9755570667648925E-3</v>
      </c>
      <c r="EH67" s="350">
        <f t="shared" si="293"/>
        <v>9.9999997171806854E-10</v>
      </c>
      <c r="EI67" s="387">
        <f t="shared" si="294"/>
        <v>4.8912877931547496E-3</v>
      </c>
      <c r="EJ67" s="335">
        <f t="shared" si="295"/>
        <v>2.1676472521287016E-3</v>
      </c>
      <c r="EK67" s="350">
        <f t="shared" si="296"/>
        <v>0</v>
      </c>
      <c r="EL67" s="387">
        <f t="shared" si="297"/>
        <v>1.519962605858971E-3</v>
      </c>
      <c r="EO67" s="454">
        <v>21</v>
      </c>
      <c r="EP67" s="452" t="s">
        <v>197</v>
      </c>
      <c r="EQ67" s="458">
        <v>5.9</v>
      </c>
      <c r="ER67" s="458">
        <v>3.4</v>
      </c>
      <c r="ES67" s="458">
        <v>10.1</v>
      </c>
      <c r="ET67" s="347">
        <f t="shared" si="409"/>
        <v>0.27774999969721342</v>
      </c>
      <c r="EU67" s="458">
        <f t="shared" ca="1" si="402"/>
        <v>6.0133338681510775</v>
      </c>
      <c r="EV67" s="458">
        <f t="shared" si="403"/>
        <v>5.9</v>
      </c>
      <c r="EW67" s="396">
        <f t="shared" si="410"/>
        <v>5.8826291794038532E-3</v>
      </c>
      <c r="EY67" s="363">
        <v>55</v>
      </c>
      <c r="EZ67" s="346">
        <v>2.1999999999999999E-2</v>
      </c>
      <c r="FA67" s="347">
        <f t="shared" si="357"/>
        <v>1.7600000000000001E-2</v>
      </c>
      <c r="FB67" s="347">
        <f t="shared" si="358"/>
        <v>2.6399999999999996E-2</v>
      </c>
      <c r="FC67" s="33">
        <f t="shared" si="359"/>
        <v>93.901668165971387</v>
      </c>
      <c r="FD67" s="33">
        <f t="shared" si="360"/>
        <v>4174.3559757418188</v>
      </c>
      <c r="FE67" s="308">
        <f t="shared" ca="1" si="364"/>
        <v>1.7891617221324829E-2</v>
      </c>
      <c r="FF67" s="364">
        <f t="shared" si="365"/>
        <v>0.95100000000000007</v>
      </c>
    </row>
    <row r="68" spans="2:163" ht="15" customHeight="1" x14ac:dyDescent="0.2">
      <c r="B68" s="15" t="s">
        <v>393</v>
      </c>
      <c r="C68" s="23">
        <f t="shared" si="414"/>
        <v>0.72</v>
      </c>
      <c r="D68" s="141"/>
      <c r="E68" s="23">
        <v>0.72</v>
      </c>
      <c r="F68" s="263">
        <f t="shared" ref="F68" si="423">IF(ISNUMBER(D68),D68,E68)*(1-owsa_boc)</f>
        <v>0.57599999999999996</v>
      </c>
      <c r="G68" s="263">
        <f t="shared" ref="G68" si="424">MIN(1,IF(ISNUMBER(D68),D68,E68)*(1+owsa_boc))</f>
        <v>0.86399999999999999</v>
      </c>
      <c r="H68" s="33">
        <f t="shared" ref="H68" si="425">IF(ISNUMBER(D68),D68,E68)^2*(1-IF(ISNUMBER(D68),D68,E68))/((G68-F68)/(2*z))^2-IF(ISNUMBER(D68),D68,E68)</f>
        <v>26.170211744858854</v>
      </c>
      <c r="I68" s="33">
        <f t="shared" ref="I68" si="426">(IF(ISNUMBER(D68),D68,E68)^2*(1-IF(ISNUMBER(D68),D68,E68))/((G68-F68)/(2*z))^2-IF(ISNUMBER(D68),D68,E68))*(1-IF(ISNUMBER(D68),D68,E68))/IF(ISNUMBER(D68),D68,E68)</f>
        <v>10.177304567445111</v>
      </c>
      <c r="J68" s="23">
        <f t="shared" ref="J68" ca="1" si="427">_xlfn.BETA.INV(RAND(),H68,I68)</f>
        <v>0.66937103035362822</v>
      </c>
      <c r="K68" s="10" t="s">
        <v>49</v>
      </c>
      <c r="L68" s="10">
        <v>36</v>
      </c>
      <c r="M68" s="393" t="s">
        <v>391</v>
      </c>
      <c r="N68" s="413" t="s">
        <v>394</v>
      </c>
      <c r="Q68" s="10">
        <v>62</v>
      </c>
      <c r="R68" s="10">
        <f t="shared" si="215"/>
        <v>107</v>
      </c>
      <c r="S68" s="309" t="e">
        <f t="shared" si="242"/>
        <v>#N/A</v>
      </c>
      <c r="T68" s="309" t="e">
        <f t="shared" si="243"/>
        <v>#N/A</v>
      </c>
      <c r="U68" s="309" t="e">
        <f t="shared" si="244"/>
        <v>#N/A</v>
      </c>
      <c r="V68" s="235" t="e">
        <f t="shared" si="245"/>
        <v>#N/A</v>
      </c>
      <c r="W68" s="235" t="e">
        <f t="shared" si="246"/>
        <v>#N/A</v>
      </c>
      <c r="X68" s="309" t="e">
        <f t="shared" si="247"/>
        <v>#N/A</v>
      </c>
      <c r="Y68" s="235" t="e">
        <f t="shared" si="248"/>
        <v>#N/A</v>
      </c>
      <c r="Z68" s="235" t="e">
        <f t="shared" si="249"/>
        <v>#N/A</v>
      </c>
      <c r="AA68" s="235" t="e">
        <f t="shared" si="250"/>
        <v>#N/A</v>
      </c>
      <c r="AB68" s="235" t="e">
        <f t="shared" si="251"/>
        <v>#N/A</v>
      </c>
      <c r="AC68" s="235" t="e">
        <f t="shared" si="252"/>
        <v>#N/A</v>
      </c>
      <c r="AD68" s="235" t="e">
        <f t="shared" si="253"/>
        <v>#N/A</v>
      </c>
      <c r="AE68" s="235" t="e">
        <f t="shared" si="38"/>
        <v>#N/A</v>
      </c>
      <c r="AF68" s="101" t="e">
        <f t="shared" si="216"/>
        <v>#N/A</v>
      </c>
      <c r="AG68" s="101" t="e">
        <f t="shared" si="217"/>
        <v>#N/A</v>
      </c>
      <c r="AH68" s="101" t="e">
        <f t="shared" si="218"/>
        <v>#N/A</v>
      </c>
      <c r="AI68" s="101" t="e">
        <f t="shared" si="219"/>
        <v>#N/A</v>
      </c>
      <c r="AJ68" s="101" t="e">
        <f t="shared" si="220"/>
        <v>#N/A</v>
      </c>
      <c r="AK68" s="101" t="e">
        <f t="shared" si="254"/>
        <v>#N/A</v>
      </c>
      <c r="AL68" s="235" t="e">
        <f t="shared" si="255"/>
        <v>#N/A</v>
      </c>
      <c r="AM68" s="235" t="e">
        <f t="shared" si="221"/>
        <v>#N/A</v>
      </c>
      <c r="AN68" s="235" t="e">
        <f t="shared" si="222"/>
        <v>#N/A</v>
      </c>
      <c r="AO68" s="235" t="e">
        <f t="shared" si="223"/>
        <v>#N/A</v>
      </c>
      <c r="AP68" s="235" t="e">
        <f t="shared" si="224"/>
        <v>#N/A</v>
      </c>
      <c r="AQ68" s="235" t="e">
        <f t="shared" si="225"/>
        <v>#N/A</v>
      </c>
      <c r="AR68" s="101" t="e">
        <f t="shared" si="41"/>
        <v>#N/A</v>
      </c>
      <c r="AS68" s="235" t="e">
        <f t="shared" si="42"/>
        <v>#N/A</v>
      </c>
      <c r="AT68" s="235" t="e">
        <f t="shared" si="226"/>
        <v>#N/A</v>
      </c>
      <c r="AV68" s="10">
        <v>62</v>
      </c>
      <c r="AW68" s="10">
        <f t="shared" si="43"/>
        <v>107</v>
      </c>
      <c r="AX68" s="309" t="e">
        <f t="shared" si="256"/>
        <v>#N/A</v>
      </c>
      <c r="AY68" s="309" t="e">
        <f t="shared" si="257"/>
        <v>#N/A</v>
      </c>
      <c r="AZ68" s="309" t="e">
        <f t="shared" si="258"/>
        <v>#N/A</v>
      </c>
      <c r="BA68" s="235" t="e">
        <f t="shared" si="259"/>
        <v>#N/A</v>
      </c>
      <c r="BB68" s="235" t="e">
        <f t="shared" si="260"/>
        <v>#N/A</v>
      </c>
      <c r="BC68" s="309" t="e">
        <f t="shared" si="261"/>
        <v>#N/A</v>
      </c>
      <c r="BD68" s="235" t="e">
        <f t="shared" si="262"/>
        <v>#N/A</v>
      </c>
      <c r="BE68" s="235" t="e">
        <f t="shared" si="263"/>
        <v>#N/A</v>
      </c>
      <c r="BF68" s="235" t="e">
        <f t="shared" si="264"/>
        <v>#N/A</v>
      </c>
      <c r="BG68" s="235" t="e">
        <f t="shared" si="265"/>
        <v>#N/A</v>
      </c>
      <c r="BH68" s="235" t="e">
        <f t="shared" si="266"/>
        <v>#N/A</v>
      </c>
      <c r="BI68" s="235" t="e">
        <f t="shared" si="267"/>
        <v>#N/A</v>
      </c>
      <c r="BJ68" s="235" t="e">
        <f t="shared" si="56"/>
        <v>#N/A</v>
      </c>
      <c r="BK68" s="101" t="e">
        <f t="shared" si="227"/>
        <v>#N/A</v>
      </c>
      <c r="BL68" s="101" t="e">
        <f t="shared" si="228"/>
        <v>#N/A</v>
      </c>
      <c r="BM68" s="101" t="e">
        <f t="shared" si="229"/>
        <v>#N/A</v>
      </c>
      <c r="BN68" s="101" t="e">
        <f t="shared" si="230"/>
        <v>#N/A</v>
      </c>
      <c r="BO68" s="101" t="e">
        <f t="shared" si="231"/>
        <v>#N/A</v>
      </c>
      <c r="BP68" s="101" t="e">
        <f t="shared" si="268"/>
        <v>#N/A</v>
      </c>
      <c r="BQ68" s="235" t="e">
        <f t="shared" si="232"/>
        <v>#N/A</v>
      </c>
      <c r="BR68" s="235" t="e">
        <f t="shared" si="233"/>
        <v>#N/A</v>
      </c>
      <c r="BS68" s="235" t="e">
        <f t="shared" si="234"/>
        <v>#N/A</v>
      </c>
      <c r="BT68" s="235" t="e">
        <f t="shared" si="235"/>
        <v>#N/A</v>
      </c>
      <c r="BU68" s="235" t="e">
        <f t="shared" si="236"/>
        <v>#N/A</v>
      </c>
      <c r="BV68" s="235" t="e">
        <f t="shared" si="237"/>
        <v>#N/A</v>
      </c>
      <c r="BW68" s="101" t="e">
        <f t="shared" si="58"/>
        <v>#N/A</v>
      </c>
      <c r="BX68" s="235" t="e">
        <f t="shared" si="59"/>
        <v>#N/A</v>
      </c>
      <c r="BY68" s="235" t="e">
        <f t="shared" si="238"/>
        <v>#N/A</v>
      </c>
      <c r="CA68" s="23"/>
      <c r="CJ68" s="10">
        <v>60</v>
      </c>
      <c r="CK68" s="450">
        <v>0.42634645971697283</v>
      </c>
      <c r="CL68" s="450">
        <v>3.6466845050255908E-2</v>
      </c>
      <c r="CM68" s="450">
        <v>0.42634645971697283</v>
      </c>
      <c r="CN68" s="450">
        <v>3.6466845050255908E-2</v>
      </c>
      <c r="CO68" s="451">
        <v>0.17028998945783627</v>
      </c>
      <c r="CP68" s="451">
        <v>0.17114327884760511</v>
      </c>
      <c r="CQ68" s="451">
        <v>0.12097258701181303</v>
      </c>
      <c r="CR68" s="451">
        <v>0.1225963769235603</v>
      </c>
      <c r="CS68" s="451">
        <v>11.291802704609971</v>
      </c>
      <c r="CT68" s="451">
        <v>11.306686572053968</v>
      </c>
      <c r="CU68" s="234">
        <v>-1.4883867443996834E-2</v>
      </c>
      <c r="CX68" s="377">
        <v>60</v>
      </c>
      <c r="CY68" s="335">
        <f t="shared" si="272"/>
        <v>6.7169999999999999E-3</v>
      </c>
      <c r="CZ68" s="338">
        <v>6.7169999999999999E-3</v>
      </c>
      <c r="DA68" s="345">
        <f t="shared" si="273"/>
        <v>3.8063175445049779E-2</v>
      </c>
      <c r="DB68" s="387">
        <f t="shared" si="274"/>
        <v>0.14665896124090361</v>
      </c>
      <c r="DC68" s="114">
        <f t="shared" si="91"/>
        <v>2.537256601490423E-2</v>
      </c>
      <c r="DD68" s="378">
        <f t="shared" si="92"/>
        <v>3.0136559126355711E-2</v>
      </c>
      <c r="DE68" s="378">
        <f t="shared" si="275"/>
        <v>2.6796028799354867E-2</v>
      </c>
      <c r="DF68" s="340">
        <f t="shared" si="93"/>
        <v>1.3705216505019768E-2</v>
      </c>
      <c r="DG68" s="378">
        <f t="shared" si="94"/>
        <v>6.9755570667648925E-3</v>
      </c>
      <c r="DH68" s="378">
        <f t="shared" si="276"/>
        <v>1.1694420196486876E-2</v>
      </c>
      <c r="DI68" s="340">
        <f>VLOOKUP($CX68,$EO$8:$EW$18,9,FALSE)</f>
        <v>0.56000000000000005</v>
      </c>
      <c r="DJ68" s="378">
        <f>VLOOKUP($CX68,$EO$22:$EW$32,9,FALSE)</f>
        <v>0.53</v>
      </c>
      <c r="DK68" s="350">
        <f t="shared" si="278"/>
        <v>0.55103611559998511</v>
      </c>
      <c r="DL68" s="340">
        <f>VLOOKUP($CX68,$EO$36:$EW$46,9,FALSE)</f>
        <v>0.2</v>
      </c>
      <c r="DM68" s="378">
        <f>VLOOKUP($CX68,$EO$50:$EW$60,9,FALSE)</f>
        <v>7.0000000000000007E-2</v>
      </c>
      <c r="DN68" s="396">
        <f t="shared" si="281"/>
        <v>0.16115650093326819</v>
      </c>
      <c r="DO68" s="335">
        <f t="shared" si="103"/>
        <v>0</v>
      </c>
      <c r="DP68" s="350">
        <f t="shared" si="104"/>
        <v>0</v>
      </c>
      <c r="DQ68" s="349">
        <f t="shared" si="282"/>
        <v>0</v>
      </c>
      <c r="DR68" s="335">
        <f t="shared" si="105"/>
        <v>4.2000000000000925E-3</v>
      </c>
      <c r="DS68" s="350">
        <f t="shared" si="106"/>
        <v>7.2000000000000952E-3</v>
      </c>
      <c r="DT68" s="349">
        <f t="shared" si="283"/>
        <v>5.0963884400015971E-3</v>
      </c>
      <c r="DU68" s="200">
        <f>VLOOKUP($CX68,$EY$8:$FF$28,8,FALSE)</f>
        <v>0.46399999999999997</v>
      </c>
      <c r="DV68" s="114">
        <f>VLOOKUP($CX68,$EY$32:$FF$52,8,FALSE)</f>
        <v>0.46500000000000008</v>
      </c>
      <c r="DW68" s="350">
        <f t="shared" si="284"/>
        <v>0.46429879614666725</v>
      </c>
      <c r="DX68" s="200">
        <f>VLOOKUP($CX68,$EY$56:$FF$76,8,FALSE)</f>
        <v>0.97200000000000009</v>
      </c>
      <c r="DY68" s="114">
        <f>VLOOKUP($CX68,$EY$80:$FF$100,8,FALSE)</f>
        <v>0.92500000000000004</v>
      </c>
      <c r="DZ68" s="396">
        <f t="shared" si="285"/>
        <v>0.95795658110664328</v>
      </c>
      <c r="EA68" s="350">
        <f t="shared" si="286"/>
        <v>0</v>
      </c>
      <c r="EB68" s="350">
        <f t="shared" si="287"/>
        <v>0</v>
      </c>
      <c r="EC68" s="349">
        <f t="shared" si="288"/>
        <v>0</v>
      </c>
      <c r="ED68" s="335">
        <f t="shared" si="289"/>
        <v>1.6060630313013968E-2</v>
      </c>
      <c r="EE68" s="350">
        <f t="shared" si="290"/>
        <v>1.0955546062492716E-2</v>
      </c>
      <c r="EF68" s="387">
        <f t="shared" si="291"/>
        <v>1.4535250810546973E-2</v>
      </c>
      <c r="EG68" s="335">
        <f t="shared" si="292"/>
        <v>1.3705216505019768E-2</v>
      </c>
      <c r="EH68" s="350">
        <f t="shared" si="293"/>
        <v>6.9755570667648925E-3</v>
      </c>
      <c r="EI68" s="387">
        <f t="shared" si="294"/>
        <v>1.1694420196486876E-2</v>
      </c>
      <c r="EJ68" s="335">
        <f t="shared" si="295"/>
        <v>4.2688623928717195E-3</v>
      </c>
      <c r="EK68" s="350">
        <f t="shared" si="296"/>
        <v>0</v>
      </c>
      <c r="EL68" s="387">
        <f t="shared" si="297"/>
        <v>2.9933427592292649E-3</v>
      </c>
      <c r="EO68" s="454">
        <v>31</v>
      </c>
      <c r="EP68" s="452" t="s">
        <v>198</v>
      </c>
      <c r="EQ68" s="458">
        <v>23.5</v>
      </c>
      <c r="ER68" s="458">
        <v>19.100000000000001</v>
      </c>
      <c r="ES68" s="458">
        <v>28.9</v>
      </c>
      <c r="ET68" s="347">
        <f t="shared" si="409"/>
        <v>0.10565328325739407</v>
      </c>
      <c r="EU68" s="458">
        <f t="shared" ca="1" si="402"/>
        <v>21.349505438669841</v>
      </c>
      <c r="EV68" s="458">
        <f t="shared" si="403"/>
        <v>23.5</v>
      </c>
      <c r="EW68" s="396">
        <f t="shared" si="410"/>
        <v>2.3226025331156142E-2</v>
      </c>
      <c r="EY68" s="363">
        <v>60</v>
      </c>
      <c r="EZ68" s="346">
        <v>2.1000000000000001E-2</v>
      </c>
      <c r="FA68" s="347">
        <f t="shared" si="357"/>
        <v>1.6800000000000002E-2</v>
      </c>
      <c r="FB68" s="347">
        <f t="shared" si="358"/>
        <v>2.52E-2</v>
      </c>
      <c r="FC68" s="33">
        <f t="shared" si="359"/>
        <v>93.998704636488739</v>
      </c>
      <c r="FD68" s="33">
        <f t="shared" si="360"/>
        <v>4382.1300875772604</v>
      </c>
      <c r="FE68" s="308">
        <f t="shared" ca="1" si="364"/>
        <v>2.0575008829808599E-2</v>
      </c>
      <c r="FF68" s="364">
        <f t="shared" si="365"/>
        <v>0.97200000000000009</v>
      </c>
    </row>
    <row r="69" spans="2:163" ht="15" customHeight="1" x14ac:dyDescent="0.2">
      <c r="B69" s="15" t="s">
        <v>281</v>
      </c>
      <c r="C69" s="23">
        <f>IF(psa,J69,IF(owsa_low=L69,F69,IF(owsa_high=L69,G69,IF(ISNUMBER(D69),D69,E69))))</f>
        <v>0.03</v>
      </c>
      <c r="D69" s="141"/>
      <c r="E69" s="23">
        <v>0.03</v>
      </c>
      <c r="F69" s="263">
        <f>IF(ISNUMBER(D69),D69,E69)*(1-owsa_boc)</f>
        <v>2.4E-2</v>
      </c>
      <c r="G69" s="263">
        <f>MIN(1,IF(ISNUMBER(D69),D69,E69)*(1+owsa_boc))</f>
        <v>3.5999999999999997E-2</v>
      </c>
      <c r="H69" s="33">
        <f>IF(ISNUMBER(D69),D69,E69)^2*(1-IF(ISNUMBER(D69),D69,E69))/((G69-F69)/(2*z))^2-IF(ISNUMBER(D69),D69,E69)</f>
        <v>93.12537640183254</v>
      </c>
      <c r="I69" s="33">
        <f>(IF(ISNUMBER(D69),D69,E69)^2*(1-IF(ISNUMBER(D69),D69,E69))/((G69-F69)/(2*z))^2-IF(ISNUMBER(D69),D69,E69))*(1-IF(ISNUMBER(D69),D69,E69))/IF(ISNUMBER(D69),D69,E69)</f>
        <v>3011.0538369925853</v>
      </c>
      <c r="J69" s="23">
        <f ca="1">_xlfn.BETA.INV(RAND(),H69,I69)</f>
        <v>3.1978658887225619E-2</v>
      </c>
      <c r="K69" s="10" t="s">
        <v>49</v>
      </c>
      <c r="L69" s="10">
        <v>19</v>
      </c>
      <c r="M69" s="393" t="s">
        <v>343</v>
      </c>
      <c r="N69" s="393" t="s">
        <v>280</v>
      </c>
      <c r="Q69" s="10">
        <v>63</v>
      </c>
      <c r="R69" s="10">
        <f t="shared" si="215"/>
        <v>108</v>
      </c>
      <c r="S69" s="309" t="e">
        <f t="shared" si="242"/>
        <v>#N/A</v>
      </c>
      <c r="T69" s="309" t="e">
        <f t="shared" si="243"/>
        <v>#N/A</v>
      </c>
      <c r="U69" s="309" t="e">
        <f t="shared" si="244"/>
        <v>#N/A</v>
      </c>
      <c r="V69" s="235" t="e">
        <f t="shared" si="245"/>
        <v>#N/A</v>
      </c>
      <c r="W69" s="235" t="e">
        <f t="shared" si="246"/>
        <v>#N/A</v>
      </c>
      <c r="X69" s="309" t="e">
        <f t="shared" si="247"/>
        <v>#N/A</v>
      </c>
      <c r="Y69" s="235" t="e">
        <f t="shared" si="248"/>
        <v>#N/A</v>
      </c>
      <c r="Z69" s="235" t="e">
        <f t="shared" si="249"/>
        <v>#N/A</v>
      </c>
      <c r="AA69" s="235" t="e">
        <f t="shared" si="250"/>
        <v>#N/A</v>
      </c>
      <c r="AB69" s="235" t="e">
        <f t="shared" si="251"/>
        <v>#N/A</v>
      </c>
      <c r="AC69" s="235" t="e">
        <f t="shared" si="252"/>
        <v>#N/A</v>
      </c>
      <c r="AD69" s="235" t="e">
        <f t="shared" si="253"/>
        <v>#N/A</v>
      </c>
      <c r="AE69" s="235" t="e">
        <f t="shared" si="38"/>
        <v>#N/A</v>
      </c>
      <c r="AF69" s="101" t="e">
        <f t="shared" si="216"/>
        <v>#N/A</v>
      </c>
      <c r="AG69" s="101" t="e">
        <f t="shared" si="217"/>
        <v>#N/A</v>
      </c>
      <c r="AH69" s="101" t="e">
        <f t="shared" si="218"/>
        <v>#N/A</v>
      </c>
      <c r="AI69" s="101" t="e">
        <f t="shared" si="219"/>
        <v>#N/A</v>
      </c>
      <c r="AJ69" s="101" t="e">
        <f t="shared" si="220"/>
        <v>#N/A</v>
      </c>
      <c r="AK69" s="101" t="e">
        <f t="shared" si="254"/>
        <v>#N/A</v>
      </c>
      <c r="AL69" s="235" t="e">
        <f t="shared" si="255"/>
        <v>#N/A</v>
      </c>
      <c r="AM69" s="235" t="e">
        <f t="shared" si="221"/>
        <v>#N/A</v>
      </c>
      <c r="AN69" s="235" t="e">
        <f t="shared" si="222"/>
        <v>#N/A</v>
      </c>
      <c r="AO69" s="235" t="e">
        <f t="shared" si="223"/>
        <v>#N/A</v>
      </c>
      <c r="AP69" s="235" t="e">
        <f t="shared" si="224"/>
        <v>#N/A</v>
      </c>
      <c r="AQ69" s="235" t="e">
        <f t="shared" si="225"/>
        <v>#N/A</v>
      </c>
      <c r="AR69" s="101" t="e">
        <f t="shared" si="41"/>
        <v>#N/A</v>
      </c>
      <c r="AS69" s="235" t="e">
        <f t="shared" si="42"/>
        <v>#N/A</v>
      </c>
      <c r="AT69" s="235" t="e">
        <f t="shared" si="226"/>
        <v>#N/A</v>
      </c>
      <c r="AV69" s="10">
        <v>63</v>
      </c>
      <c r="AW69" s="10">
        <f t="shared" si="43"/>
        <v>108</v>
      </c>
      <c r="AX69" s="309" t="e">
        <f t="shared" si="256"/>
        <v>#N/A</v>
      </c>
      <c r="AY69" s="309" t="e">
        <f t="shared" si="257"/>
        <v>#N/A</v>
      </c>
      <c r="AZ69" s="309" t="e">
        <f t="shared" si="258"/>
        <v>#N/A</v>
      </c>
      <c r="BA69" s="235" t="e">
        <f t="shared" si="259"/>
        <v>#N/A</v>
      </c>
      <c r="BB69" s="235" t="e">
        <f t="shared" si="260"/>
        <v>#N/A</v>
      </c>
      <c r="BC69" s="309" t="e">
        <f t="shared" si="261"/>
        <v>#N/A</v>
      </c>
      <c r="BD69" s="235" t="e">
        <f t="shared" si="262"/>
        <v>#N/A</v>
      </c>
      <c r="BE69" s="235" t="e">
        <f t="shared" si="263"/>
        <v>#N/A</v>
      </c>
      <c r="BF69" s="235" t="e">
        <f t="shared" si="264"/>
        <v>#N/A</v>
      </c>
      <c r="BG69" s="235" t="e">
        <f t="shared" si="265"/>
        <v>#N/A</v>
      </c>
      <c r="BH69" s="235" t="e">
        <f t="shared" si="266"/>
        <v>#N/A</v>
      </c>
      <c r="BI69" s="235" t="e">
        <f t="shared" si="267"/>
        <v>#N/A</v>
      </c>
      <c r="BJ69" s="235" t="e">
        <f t="shared" si="56"/>
        <v>#N/A</v>
      </c>
      <c r="BK69" s="101" t="e">
        <f t="shared" si="227"/>
        <v>#N/A</v>
      </c>
      <c r="BL69" s="101" t="e">
        <f t="shared" si="228"/>
        <v>#N/A</v>
      </c>
      <c r="BM69" s="101" t="e">
        <f t="shared" si="229"/>
        <v>#N/A</v>
      </c>
      <c r="BN69" s="101" t="e">
        <f t="shared" si="230"/>
        <v>#N/A</v>
      </c>
      <c r="BO69" s="101" t="e">
        <f t="shared" si="231"/>
        <v>#N/A</v>
      </c>
      <c r="BP69" s="101" t="e">
        <f t="shared" si="268"/>
        <v>#N/A</v>
      </c>
      <c r="BQ69" s="235" t="e">
        <f t="shared" si="232"/>
        <v>#N/A</v>
      </c>
      <c r="BR69" s="235" t="e">
        <f t="shared" si="233"/>
        <v>#N/A</v>
      </c>
      <c r="BS69" s="235" t="e">
        <f t="shared" si="234"/>
        <v>#N/A</v>
      </c>
      <c r="BT69" s="235" t="e">
        <f t="shared" si="235"/>
        <v>#N/A</v>
      </c>
      <c r="BU69" s="235" t="e">
        <f t="shared" si="236"/>
        <v>#N/A</v>
      </c>
      <c r="BV69" s="235" t="e">
        <f t="shared" si="237"/>
        <v>#N/A</v>
      </c>
      <c r="BW69" s="101" t="e">
        <f t="shared" si="58"/>
        <v>#N/A</v>
      </c>
      <c r="BX69" s="235" t="e">
        <f t="shared" si="59"/>
        <v>#N/A</v>
      </c>
      <c r="BY69" s="235" t="e">
        <f t="shared" si="238"/>
        <v>#N/A</v>
      </c>
      <c r="CA69" s="23"/>
      <c r="CJ69" s="10">
        <v>61</v>
      </c>
      <c r="CK69" s="450">
        <v>0.42518857425423767</v>
      </c>
      <c r="CL69" s="450">
        <v>4.3022201974182037E-2</v>
      </c>
      <c r="CM69" s="450">
        <v>0.42518857425423767</v>
      </c>
      <c r="CN69" s="450">
        <v>4.3022201974182037E-2</v>
      </c>
      <c r="CO69" s="451">
        <v>0.16226176004918857</v>
      </c>
      <c r="CP69" s="451">
        <v>0.16302132076666451</v>
      </c>
      <c r="CQ69" s="451">
        <v>0.11915588677456122</v>
      </c>
      <c r="CR69" s="451">
        <v>0.12064310771640692</v>
      </c>
      <c r="CS69" s="451">
        <v>10.998846170540141</v>
      </c>
      <c r="CT69" s="451">
        <v>11.014460362109558</v>
      </c>
      <c r="CU69" s="234">
        <v>-1.5614191569417457E-2</v>
      </c>
      <c r="CX69" s="377">
        <v>61</v>
      </c>
      <c r="CY69" s="335">
        <f t="shared" si="272"/>
        <v>7.1929999999999997E-3</v>
      </c>
      <c r="CZ69" s="338">
        <v>7.1929999999999997E-3</v>
      </c>
      <c r="DA69" s="345">
        <f t="shared" si="273"/>
        <v>3.8063175445049779E-2</v>
      </c>
      <c r="DB69" s="387">
        <f t="shared" si="274"/>
        <v>0.14665896124090361</v>
      </c>
      <c r="DC69" s="114">
        <f t="shared" si="91"/>
        <v>2.4690087971667385E-2</v>
      </c>
      <c r="DD69" s="378">
        <f t="shared" si="92"/>
        <v>3.0136559126355711E-2</v>
      </c>
      <c r="DE69" s="378">
        <f t="shared" si="275"/>
        <v>2.6317472565622134E-2</v>
      </c>
      <c r="DF69" s="340">
        <f t="shared" si="93"/>
        <v>1.3705216505019768E-2</v>
      </c>
      <c r="DG69" s="378">
        <f t="shared" si="94"/>
        <v>6.9755570667648925E-3</v>
      </c>
      <c r="DH69" s="378">
        <f t="shared" si="276"/>
        <v>1.1694420196486876E-2</v>
      </c>
      <c r="DI69" s="340">
        <f>DI68+(DI78-DI68)/10</f>
        <v>0.57000000000000006</v>
      </c>
      <c r="DJ69" s="378">
        <f t="shared" ref="DJ69" si="428">DJ68+(DJ78-DJ68)/10</f>
        <v>0.53800000000000003</v>
      </c>
      <c r="DK69" s="350">
        <f t="shared" si="278"/>
        <v>0.56043852330665067</v>
      </c>
      <c r="DL69" s="340">
        <f t="shared" ref="DL69" si="429">DL68+(DL78-DL68)/10</f>
        <v>0.221</v>
      </c>
      <c r="DM69" s="378">
        <f t="shared" ref="DM69" si="430">DM68+(DM78-DM68)/10</f>
        <v>7.8E-2</v>
      </c>
      <c r="DN69" s="396">
        <f t="shared" si="281"/>
        <v>0.17827215102659502</v>
      </c>
      <c r="DO69" s="335">
        <f t="shared" si="103"/>
        <v>0</v>
      </c>
      <c r="DP69" s="350">
        <f t="shared" si="104"/>
        <v>0</v>
      </c>
      <c r="DQ69" s="349">
        <f t="shared" si="282"/>
        <v>0</v>
      </c>
      <c r="DR69" s="335">
        <f t="shared" si="105"/>
        <v>2.6000000000000467E-3</v>
      </c>
      <c r="DS69" s="350">
        <f t="shared" si="106"/>
        <v>1.8000000000000238E-3</v>
      </c>
      <c r="DT69" s="349">
        <f t="shared" si="283"/>
        <v>2.3609630826663059E-3</v>
      </c>
      <c r="DU69" s="200">
        <f>DU68+(DU73-DU68)/5</f>
        <v>0.46399999999999997</v>
      </c>
      <c r="DV69" s="114">
        <f>DV68+(DV73-DV68)/5</f>
        <v>0.46500000000000008</v>
      </c>
      <c r="DW69" s="350">
        <f t="shared" si="284"/>
        <v>0.46429879614666725</v>
      </c>
      <c r="DX69" s="200">
        <f>DX68+(DX73-DX68)/5</f>
        <v>0.97460000000000013</v>
      </c>
      <c r="DY69" s="114">
        <f>DY68+(DY73-DY68)/5</f>
        <v>0.92680000000000007</v>
      </c>
      <c r="DZ69" s="396">
        <f t="shared" si="285"/>
        <v>0.96031754418930948</v>
      </c>
      <c r="EA69" s="350">
        <f t="shared" si="286"/>
        <v>0</v>
      </c>
      <c r="EB69" s="350">
        <f t="shared" si="287"/>
        <v>0</v>
      </c>
      <c r="EC69" s="349">
        <f t="shared" si="288"/>
        <v>0</v>
      </c>
      <c r="ED69" s="335">
        <f t="shared" si="289"/>
        <v>1.56266173581594E-2</v>
      </c>
      <c r="EE69" s="350">
        <f t="shared" si="290"/>
        <v>1.0955546062492716E-2</v>
      </c>
      <c r="EF69" s="387">
        <f t="shared" si="291"/>
        <v>1.4230919254206581E-2</v>
      </c>
      <c r="EG69" s="335">
        <f t="shared" si="292"/>
        <v>1.3705216505019768E-2</v>
      </c>
      <c r="EH69" s="350">
        <f t="shared" si="293"/>
        <v>6.9755570667648925E-3</v>
      </c>
      <c r="EI69" s="387">
        <f t="shared" si="294"/>
        <v>1.1694420196486876E-2</v>
      </c>
      <c r="EJ69" s="335">
        <f t="shared" si="295"/>
        <v>4.2688623928717195E-3</v>
      </c>
      <c r="EK69" s="350">
        <f t="shared" si="296"/>
        <v>0</v>
      </c>
      <c r="EL69" s="387">
        <f t="shared" si="297"/>
        <v>2.9933427592292649E-3</v>
      </c>
      <c r="EO69" s="454">
        <v>41</v>
      </c>
      <c r="EP69" s="452" t="s">
        <v>199</v>
      </c>
      <c r="EQ69" s="458">
        <v>28.3</v>
      </c>
      <c r="ER69" s="458">
        <v>23.1</v>
      </c>
      <c r="ES69" s="458">
        <v>34.700000000000003</v>
      </c>
      <c r="ET69" s="347">
        <f t="shared" si="409"/>
        <v>0.10380473126922146</v>
      </c>
      <c r="EU69" s="458">
        <f t="shared" ca="1" si="402"/>
        <v>30.185591821808995</v>
      </c>
      <c r="EV69" s="458">
        <f t="shared" si="403"/>
        <v>28.3</v>
      </c>
      <c r="EW69" s="396">
        <f t="shared" si="410"/>
        <v>2.7903305955692348E-2</v>
      </c>
      <c r="EY69" s="363">
        <v>65</v>
      </c>
      <c r="EZ69" s="346">
        <v>1.2999999999999999E-2</v>
      </c>
      <c r="FA69" s="347">
        <f t="shared" si="357"/>
        <v>1.04E-2</v>
      </c>
      <c r="FB69" s="347">
        <f t="shared" si="358"/>
        <v>1.5599999999999999E-2</v>
      </c>
      <c r="FC69" s="33">
        <f t="shared" si="359"/>
        <v>94.774996400627472</v>
      </c>
      <c r="FD69" s="33">
        <f t="shared" si="360"/>
        <v>7195.6093421091782</v>
      </c>
      <c r="FE69" s="308">
        <f t="shared" ca="1" si="364"/>
        <v>1.2933752479853809E-2</v>
      </c>
      <c r="FF69" s="364">
        <f t="shared" si="365"/>
        <v>0.9850000000000001</v>
      </c>
      <c r="FG69" s="234"/>
    </row>
    <row r="70" spans="2:163" ht="15" customHeight="1" x14ac:dyDescent="0.2">
      <c r="B70" s="15" t="s">
        <v>357</v>
      </c>
      <c r="C70" s="23">
        <f>IF(psa,J70,IF(owsa_low=L70,F70,IF(owsa_high=L70,G70,IF(ISNUMBER(D70),D70,E70))))</f>
        <v>0.03</v>
      </c>
      <c r="D70" s="141"/>
      <c r="E70" s="23">
        <v>0.03</v>
      </c>
      <c r="F70" s="263">
        <f>IF(ISNUMBER(D70),D70,E70)*(1-owsa_boc)</f>
        <v>2.4E-2</v>
      </c>
      <c r="G70" s="263">
        <f>MIN(1,IF(ISNUMBER(D70),D70,E70)*(1+owsa_boc))</f>
        <v>3.5999999999999997E-2</v>
      </c>
      <c r="H70" s="33">
        <f>IF(ISNUMBER(D70),D70,E70)^2*(1-IF(ISNUMBER(D70),D70,E70))/((G70-F70)/(2*z))^2-IF(ISNUMBER(D70),D70,E70)</f>
        <v>93.12537640183254</v>
      </c>
      <c r="I70" s="33">
        <f>(IF(ISNUMBER(D70),D70,E70)^2*(1-IF(ISNUMBER(D70),D70,E70))/((G70-F70)/(2*z))^2-IF(ISNUMBER(D70),D70,E70))*(1-IF(ISNUMBER(D70),D70,E70))/IF(ISNUMBER(D70),D70,E70)</f>
        <v>3011.0538369925853</v>
      </c>
      <c r="J70" s="23">
        <f ca="1">_xlfn.BETA.INV(RAND(),H70,I70)</f>
        <v>2.9503888408356434E-2</v>
      </c>
      <c r="K70" s="10" t="s">
        <v>49</v>
      </c>
      <c r="L70" s="10">
        <v>20</v>
      </c>
      <c r="M70" s="393" t="s">
        <v>344</v>
      </c>
      <c r="N70" s="393" t="s">
        <v>280</v>
      </c>
      <c r="Q70" s="10">
        <v>64</v>
      </c>
      <c r="R70" s="10">
        <f t="shared" ref="R70:R101" si="431">age+Q70</f>
        <v>109</v>
      </c>
      <c r="S70" s="309" t="e">
        <f t="shared" si="242"/>
        <v>#N/A</v>
      </c>
      <c r="T70" s="309" t="e">
        <f t="shared" si="243"/>
        <v>#N/A</v>
      </c>
      <c r="U70" s="309" t="e">
        <f t="shared" si="244"/>
        <v>#N/A</v>
      </c>
      <c r="V70" s="235" t="e">
        <f t="shared" si="245"/>
        <v>#N/A</v>
      </c>
      <c r="W70" s="235" t="e">
        <f t="shared" si="246"/>
        <v>#N/A</v>
      </c>
      <c r="X70" s="309" t="e">
        <f t="shared" si="247"/>
        <v>#N/A</v>
      </c>
      <c r="Y70" s="235" t="e">
        <f t="shared" si="248"/>
        <v>#N/A</v>
      </c>
      <c r="Z70" s="235" t="e">
        <f t="shared" si="249"/>
        <v>#N/A</v>
      </c>
      <c r="AA70" s="235" t="e">
        <f t="shared" si="250"/>
        <v>#N/A</v>
      </c>
      <c r="AB70" s="235" t="e">
        <f t="shared" si="251"/>
        <v>#N/A</v>
      </c>
      <c r="AC70" s="235" t="e">
        <f t="shared" si="252"/>
        <v>#N/A</v>
      </c>
      <c r="AD70" s="235" t="e">
        <f t="shared" si="253"/>
        <v>#N/A</v>
      </c>
      <c r="AE70" s="235" t="e">
        <f t="shared" si="38"/>
        <v>#N/A</v>
      </c>
      <c r="AF70" s="101" t="e">
        <f t="shared" ref="AF70:AF106" si="432">(T70*boc_cost_mast)/((1+discount)^Q70)</f>
        <v>#N/A</v>
      </c>
      <c r="AG70" s="101" t="e">
        <f t="shared" ref="AG70:AG106" si="433">(U70*boc_cost_ooph)/((1+discount)^Q70)</f>
        <v>#N/A</v>
      </c>
      <c r="AH70" s="101" t="e">
        <f t="shared" ref="AH70:AH106" si="434">(Z70*IF(R70&lt;65,boc_cost_bc_initial_64,boc_cost_bc_initial_65))/((1+discount)^Q70)</f>
        <v>#N/A</v>
      </c>
      <c r="AI70" s="101" t="e">
        <f t="shared" ref="AI70:AI106" si="435">(AB70*IF(R70&lt;65,boc_cost_oc_initial_64,boc_cost_oc_initial_65))/((1+discount)^Q70)</f>
        <v>#N/A</v>
      </c>
      <c r="AJ70" s="101" t="e">
        <f t="shared" ref="AJ70:AJ106" si="436">(AA70*IF(R70&lt;65,boc_cost_bc_cont_64,boc_cost_bc_cont_65)+AC70*IF(R70&lt;65,boc_cost_oc_cont_64,boc_cost_oc_cont_65))/((1+discount)^Q70)</f>
        <v>#N/A</v>
      </c>
      <c r="AK70" s="101" t="e">
        <f t="shared" si="254"/>
        <v>#N/A</v>
      </c>
      <c r="AL70" s="235" t="e">
        <f t="shared" si="255"/>
        <v>#N/A</v>
      </c>
      <c r="AM70" s="235" t="e">
        <f t="shared" ref="AM70:AM106" si="437">(T70*(util_well-boc_disutil_mast)+U70*(util_well-boc_disutil_ooph+W70*(util_well-VLOOKUP(R70,boc_uptake,$DQ$1,FALSE)*boc_disutil_mast-VLOOKUP(R70,boc_uptake,$DT$1,FALSE)*boc_disutil_ooph)))/((1+discount)^Q70)</f>
        <v>#N/A</v>
      </c>
      <c r="AN70" s="235" t="e">
        <f t="shared" ref="AN70:AN106" si="438">(SUM(V70,W70,Y70)*util_well)/((1+discount)^Q70)</f>
        <v>#N/A</v>
      </c>
      <c r="AO70" s="235" t="e">
        <f t="shared" ref="AO70:AO106" si="439">(Z70*boc_util_bc)/((1+discount)^Q70)</f>
        <v>#N/A</v>
      </c>
      <c r="AP70" s="235" t="e">
        <f t="shared" ref="AP70:AP106" si="440">(AB70*boc_util_oc)/((1+discount)^Q70)</f>
        <v>#N/A</v>
      </c>
      <c r="AQ70" s="235" t="e">
        <f t="shared" ref="AQ70:AQ106" si="441">(AA70*boc_util_pc_bc+AC70*boc_util_pc_oc)/((1+discount)^Q70)</f>
        <v>#N/A</v>
      </c>
      <c r="AR70" s="101" t="e">
        <f t="shared" si="41"/>
        <v>#N/A</v>
      </c>
      <c r="AS70" s="235" t="e">
        <f t="shared" si="42"/>
        <v>#N/A</v>
      </c>
      <c r="AT70" s="235" t="e">
        <f t="shared" ref="AT70:AT101" si="442">SUM(S70:AC70)/((1+discount)^Q70)</f>
        <v>#N/A</v>
      </c>
      <c r="AV70" s="10">
        <v>64</v>
      </c>
      <c r="AW70" s="10">
        <f t="shared" si="43"/>
        <v>109</v>
      </c>
      <c r="AX70" s="309" t="e">
        <f t="shared" si="256"/>
        <v>#N/A</v>
      </c>
      <c r="AY70" s="309" t="e">
        <f t="shared" si="257"/>
        <v>#N/A</v>
      </c>
      <c r="AZ70" s="309" t="e">
        <f t="shared" si="258"/>
        <v>#N/A</v>
      </c>
      <c r="BA70" s="235" t="e">
        <f t="shared" si="259"/>
        <v>#N/A</v>
      </c>
      <c r="BB70" s="235" t="e">
        <f t="shared" si="260"/>
        <v>#N/A</v>
      </c>
      <c r="BC70" s="309" t="e">
        <f t="shared" si="261"/>
        <v>#N/A</v>
      </c>
      <c r="BD70" s="235" t="e">
        <f t="shared" si="262"/>
        <v>#N/A</v>
      </c>
      <c r="BE70" s="235" t="e">
        <f t="shared" si="263"/>
        <v>#N/A</v>
      </c>
      <c r="BF70" s="235" t="e">
        <f t="shared" si="264"/>
        <v>#N/A</v>
      </c>
      <c r="BG70" s="235" t="e">
        <f t="shared" si="265"/>
        <v>#N/A</v>
      </c>
      <c r="BH70" s="235" t="e">
        <f t="shared" si="266"/>
        <v>#N/A</v>
      </c>
      <c r="BI70" s="235" t="e">
        <f t="shared" si="267"/>
        <v>#N/A</v>
      </c>
      <c r="BJ70" s="235" t="e">
        <f t="shared" si="56"/>
        <v>#N/A</v>
      </c>
      <c r="BK70" s="101" t="e">
        <f t="shared" ref="BK70:BK106" si="443">(AY70*boc_cost_mast)/((1+discount)^AV70)</f>
        <v>#N/A</v>
      </c>
      <c r="BL70" s="101" t="e">
        <f t="shared" ref="BL70:BL106" si="444">(AZ70*boc_cost_ooph)/((1+discount)^AV70)</f>
        <v>#N/A</v>
      </c>
      <c r="BM70" s="101" t="e">
        <f t="shared" ref="BM70:BM106" si="445">(BE70*IF(AW70&lt;65,boc_cost_bc_initial_64,boc_cost_bc_initial_65))/((1+discount)^AV70)</f>
        <v>#N/A</v>
      </c>
      <c r="BN70" s="101" t="e">
        <f t="shared" ref="BN70:BN106" si="446">(BG70*IF(AW70&lt;65,boc_cost_oc_initial_64,boc_cost_oc_initial_65))/((1+discount)^AV70)</f>
        <v>#N/A</v>
      </c>
      <c r="BO70" s="101" t="e">
        <f t="shared" ref="BO70:BO106" si="447">(BF70*IF(AW70&lt;65,boc_cost_bc_cont_64,boc_cost_bc_cont_65)+BH70*IF(AW70&lt;65,boc_cost_oc_cont_64,boc_cost_oc_cont_65))/((1+discount)^AV70)</f>
        <v>#N/A</v>
      </c>
      <c r="BP70" s="101" t="e">
        <f t="shared" si="268"/>
        <v>#N/A</v>
      </c>
      <c r="BQ70" s="235" t="e">
        <f t="shared" ref="BQ70:BQ106" si="448">(AX70*util_well)/((1+discount)^AV70)</f>
        <v>#N/A</v>
      </c>
      <c r="BR70" s="235" t="e">
        <f t="shared" ref="BR70:BR106" si="449">(AY70*(util_well-boc_disutil_mast)+AZ70*(util_well-boc_disutil_ooph+BB70*(util_well-VLOOKUP(AW70,boc_uptake,$DQ$1,FALSE)*boc_disutil_mast-VLOOKUP(AW70,boc_uptake,$DT$1,FALSE)*boc_disutil_ooph)))/((1+discount)^AV70)</f>
        <v>#N/A</v>
      </c>
      <c r="BS70" s="235" t="e">
        <f t="shared" ref="BS70:BS106" si="450">(SUM(BA70,BB70,BD70)*util_well)/((1+discount)^AV70)</f>
        <v>#N/A</v>
      </c>
      <c r="BT70" s="235" t="e">
        <f t="shared" ref="BT70:BT106" si="451">(BE70*boc_util_bc)/((1+discount)^AV70)</f>
        <v>#N/A</v>
      </c>
      <c r="BU70" s="235" t="e">
        <f t="shared" ref="BU70:BU106" si="452">(BG70*boc_util_oc)/((1+discount)^AV70)</f>
        <v>#N/A</v>
      </c>
      <c r="BV70" s="235" t="e">
        <f t="shared" ref="BV70:BV106" si="453">(BF70*boc_util_pc_bc+BH70*boc_util_pc_oc)/((1+discount)^AV70)</f>
        <v>#N/A</v>
      </c>
      <c r="BW70" s="101" t="e">
        <f t="shared" si="58"/>
        <v>#N/A</v>
      </c>
      <c r="BX70" s="235" t="e">
        <f t="shared" si="59"/>
        <v>#N/A</v>
      </c>
      <c r="BY70" s="235" t="e">
        <f t="shared" ref="BY70:BY101" si="454">SUM(AX70:BH70)/((1+discount)^AV70)</f>
        <v>#N/A</v>
      </c>
      <c r="CA70" s="23"/>
      <c r="CJ70" s="10">
        <v>62</v>
      </c>
      <c r="CK70" s="450">
        <v>0.42434199478226675</v>
      </c>
      <c r="CL70" s="450">
        <v>4.9888864888872245E-2</v>
      </c>
      <c r="CM70" s="450">
        <v>0.42434199478226675</v>
      </c>
      <c r="CN70" s="450">
        <v>4.9888864888872245E-2</v>
      </c>
      <c r="CO70" s="451">
        <v>0.15396726243426861</v>
      </c>
      <c r="CP70" s="451">
        <v>0.15463332899188278</v>
      </c>
      <c r="CQ70" s="451">
        <v>0.11725122652091537</v>
      </c>
      <c r="CR70" s="451">
        <v>0.11859779233229378</v>
      </c>
      <c r="CS70" s="451">
        <v>10.693320408596076</v>
      </c>
      <c r="CT70" s="451">
        <v>10.709658157478858</v>
      </c>
      <c r="CU70" s="234">
        <v>-1.6337748882781611E-2</v>
      </c>
      <c r="CX70" s="377">
        <v>62</v>
      </c>
      <c r="CY70" s="335">
        <f t="shared" si="272"/>
        <v>7.7270000000000004E-3</v>
      </c>
      <c r="CZ70" s="338">
        <v>7.7270000000000004E-3</v>
      </c>
      <c r="DA70" s="345">
        <f t="shared" si="273"/>
        <v>3.8063175445049779E-2</v>
      </c>
      <c r="DB70" s="387">
        <f t="shared" si="274"/>
        <v>0.14665896124090361</v>
      </c>
      <c r="DC70" s="114">
        <f t="shared" si="91"/>
        <v>2.4690087971667385E-2</v>
      </c>
      <c r="DD70" s="378">
        <f t="shared" si="92"/>
        <v>3.0136559126355711E-2</v>
      </c>
      <c r="DE70" s="378">
        <f t="shared" si="275"/>
        <v>2.6317472565622134E-2</v>
      </c>
      <c r="DF70" s="340">
        <f t="shared" si="93"/>
        <v>1.3705216505019768E-2</v>
      </c>
      <c r="DG70" s="378">
        <f t="shared" si="94"/>
        <v>6.9755570667648925E-3</v>
      </c>
      <c r="DH70" s="378">
        <f t="shared" si="276"/>
        <v>1.1694420196486876E-2</v>
      </c>
      <c r="DI70" s="340">
        <f>DI69+(DI78-DI68)/10</f>
        <v>0.58000000000000007</v>
      </c>
      <c r="DJ70" s="378">
        <f t="shared" ref="DJ70" si="455">DJ69+(DJ78-DJ68)/10</f>
        <v>0.54600000000000004</v>
      </c>
      <c r="DK70" s="350">
        <f t="shared" si="278"/>
        <v>0.56984093101331634</v>
      </c>
      <c r="DL70" s="340">
        <f t="shared" ref="DL70" si="456">DL69+(DL78-DL68)/10</f>
        <v>0.24199999999999999</v>
      </c>
      <c r="DM70" s="378">
        <f t="shared" ref="DM70" si="457">DM69+(DM78-DM68)/10</f>
        <v>8.5999999999999993E-2</v>
      </c>
      <c r="DN70" s="396">
        <f t="shared" si="281"/>
        <v>0.19538780111992185</v>
      </c>
      <c r="DO70" s="335">
        <f t="shared" si="103"/>
        <v>0</v>
      </c>
      <c r="DP70" s="350">
        <f t="shared" si="104"/>
        <v>0</v>
      </c>
      <c r="DQ70" s="349">
        <f t="shared" si="282"/>
        <v>0</v>
      </c>
      <c r="DR70" s="335">
        <f t="shared" si="105"/>
        <v>2.6000000000000467E-3</v>
      </c>
      <c r="DS70" s="350">
        <f t="shared" si="106"/>
        <v>1.8000000000000238E-3</v>
      </c>
      <c r="DT70" s="349">
        <f t="shared" si="283"/>
        <v>2.3609630826663059E-3</v>
      </c>
      <c r="DU70" s="200">
        <f>DU69+(DU73-DU68)/5</f>
        <v>0.46399999999999997</v>
      </c>
      <c r="DV70" s="114">
        <f>DV69+(DV73-DV68)/5</f>
        <v>0.46500000000000008</v>
      </c>
      <c r="DW70" s="350">
        <f t="shared" si="284"/>
        <v>0.46429879614666725</v>
      </c>
      <c r="DX70" s="200">
        <f>DX69+(DX73-DX68)/5</f>
        <v>0.97720000000000018</v>
      </c>
      <c r="DY70" s="114">
        <f>DY69+(DY73-DY68)/5</f>
        <v>0.92860000000000009</v>
      </c>
      <c r="DZ70" s="396">
        <f t="shared" si="285"/>
        <v>0.96267850727197579</v>
      </c>
      <c r="EA70" s="350">
        <f t="shared" si="286"/>
        <v>0</v>
      </c>
      <c r="EB70" s="350">
        <f t="shared" si="287"/>
        <v>0</v>
      </c>
      <c r="EC70" s="349">
        <f t="shared" si="288"/>
        <v>0</v>
      </c>
      <c r="ED70" s="335">
        <f t="shared" si="289"/>
        <v>1.56266173581594E-2</v>
      </c>
      <c r="EE70" s="350">
        <f t="shared" si="290"/>
        <v>1.0955546062492716E-2</v>
      </c>
      <c r="EF70" s="387">
        <f t="shared" si="291"/>
        <v>1.4230919254206581E-2</v>
      </c>
      <c r="EG70" s="335">
        <f t="shared" si="292"/>
        <v>1.3705216505019768E-2</v>
      </c>
      <c r="EH70" s="350">
        <f t="shared" si="293"/>
        <v>6.9755570667648925E-3</v>
      </c>
      <c r="EI70" s="387">
        <f t="shared" si="294"/>
        <v>1.1694420196486876E-2</v>
      </c>
      <c r="EJ70" s="335">
        <f t="shared" si="295"/>
        <v>4.2688623928717195E-3</v>
      </c>
      <c r="EK70" s="350">
        <f t="shared" si="296"/>
        <v>0</v>
      </c>
      <c r="EL70" s="387">
        <f t="shared" si="297"/>
        <v>2.9933427592292649E-3</v>
      </c>
      <c r="EO70" s="454">
        <v>51</v>
      </c>
      <c r="EP70" s="452" t="s">
        <v>200</v>
      </c>
      <c r="EQ70" s="458">
        <v>25.7</v>
      </c>
      <c r="ER70" s="458">
        <v>19.399999999999999</v>
      </c>
      <c r="ES70" s="458">
        <v>34</v>
      </c>
      <c r="ET70" s="347">
        <f t="shared" si="409"/>
        <v>0.14313718593113589</v>
      </c>
      <c r="EU70" s="458">
        <f t="shared" ca="1" si="402"/>
        <v>23.936979978205599</v>
      </c>
      <c r="EV70" s="458">
        <f t="shared" si="403"/>
        <v>25.7</v>
      </c>
      <c r="EW70" s="396">
        <f t="shared" si="410"/>
        <v>2.537256601490423E-2</v>
      </c>
      <c r="EY70" s="363">
        <v>70</v>
      </c>
      <c r="EZ70" s="346">
        <f t="shared" ref="EZ70:EZ76" si="458">EZ69-$EZ$69/7</f>
        <v>1.1142857142857142E-2</v>
      </c>
      <c r="FA70" s="347">
        <f t="shared" si="357"/>
        <v>8.9142857142857131E-3</v>
      </c>
      <c r="FB70" s="347">
        <f t="shared" si="358"/>
        <v>1.3371428571428571E-2</v>
      </c>
      <c r="FC70" s="33">
        <f t="shared" si="359"/>
        <v>94.955206988731135</v>
      </c>
      <c r="FD70" s="33">
        <f t="shared" si="360"/>
        <v>8426.6659330256025</v>
      </c>
      <c r="FE70" s="308">
        <f t="shared" ca="1" si="364"/>
        <v>1.2148634413957526E-2</v>
      </c>
      <c r="FF70" s="364">
        <f t="shared" si="365"/>
        <v>0.99614285714285722</v>
      </c>
      <c r="FG70" s="234"/>
    </row>
    <row r="71" spans="2:163" ht="15" customHeight="1" x14ac:dyDescent="0.2">
      <c r="B71" s="15" t="s">
        <v>358</v>
      </c>
      <c r="C71" s="23">
        <f>IF(psa,J71,IF(owsa_low=L71,F71,IF(owsa_high=L71,G71,IF(ISNUMBER(D71),D71,E71))))</f>
        <v>0.05</v>
      </c>
      <c r="D71" s="141"/>
      <c r="E71" s="23">
        <v>0.05</v>
      </c>
      <c r="F71" s="263">
        <f>IF(ISNUMBER(D71),D71,E71)*(1-owsa_boc)</f>
        <v>4.0000000000000008E-2</v>
      </c>
      <c r="G71" s="263">
        <f>MIN(1,IF(ISNUMBER(D71),D71,E71)*(1+owsa_boc))</f>
        <v>0.06</v>
      </c>
      <c r="H71" s="33">
        <f>IF(ISNUMBER(D71),D71,E71)^2*(1-IF(ISNUMBER(D71),D71,E71))/((G71-F71)/(2*z))^2-IF(ISNUMBER(D71),D71,E71)</f>
        <v>91.184646991485536</v>
      </c>
      <c r="I71" s="33">
        <f>(IF(ISNUMBER(D71),D71,E71)^2*(1-IF(ISNUMBER(D71),D71,E71))/((G71-F71)/(2*z))^2-IF(ISNUMBER(D71),D71,E71))*(1-IF(ISNUMBER(D71),D71,E71))/IF(ISNUMBER(D71),D71,E71)</f>
        <v>1732.5082928382249</v>
      </c>
      <c r="J71" s="23">
        <f ca="1">_xlfn.BETA.INV(RAND(),H71,I71)</f>
        <v>6.2426366218913842E-2</v>
      </c>
      <c r="K71" s="10" t="s">
        <v>49</v>
      </c>
      <c r="L71" s="10">
        <v>21</v>
      </c>
      <c r="M71" s="393" t="s">
        <v>345</v>
      </c>
      <c r="N71" s="393" t="s">
        <v>280</v>
      </c>
      <c r="Q71" s="10">
        <v>65</v>
      </c>
      <c r="R71" s="10">
        <f t="shared" si="431"/>
        <v>110</v>
      </c>
      <c r="S71" s="309" t="e">
        <f t="shared" ref="S71:S102" si="459">S70*(1-VLOOKUP(R71,boc_inc,$DE$1,FALSE)-VLOOKUP(R71,boc_inc,$DH$1,FALSE)-VLOOKUP(R71,boc_uptake,$DQ$1,FALSE)-VLOOKUP(R71,boc_uptake,$DT$1,FALSE)-VLOOKUP(R71,boc_mort,$CY$1,FALSE))</f>
        <v>#N/A</v>
      </c>
      <c r="T71" s="309" t="e">
        <f t="shared" ref="T71:T106" si="460">S70*VLOOKUP(R71,boc_uptake,$DQ$1,FALSE)</f>
        <v>#N/A</v>
      </c>
      <c r="U71" s="309" t="e">
        <f t="shared" ref="U71:U106" si="461">S70*VLOOKUP(R71,boc_uptake,$DT$1,FALSE)</f>
        <v>#N/A</v>
      </c>
      <c r="V71" s="235" t="e">
        <f t="shared" ref="V71:V106" si="462">V70*(1-VLOOKUP(R71,boc_uptake,$DT$1,FALSE)-VLOOKUP(R71,boc_inc_upt,$EC$1,FALSE)-VLOOKUP(R71,boc_inc_upt,$EI$1,FALSE)-VLOOKUP(R71,boc_mort,$CY$1,FALSE))+T70</f>
        <v>#N/A</v>
      </c>
      <c r="W71" s="235" t="e">
        <f t="shared" ref="W71:W106" si="463">W70*(1-VLOOKUP(R71,boc_uptake,$DQ$1,FALSE)-VLOOKUP(R71,boc_inc_upt,$EF$1,FALSE)-VLOOKUP(R71,boc_inc_upt,$EL$1,FALSE)-VLOOKUP(R71,boc_mort,$CY$1,FALSE))+U70</f>
        <v>#N/A</v>
      </c>
      <c r="X71" s="309" t="e">
        <f t="shared" ref="X71:X106" si="464">V70*VLOOKUP(R71,boc_uptake,$DT$1,FALSE)+W70*VLOOKUP(R71,boc_uptake,$DQ$1,FALSE)</f>
        <v>#N/A</v>
      </c>
      <c r="Y71" s="235" t="e">
        <f t="shared" ref="Y71:Y106" si="465">Y70*(1-VLOOKUP(R71,boc_inc_upt,$EL$1,FALSE)-VLOOKUP(R71,boc_mort,$CY$1,FALSE))+X70</f>
        <v>#N/A</v>
      </c>
      <c r="Z71" s="235" t="e">
        <f t="shared" ref="Z71:Z106" si="466">S70*VLOOKUP(R71,boc_inc,$DE$1,FALSE)+V70*VLOOKUP(R71,boc_inc_upt,$EC$1,FALSE)+W70*VLOOKUP(R71,boc_inc_upt,$EF$1,FALSE)</f>
        <v>#N/A</v>
      </c>
      <c r="AA71" s="235" t="e">
        <f t="shared" ref="AA71:AA106" si="467">AA70*(1-VLOOKUP(R71,boc_mort_pc,$DA$1,FALSE))+Z70*(1-VLOOKUP(R71,boc_mort_pc,$DA$1,FALSE))</f>
        <v>#N/A</v>
      </c>
      <c r="AB71" s="235" t="e">
        <f t="shared" ref="AB71:AB106" si="468">S70*VLOOKUP(R71,boc_inc,$DH$1,FALSE)+V70*VLOOKUP(R71,boc_inc_upt,$EI$1,FALSE)+W70*VLOOKUP(R71,boc_inc_upt,$EL$1,FALSE)+Y70*VLOOKUP(R71,boc_inc_upt,$EL$1,FALSE)</f>
        <v>#N/A</v>
      </c>
      <c r="AC71" s="235" t="e">
        <f t="shared" ref="AC71:AC106" si="469">AC70*(1-VLOOKUP(R71,boc_mort_pc,$DB$1,FALSE))+AB70*(1-VLOOKUP(R71,boc_mort_pc,$DB$1,FALSE))</f>
        <v>#N/A</v>
      </c>
      <c r="AD71" s="235" t="e">
        <f t="shared" ref="AD71:AD106" si="470">AD70+SUM(S70,V70,W70,Y70)*VLOOKUP(R71,boc_mort,$CY$1,FALSE)+Z70*VLOOKUP(R71,boc_mort_pc,$DA$1,TRUE)+AA70*VLOOKUP(R71,boc_mort_pc,$DA$1,FALSE)+AC70*VLOOKUP(R71,boc_mort_pc,$DB$1,FALSE)+AB70*VLOOKUP(R71,boc_mort_pc,$DB$1,TRUE)</f>
        <v>#N/A</v>
      </c>
      <c r="AE71" s="235" t="e">
        <f t="shared" ref="AE71:AE106" si="471">SUM(S71:AD71)</f>
        <v>#N/A</v>
      </c>
      <c r="AF71" s="101" t="e">
        <f t="shared" si="432"/>
        <v>#N/A</v>
      </c>
      <c r="AG71" s="101" t="e">
        <f t="shared" si="433"/>
        <v>#N/A</v>
      </c>
      <c r="AH71" s="101" t="e">
        <f t="shared" si="434"/>
        <v>#N/A</v>
      </c>
      <c r="AI71" s="101" t="e">
        <f t="shared" si="435"/>
        <v>#N/A</v>
      </c>
      <c r="AJ71" s="101" t="e">
        <f t="shared" si="436"/>
        <v>#N/A</v>
      </c>
      <c r="AK71" s="101" t="e">
        <f t="shared" ref="AK71:AK106" si="472">((Z70*VLOOKUP(R71,boc_mort_pc,$DA$1,TRUE)+AA70*VLOOKUP(R71,boc_mort_pc,$DA$1,FALSE))*IF(R71&lt;65,boc_cost_bc_last_64,boc_cost_bc_last_65)+(AC70*VLOOKUP(R71,boc_mort_pc,$DB$1,FALSE)+AB70*VLOOKUP(R71,boc_mort_pc,$DB$1,TRUE))*IF(R70&lt;65,boc_cost_oc_last_64,boc_cost_oc_last_65))/((1+discount)^Q71)</f>
        <v>#N/A</v>
      </c>
      <c r="AL71" s="235" t="e">
        <f t="shared" ref="AL71:AL106" si="473">(S71*util_well)/((1+discount)^Q71)</f>
        <v>#N/A</v>
      </c>
      <c r="AM71" s="235" t="e">
        <f t="shared" si="437"/>
        <v>#N/A</v>
      </c>
      <c r="AN71" s="235" t="e">
        <f t="shared" si="438"/>
        <v>#N/A</v>
      </c>
      <c r="AO71" s="235" t="e">
        <f t="shared" si="439"/>
        <v>#N/A</v>
      </c>
      <c r="AP71" s="235" t="e">
        <f t="shared" si="440"/>
        <v>#N/A</v>
      </c>
      <c r="AQ71" s="235" t="e">
        <f t="shared" si="441"/>
        <v>#N/A</v>
      </c>
      <c r="AR71" s="101" t="e">
        <f t="shared" ref="AR71:AR107" si="474">SUM(AF71:AK71)</f>
        <v>#N/A</v>
      </c>
      <c r="AS71" s="235" t="e">
        <f t="shared" ref="AS71:AS107" si="475">SUM(AL71:AQ71)</f>
        <v>#N/A</v>
      </c>
      <c r="AT71" s="235" t="e">
        <f t="shared" si="442"/>
        <v>#N/A</v>
      </c>
      <c r="AV71" s="10">
        <v>65</v>
      </c>
      <c r="AW71" s="10">
        <f t="shared" ref="AW71:AW106" si="476">age+AV71</f>
        <v>110</v>
      </c>
      <c r="AX71" s="309" t="e">
        <f t="shared" ref="AX71:AX102" si="477">AX70*(1-VLOOKUP(AW71,boc_inc,$DE$1,FALSE)-VLOOKUP(AW71,boc_inc,$DH$1,FALSE)-boc_unkn_mast-boc_unkn_ooph-VLOOKUP(AW71,boc_mort,$CY$1,FALSE))</f>
        <v>#N/A</v>
      </c>
      <c r="AY71" s="309" t="e">
        <f t="shared" ref="AY71:AY106" si="478">AX70*boc_unkn_mast</f>
        <v>#N/A</v>
      </c>
      <c r="AZ71" s="309" t="e">
        <f t="shared" ref="AZ71:AZ106" si="479">AX70*boc_unkn_ooph</f>
        <v>#N/A</v>
      </c>
      <c r="BA71" s="235" t="e">
        <f t="shared" ref="BA71:BA106" si="480">BA70*(1-VLOOKUP(AW71,boc_uptake,$DT$1,FALSE)-VLOOKUP(AW71,boc_inc_upt,$EC$1,FALSE)-VLOOKUP(AW71,boc_inc_upt,$EI$1,FALSE)-VLOOKUP(AW71,boc_mort,$CY$1,FALSE))+AY70</f>
        <v>#N/A</v>
      </c>
      <c r="BB71" s="235" t="e">
        <f t="shared" ref="BB71:BB106" si="481">BB70*(1-VLOOKUP(AW71,boc_uptake,$DQ$1,FALSE)-VLOOKUP(AW71,boc_inc_upt,$EF$1,FALSE)-VLOOKUP(AW71,boc_inc_upt,$EL$1,FALSE)-VLOOKUP(AW71,boc_mort,$CY$1,FALSE))+AZ70</f>
        <v>#N/A</v>
      </c>
      <c r="BC71" s="309" t="e">
        <f t="shared" ref="BC71:BC106" si="482">BA70*VLOOKUP(AW71,boc_uptake,$DT$1,FALSE)+BB70*VLOOKUP(AW71,boc_uptake,$DQ$1,FALSE)</f>
        <v>#N/A</v>
      </c>
      <c r="BD71" s="235" t="e">
        <f t="shared" ref="BD71:BD106" si="483">BD70*(1-VLOOKUP(AW71,boc_inc_upt,$EL$1,FALSE)-VLOOKUP(AW71,boc_mort,$CY$1,FALSE))+BC70</f>
        <v>#N/A</v>
      </c>
      <c r="BE71" s="235" t="e">
        <f t="shared" ref="BE71:BE106" si="484">AX70*VLOOKUP(AW71,boc_inc,$DE$1,FALSE)+BA70*VLOOKUP(AW71,boc_inc_upt,$EC$1,FALSE)+BB70*VLOOKUP(AW71,boc_inc_upt,$EF$1,FALSE)</f>
        <v>#N/A</v>
      </c>
      <c r="BF71" s="235" t="e">
        <f t="shared" ref="BF71:BF106" si="485">BF70*(1-VLOOKUP(AW71,boc_mort_pc,$DA$1,FALSE))+BE70*(1-VLOOKUP(AW71,boc_mort_pc,$DA$1,FALSE))</f>
        <v>#N/A</v>
      </c>
      <c r="BG71" s="235" t="e">
        <f t="shared" ref="BG71:BG106" si="486">AX70*VLOOKUP(AW71,boc_inc,$DH$1,FALSE)+BA70*VLOOKUP(AW71,boc_inc_upt,$EI$1,FALSE)+BB70*VLOOKUP(AW71,boc_inc_upt,$EL$1,FALSE)+BD70*VLOOKUP(AW71,boc_inc_upt,$EL$1,FALSE)</f>
        <v>#N/A</v>
      </c>
      <c r="BH71" s="235" t="e">
        <f t="shared" ref="BH71:BH106" si="487">BH70*(1-VLOOKUP(AW71,boc_mort_pc,$DB$1,FALSE))+BG70*(1-VLOOKUP(AW71,boc_mort_pc,$DB$1,FALSE))</f>
        <v>#N/A</v>
      </c>
      <c r="BI71" s="235" t="e">
        <f t="shared" ref="BI71:BI106" si="488">BI70+SUM(AX70,BA70,BB70,BD70)*VLOOKUP(AW71,boc_mort,$CY$1,FALSE)+BE70*VLOOKUP(AW71,boc_mort_pc,$DA$1,TRUE)+BF70*VLOOKUP(AW71,boc_mort_pc,$DA$1,FALSE)+BH70*VLOOKUP(AW71,boc_mort_pc,$DB$1,FALSE)+BG70*VLOOKUP(AW71,boc_mort_pc,$DB$1,TRUE)</f>
        <v>#N/A</v>
      </c>
      <c r="BJ71" s="235" t="e">
        <f t="shared" ref="BJ71:BJ106" si="489">SUM(AX71:BI71)</f>
        <v>#N/A</v>
      </c>
      <c r="BK71" s="101" t="e">
        <f t="shared" si="443"/>
        <v>#N/A</v>
      </c>
      <c r="BL71" s="101" t="e">
        <f t="shared" si="444"/>
        <v>#N/A</v>
      </c>
      <c r="BM71" s="101" t="e">
        <f t="shared" si="445"/>
        <v>#N/A</v>
      </c>
      <c r="BN71" s="101" t="e">
        <f t="shared" si="446"/>
        <v>#N/A</v>
      </c>
      <c r="BO71" s="101" t="e">
        <f t="shared" si="447"/>
        <v>#N/A</v>
      </c>
      <c r="BP71" s="101" t="e">
        <f t="shared" ref="BP71:BP106" si="490">((BE70*VLOOKUP(AW71,boc_mort_pc,$DA$1,TRUE)+BF70*VLOOKUP(AW71,boc_mort_pc,$DA$1,FALSE))*IF(AW71&lt;65,boc_cost_bc_last_64,boc_cost_bc_last_65)+(BH70*VLOOKUP(AW71,boc_mort_pc,$DB$1,FALSE)+BG70*VLOOKUP(AW71,boc_mort_pc,$DB$1,TRUE))*IF(AW70&lt;65,boc_cost_oc_last_64,boc_cost_oc_last_65))/((1+discount)^AV71)</f>
        <v>#N/A</v>
      </c>
      <c r="BQ71" s="235" t="e">
        <f t="shared" si="448"/>
        <v>#N/A</v>
      </c>
      <c r="BR71" s="235" t="e">
        <f t="shared" si="449"/>
        <v>#N/A</v>
      </c>
      <c r="BS71" s="235" t="e">
        <f t="shared" si="450"/>
        <v>#N/A</v>
      </c>
      <c r="BT71" s="235" t="e">
        <f t="shared" si="451"/>
        <v>#N/A</v>
      </c>
      <c r="BU71" s="235" t="e">
        <f t="shared" si="452"/>
        <v>#N/A</v>
      </c>
      <c r="BV71" s="235" t="e">
        <f t="shared" si="453"/>
        <v>#N/A</v>
      </c>
      <c r="BW71" s="101" t="e">
        <f t="shared" ref="BW71:BW107" si="491">SUM(BK71:BP71)</f>
        <v>#N/A</v>
      </c>
      <c r="BX71" s="235" t="e">
        <f t="shared" ref="BX71:BX107" si="492">SUM(BQ71:BV71)</f>
        <v>#N/A</v>
      </c>
      <c r="BY71" s="235" t="e">
        <f t="shared" si="454"/>
        <v>#N/A</v>
      </c>
      <c r="CA71" s="23"/>
      <c r="CJ71" s="10">
        <v>63</v>
      </c>
      <c r="CK71" s="450">
        <v>0.4237754414890233</v>
      </c>
      <c r="CL71" s="450">
        <v>5.7035553982289933E-2</v>
      </c>
      <c r="CM71" s="450">
        <v>0.4237754414890233</v>
      </c>
      <c r="CN71" s="450">
        <v>5.7035553982289933E-2</v>
      </c>
      <c r="CO71" s="451">
        <v>0.14544681988808811</v>
      </c>
      <c r="CP71" s="451">
        <v>0.14602026841889917</v>
      </c>
      <c r="CQ71" s="451">
        <v>0.11528257227013494</v>
      </c>
      <c r="CR71" s="451">
        <v>0.11648476629090762</v>
      </c>
      <c r="CS71" s="451">
        <v>10.375080530378431</v>
      </c>
      <c r="CT71" s="451">
        <v>10.392137329983008</v>
      </c>
      <c r="CU71" s="234">
        <v>-1.7056799604576511E-2</v>
      </c>
      <c r="CX71" s="377">
        <v>63</v>
      </c>
      <c r="CY71" s="335">
        <f t="shared" si="272"/>
        <v>8.3280000000000003E-3</v>
      </c>
      <c r="CZ71" s="338">
        <v>8.3280000000000003E-3</v>
      </c>
      <c r="DA71" s="345">
        <f t="shared" si="273"/>
        <v>3.8063175445049779E-2</v>
      </c>
      <c r="DB71" s="387">
        <f t="shared" si="274"/>
        <v>0.14665896124090361</v>
      </c>
      <c r="DC71" s="114">
        <f t="shared" si="91"/>
        <v>2.4690087971667385E-2</v>
      </c>
      <c r="DD71" s="378">
        <f t="shared" si="92"/>
        <v>3.0136559126355711E-2</v>
      </c>
      <c r="DE71" s="378">
        <f t="shared" si="275"/>
        <v>2.6317472565622134E-2</v>
      </c>
      <c r="DF71" s="340">
        <f t="shared" si="93"/>
        <v>1.3705216505019768E-2</v>
      </c>
      <c r="DG71" s="378">
        <f t="shared" si="94"/>
        <v>6.9755570667648925E-3</v>
      </c>
      <c r="DH71" s="378">
        <f t="shared" si="276"/>
        <v>1.1694420196486876E-2</v>
      </c>
      <c r="DI71" s="340">
        <f>DI70+(DI78-DI68)/10</f>
        <v>0.59000000000000008</v>
      </c>
      <c r="DJ71" s="378">
        <f t="shared" ref="DJ71" si="493">DJ70+(DJ78-DJ68)/10</f>
        <v>0.55400000000000005</v>
      </c>
      <c r="DK71" s="350">
        <f t="shared" si="278"/>
        <v>0.57924333871998201</v>
      </c>
      <c r="DL71" s="340">
        <f t="shared" ref="DL71" si="494">DL70+(DL78-DL68)/10</f>
        <v>0.26300000000000001</v>
      </c>
      <c r="DM71" s="378">
        <f t="shared" ref="DM71" si="495">DM70+(DM78-DM68)/10</f>
        <v>9.3999999999999986E-2</v>
      </c>
      <c r="DN71" s="396">
        <f t="shared" si="281"/>
        <v>0.21250345121324865</v>
      </c>
      <c r="DO71" s="335">
        <f t="shared" si="103"/>
        <v>0</v>
      </c>
      <c r="DP71" s="350">
        <f t="shared" si="104"/>
        <v>0</v>
      </c>
      <c r="DQ71" s="349">
        <f t="shared" si="282"/>
        <v>0</v>
      </c>
      <c r="DR71" s="335">
        <f t="shared" si="105"/>
        <v>2.6000000000000467E-3</v>
      </c>
      <c r="DS71" s="350">
        <f t="shared" si="106"/>
        <v>1.8000000000000238E-3</v>
      </c>
      <c r="DT71" s="349">
        <f t="shared" si="283"/>
        <v>2.3609630826663059E-3</v>
      </c>
      <c r="DU71" s="200">
        <f>DU70+(DU73-DU68)/5</f>
        <v>0.46399999999999997</v>
      </c>
      <c r="DV71" s="114">
        <f>DV70+(DV73-DV68)/5</f>
        <v>0.46500000000000008</v>
      </c>
      <c r="DW71" s="350">
        <f t="shared" si="284"/>
        <v>0.46429879614666725</v>
      </c>
      <c r="DX71" s="200">
        <f>DX70+(DX73-DX68)/5</f>
        <v>0.97980000000000023</v>
      </c>
      <c r="DY71" s="114">
        <f>DY70+(DY73-DY68)/5</f>
        <v>0.93040000000000012</v>
      </c>
      <c r="DZ71" s="396">
        <f t="shared" si="285"/>
        <v>0.9650394703546421</v>
      </c>
      <c r="EA71" s="350">
        <f t="shared" si="286"/>
        <v>0</v>
      </c>
      <c r="EB71" s="350">
        <f t="shared" si="287"/>
        <v>0</v>
      </c>
      <c r="EC71" s="349">
        <f t="shared" si="288"/>
        <v>0</v>
      </c>
      <c r="ED71" s="335">
        <f t="shared" si="289"/>
        <v>1.56266173581594E-2</v>
      </c>
      <c r="EE71" s="350">
        <f t="shared" si="290"/>
        <v>1.0955546062492716E-2</v>
      </c>
      <c r="EF71" s="387">
        <f t="shared" si="291"/>
        <v>1.4230919254206581E-2</v>
      </c>
      <c r="EG71" s="335">
        <f t="shared" si="292"/>
        <v>1.3705216505019768E-2</v>
      </c>
      <c r="EH71" s="350">
        <f t="shared" si="293"/>
        <v>6.9755570667648925E-3</v>
      </c>
      <c r="EI71" s="387">
        <f t="shared" si="294"/>
        <v>1.1694420196486876E-2</v>
      </c>
      <c r="EJ71" s="335">
        <f t="shared" si="295"/>
        <v>4.2688623928717195E-3</v>
      </c>
      <c r="EK71" s="350">
        <f t="shared" si="296"/>
        <v>0</v>
      </c>
      <c r="EL71" s="387">
        <f t="shared" si="297"/>
        <v>2.9933427592292649E-3</v>
      </c>
      <c r="EO71" s="454">
        <v>61</v>
      </c>
      <c r="EP71" s="452" t="s">
        <v>201</v>
      </c>
      <c r="EQ71" s="458">
        <v>25</v>
      </c>
      <c r="ER71" s="458">
        <v>15.9</v>
      </c>
      <c r="ES71" s="458">
        <v>39.1</v>
      </c>
      <c r="ET71" s="347">
        <f t="shared" si="409"/>
        <v>0.22954589085888011</v>
      </c>
      <c r="EU71" s="458">
        <f t="shared" ca="1" si="402"/>
        <v>17.587227653136733</v>
      </c>
      <c r="EV71" s="458">
        <f t="shared" si="403"/>
        <v>25</v>
      </c>
      <c r="EW71" s="396">
        <f t="shared" si="410"/>
        <v>2.4690087971667385E-2</v>
      </c>
      <c r="EY71" s="363">
        <v>75</v>
      </c>
      <c r="EZ71" s="346">
        <f t="shared" si="458"/>
        <v>9.2857142857142843E-3</v>
      </c>
      <c r="FA71" s="347">
        <f t="shared" si="357"/>
        <v>7.4285714285714276E-3</v>
      </c>
      <c r="FB71" s="347">
        <f t="shared" si="358"/>
        <v>1.114285714285714E-2</v>
      </c>
      <c r="FC71" s="33">
        <f t="shared" si="359"/>
        <v>95.135417576834868</v>
      </c>
      <c r="FD71" s="33">
        <f t="shared" si="360"/>
        <v>10150.217244543846</v>
      </c>
      <c r="FE71" s="308">
        <f t="shared" ca="1" si="364"/>
        <v>8.5915433274717252E-3</v>
      </c>
      <c r="FF71" s="364">
        <f t="shared" si="365"/>
        <v>1</v>
      </c>
      <c r="FG71" s="234"/>
    </row>
    <row r="72" spans="2:163" ht="15" customHeight="1" x14ac:dyDescent="0.2">
      <c r="M72" s="413"/>
      <c r="N72" s="413"/>
      <c r="Q72" s="10">
        <v>66</v>
      </c>
      <c r="R72" s="10">
        <f t="shared" si="431"/>
        <v>111</v>
      </c>
      <c r="S72" s="309" t="e">
        <f t="shared" si="459"/>
        <v>#N/A</v>
      </c>
      <c r="T72" s="309" t="e">
        <f t="shared" si="460"/>
        <v>#N/A</v>
      </c>
      <c r="U72" s="309" t="e">
        <f t="shared" si="461"/>
        <v>#N/A</v>
      </c>
      <c r="V72" s="235" t="e">
        <f t="shared" si="462"/>
        <v>#N/A</v>
      </c>
      <c r="W72" s="235" t="e">
        <f t="shared" si="463"/>
        <v>#N/A</v>
      </c>
      <c r="X72" s="309" t="e">
        <f t="shared" si="464"/>
        <v>#N/A</v>
      </c>
      <c r="Y72" s="235" t="e">
        <f t="shared" si="465"/>
        <v>#N/A</v>
      </c>
      <c r="Z72" s="235" t="e">
        <f t="shared" si="466"/>
        <v>#N/A</v>
      </c>
      <c r="AA72" s="235" t="e">
        <f t="shared" si="467"/>
        <v>#N/A</v>
      </c>
      <c r="AB72" s="235" t="e">
        <f t="shared" si="468"/>
        <v>#N/A</v>
      </c>
      <c r="AC72" s="235" t="e">
        <f t="shared" si="469"/>
        <v>#N/A</v>
      </c>
      <c r="AD72" s="235" t="e">
        <f t="shared" si="470"/>
        <v>#N/A</v>
      </c>
      <c r="AE72" s="235" t="e">
        <f t="shared" si="471"/>
        <v>#N/A</v>
      </c>
      <c r="AF72" s="101" t="e">
        <f t="shared" si="432"/>
        <v>#N/A</v>
      </c>
      <c r="AG72" s="101" t="e">
        <f t="shared" si="433"/>
        <v>#N/A</v>
      </c>
      <c r="AH72" s="101" t="e">
        <f t="shared" si="434"/>
        <v>#N/A</v>
      </c>
      <c r="AI72" s="101" t="e">
        <f t="shared" si="435"/>
        <v>#N/A</v>
      </c>
      <c r="AJ72" s="101" t="e">
        <f t="shared" si="436"/>
        <v>#N/A</v>
      </c>
      <c r="AK72" s="101" t="e">
        <f t="shared" si="472"/>
        <v>#N/A</v>
      </c>
      <c r="AL72" s="235" t="e">
        <f t="shared" si="473"/>
        <v>#N/A</v>
      </c>
      <c r="AM72" s="235" t="e">
        <f t="shared" si="437"/>
        <v>#N/A</v>
      </c>
      <c r="AN72" s="235" t="e">
        <f t="shared" si="438"/>
        <v>#N/A</v>
      </c>
      <c r="AO72" s="235" t="e">
        <f t="shared" si="439"/>
        <v>#N/A</v>
      </c>
      <c r="AP72" s="235" t="e">
        <f t="shared" si="440"/>
        <v>#N/A</v>
      </c>
      <c r="AQ72" s="235" t="e">
        <f t="shared" si="441"/>
        <v>#N/A</v>
      </c>
      <c r="AR72" s="101" t="e">
        <f t="shared" si="474"/>
        <v>#N/A</v>
      </c>
      <c r="AS72" s="235" t="e">
        <f t="shared" si="475"/>
        <v>#N/A</v>
      </c>
      <c r="AT72" s="235" t="e">
        <f t="shared" si="442"/>
        <v>#N/A</v>
      </c>
      <c r="AV72" s="10">
        <v>66</v>
      </c>
      <c r="AW72" s="10">
        <f t="shared" si="476"/>
        <v>111</v>
      </c>
      <c r="AX72" s="309" t="e">
        <f t="shared" si="477"/>
        <v>#N/A</v>
      </c>
      <c r="AY72" s="309" t="e">
        <f t="shared" si="478"/>
        <v>#N/A</v>
      </c>
      <c r="AZ72" s="309" t="e">
        <f t="shared" si="479"/>
        <v>#N/A</v>
      </c>
      <c r="BA72" s="235" t="e">
        <f t="shared" si="480"/>
        <v>#N/A</v>
      </c>
      <c r="BB72" s="235" t="e">
        <f t="shared" si="481"/>
        <v>#N/A</v>
      </c>
      <c r="BC72" s="309" t="e">
        <f t="shared" si="482"/>
        <v>#N/A</v>
      </c>
      <c r="BD72" s="235" t="e">
        <f t="shared" si="483"/>
        <v>#N/A</v>
      </c>
      <c r="BE72" s="235" t="e">
        <f t="shared" si="484"/>
        <v>#N/A</v>
      </c>
      <c r="BF72" s="235" t="e">
        <f t="shared" si="485"/>
        <v>#N/A</v>
      </c>
      <c r="BG72" s="235" t="e">
        <f t="shared" si="486"/>
        <v>#N/A</v>
      </c>
      <c r="BH72" s="235" t="e">
        <f t="shared" si="487"/>
        <v>#N/A</v>
      </c>
      <c r="BI72" s="235" t="e">
        <f t="shared" si="488"/>
        <v>#N/A</v>
      </c>
      <c r="BJ72" s="235" t="e">
        <f t="shared" si="489"/>
        <v>#N/A</v>
      </c>
      <c r="BK72" s="101" t="e">
        <f t="shared" si="443"/>
        <v>#N/A</v>
      </c>
      <c r="BL72" s="101" t="e">
        <f t="shared" si="444"/>
        <v>#N/A</v>
      </c>
      <c r="BM72" s="101" t="e">
        <f t="shared" si="445"/>
        <v>#N/A</v>
      </c>
      <c r="BN72" s="101" t="e">
        <f t="shared" si="446"/>
        <v>#N/A</v>
      </c>
      <c r="BO72" s="101" t="e">
        <f t="shared" si="447"/>
        <v>#N/A</v>
      </c>
      <c r="BP72" s="101" t="e">
        <f t="shared" si="490"/>
        <v>#N/A</v>
      </c>
      <c r="BQ72" s="235" t="e">
        <f t="shared" si="448"/>
        <v>#N/A</v>
      </c>
      <c r="BR72" s="235" t="e">
        <f t="shared" si="449"/>
        <v>#N/A</v>
      </c>
      <c r="BS72" s="235" t="e">
        <f t="shared" si="450"/>
        <v>#N/A</v>
      </c>
      <c r="BT72" s="235" t="e">
        <f t="shared" si="451"/>
        <v>#N/A</v>
      </c>
      <c r="BU72" s="235" t="e">
        <f t="shared" si="452"/>
        <v>#N/A</v>
      </c>
      <c r="BV72" s="235" t="e">
        <f t="shared" si="453"/>
        <v>#N/A</v>
      </c>
      <c r="BW72" s="101" t="e">
        <f t="shared" si="491"/>
        <v>#N/A</v>
      </c>
      <c r="BX72" s="235" t="e">
        <f t="shared" si="492"/>
        <v>#N/A</v>
      </c>
      <c r="BY72" s="235" t="e">
        <f t="shared" si="454"/>
        <v>#N/A</v>
      </c>
      <c r="CA72" s="23"/>
      <c r="CJ72" s="10">
        <v>64</v>
      </c>
      <c r="CK72" s="450">
        <v>0.42346168938587353</v>
      </c>
      <c r="CL72" s="450">
        <v>6.4435044265801267E-2</v>
      </c>
      <c r="CM72" s="450">
        <v>0.42346168938587353</v>
      </c>
      <c r="CN72" s="450">
        <v>6.4435044265801267E-2</v>
      </c>
      <c r="CO72" s="451">
        <v>0.13673492958988262</v>
      </c>
      <c r="CP72" s="451">
        <v>0.13721722822514942</v>
      </c>
      <c r="CQ72" s="451">
        <v>0.1132714227030826</v>
      </c>
      <c r="CR72" s="451">
        <v>0.11432579826891996</v>
      </c>
      <c r="CS72" s="451">
        <v>10.04364976796618</v>
      </c>
      <c r="CT72" s="451">
        <v>10.061421934684569</v>
      </c>
      <c r="CU72" s="234">
        <v>-1.7772166718389215E-2</v>
      </c>
      <c r="CX72" s="377">
        <v>64</v>
      </c>
      <c r="CY72" s="335">
        <f t="shared" ref="CY72:CY103" si="496">IF($CZ$7,CZ72,0)</f>
        <v>8.9949999999999995E-3</v>
      </c>
      <c r="CZ72" s="338">
        <v>8.9949999999999995E-3</v>
      </c>
      <c r="DA72" s="345">
        <f t="shared" ref="DA72:DA107" si="497">VLOOKUP($CX72,$FH$22:$FP$42,6,TRUE)</f>
        <v>3.8063175445049779E-2</v>
      </c>
      <c r="DB72" s="387">
        <f t="shared" ref="DB72:DB107" si="498">VLOOKUP($CX72,$FH$22:$FP$42,9,TRUE)</f>
        <v>0.14665896124090361</v>
      </c>
      <c r="DC72" s="114">
        <f t="shared" si="91"/>
        <v>2.4690087971667385E-2</v>
      </c>
      <c r="DD72" s="378">
        <f t="shared" si="92"/>
        <v>3.0136559126355711E-2</v>
      </c>
      <c r="DE72" s="378">
        <f t="shared" ref="DE72:DE103" si="499">IF($DE$6,boc_mut_brca1*DC72+boc_mut_brca2*DD72,0)</f>
        <v>2.6317472565622134E-2</v>
      </c>
      <c r="DF72" s="340">
        <f t="shared" si="93"/>
        <v>1.3705216505019768E-2</v>
      </c>
      <c r="DG72" s="378">
        <f t="shared" si="94"/>
        <v>6.9755570667648925E-3</v>
      </c>
      <c r="DH72" s="378">
        <f t="shared" ref="DH72:DH103" si="500">IF($DH$6,boc_mut_brca1*DF72+boc_mut_brca2*DG72,0)</f>
        <v>1.1694420196486876E-2</v>
      </c>
      <c r="DI72" s="340">
        <f>DI71+(DI78-DI68)/10</f>
        <v>0.60000000000000009</v>
      </c>
      <c r="DJ72" s="378">
        <f t="shared" ref="DJ72" si="501">DJ71+(DJ78-DJ68)/10</f>
        <v>0.56200000000000006</v>
      </c>
      <c r="DK72" s="350">
        <f t="shared" ref="DK72:DK103" si="502">IF($DK$4,boc_mut_brca1*DI72+boc_mut_brca2*DJ72,0)</f>
        <v>0.58864574642664769</v>
      </c>
      <c r="DL72" s="340">
        <f t="shared" ref="DL72" si="503">DL71+(DL78-DL68)/10</f>
        <v>0.28400000000000003</v>
      </c>
      <c r="DM72" s="378">
        <f t="shared" ref="DM72" si="504">DM71+(DM78-DM68)/10</f>
        <v>0.10199999999999998</v>
      </c>
      <c r="DN72" s="396">
        <f t="shared" ref="DN72:DN103" si="505">IF($DN$4,boc_mut_brca1*DL72+boc_mut_brca2*DM72,0)</f>
        <v>0.22961910130657551</v>
      </c>
      <c r="DO72" s="335">
        <f t="shared" si="103"/>
        <v>0</v>
      </c>
      <c r="DP72" s="350">
        <f t="shared" si="104"/>
        <v>0</v>
      </c>
      <c r="DQ72" s="349">
        <f t="shared" ref="DQ72:DQ103" si="506">boc_mut_brca1*DO72+boc_mut_brca2*DP72</f>
        <v>0</v>
      </c>
      <c r="DR72" s="335">
        <f t="shared" si="105"/>
        <v>2.6000000000000467E-3</v>
      </c>
      <c r="DS72" s="350">
        <f t="shared" si="106"/>
        <v>1.8000000000000238E-3</v>
      </c>
      <c r="DT72" s="349">
        <f t="shared" ref="DT72:DT103" si="507">boc_mut_brca1*DR72+boc_mut_brca2*DS72</f>
        <v>2.3609630826663059E-3</v>
      </c>
      <c r="DU72" s="200">
        <f>DU71+(DU73-DU68)/5</f>
        <v>0.46399999999999997</v>
      </c>
      <c r="DV72" s="114">
        <f>DV71+(DV73-DV68)/5</f>
        <v>0.46500000000000008</v>
      </c>
      <c r="DW72" s="350">
        <f t="shared" ref="DW72:DW103" si="508">IF($DW$4,boc_mut_brca1*DU72+boc_mut_brca2*DV72,0)</f>
        <v>0.46429879614666725</v>
      </c>
      <c r="DX72" s="200">
        <f>DX71+(DX73-DX68)/5</f>
        <v>0.98240000000000027</v>
      </c>
      <c r="DY72" s="114">
        <f>DY71+(DY73-DY68)/5</f>
        <v>0.93220000000000014</v>
      </c>
      <c r="DZ72" s="396">
        <f t="shared" ref="DZ72:DZ103" si="509">IF($DZ$4,boc_mut_brca1*DX72+boc_mut_brca2*DY72,0)</f>
        <v>0.96740043343730853</v>
      </c>
      <c r="EA72" s="350">
        <f t="shared" ref="EA72:EA108" si="510">1-EXP(-((-LN(1-DC72))*boc_hr_bc_mast_1))</f>
        <v>0</v>
      </c>
      <c r="EB72" s="350">
        <f t="shared" ref="EB72:EB108" si="511">1-EXP(-((-LN(1-DD72))*boc_hr_bc_mast_2))</f>
        <v>0</v>
      </c>
      <c r="EC72" s="349">
        <f t="shared" ref="EC72:EC103" si="512">boc_mut_brca1*EA72+boc_mut_brca2*EB72</f>
        <v>0</v>
      </c>
      <c r="ED72" s="335">
        <f t="shared" ref="ED72:ED108" si="513">1-EXP(-((-LN(1-DC72))*boc_hr_bc_ooph_1))</f>
        <v>1.56266173581594E-2</v>
      </c>
      <c r="EE72" s="350">
        <f t="shared" ref="EE72:EE108" si="514">1-EXP(-((-LN(1-DD72))*boc_hr_bc_ooph_2))</f>
        <v>1.0955546062492716E-2</v>
      </c>
      <c r="EF72" s="387">
        <f t="shared" ref="EF72:EF103" si="515">boc_mut_brca1*ED72+boc_mut_brca2*EE72</f>
        <v>1.4230919254206581E-2</v>
      </c>
      <c r="EG72" s="335">
        <f t="shared" ref="EG72:EG108" si="516">1-EXP(-((-LN(1-DF72))*boc_hr_oc_mast_1))</f>
        <v>1.3705216505019768E-2</v>
      </c>
      <c r="EH72" s="350">
        <f t="shared" ref="EH72:EH108" si="517">1-EXP(-((-LN(1-DG72))*boc_hr_oc_mast_2))</f>
        <v>6.9755570667648925E-3</v>
      </c>
      <c r="EI72" s="387">
        <f t="shared" ref="EI72:EI103" si="518">boc_mut_brca1*EG72+boc_mut_brca2*EH72</f>
        <v>1.1694420196486876E-2</v>
      </c>
      <c r="EJ72" s="335">
        <f t="shared" ref="EJ72:EJ108" si="519">1-EXP(-((-LN(1-DF72))*boc_hr_oc_ooph_1))</f>
        <v>4.2688623928717195E-3</v>
      </c>
      <c r="EK72" s="350">
        <f t="shared" ref="EK72:EK108" si="520">1-EXP(-((-LN(1-DG72))*boc_hr_oc_ooph_2))</f>
        <v>0</v>
      </c>
      <c r="EL72" s="387">
        <f t="shared" ref="EL72:EL103" si="521">boc_mut_brca1*EJ72+boc_mut_brca2*EK72</f>
        <v>2.9933427592292649E-3</v>
      </c>
      <c r="EO72" s="454">
        <v>71</v>
      </c>
      <c r="EP72" s="452" t="s">
        <v>202</v>
      </c>
      <c r="EQ72" s="458">
        <v>16.5</v>
      </c>
      <c r="ER72" s="458">
        <v>6.2</v>
      </c>
      <c r="ES72" s="458">
        <v>43.9</v>
      </c>
      <c r="ET72" s="347">
        <f t="shared" si="409"/>
        <v>0.49933698870732468</v>
      </c>
      <c r="EU72" s="458">
        <f t="shared" ca="1" si="402"/>
        <v>15.47157285537528</v>
      </c>
      <c r="EV72" s="458">
        <f t="shared" si="403"/>
        <v>16.5</v>
      </c>
      <c r="EW72" s="396">
        <f t="shared" si="410"/>
        <v>1.636462060932764E-2</v>
      </c>
      <c r="EY72" s="363">
        <v>80</v>
      </c>
      <c r="EZ72" s="346">
        <f t="shared" si="458"/>
        <v>7.4285714285714267E-3</v>
      </c>
      <c r="FA72" s="347">
        <f t="shared" si="357"/>
        <v>5.9428571428571421E-3</v>
      </c>
      <c r="FB72" s="347">
        <f t="shared" si="358"/>
        <v>8.9142857142857114E-3</v>
      </c>
      <c r="FC72" s="33">
        <f t="shared" si="359"/>
        <v>95.315628164938559</v>
      </c>
      <c r="FD72" s="33">
        <f t="shared" si="360"/>
        <v>12735.634317115257</v>
      </c>
      <c r="FE72" s="308">
        <f t="shared" ca="1" si="364"/>
        <v>8.9430564024424175E-3</v>
      </c>
      <c r="FF72" s="364">
        <f t="shared" si="365"/>
        <v>1</v>
      </c>
      <c r="FG72" s="234"/>
    </row>
    <row r="73" spans="2:163" ht="15" customHeight="1" x14ac:dyDescent="0.25">
      <c r="B73" s="404" t="s">
        <v>349</v>
      </c>
      <c r="M73" s="413"/>
      <c r="N73" s="413"/>
      <c r="Q73" s="10">
        <v>67</v>
      </c>
      <c r="R73" s="10">
        <f t="shared" si="431"/>
        <v>112</v>
      </c>
      <c r="S73" s="309" t="e">
        <f t="shared" si="459"/>
        <v>#N/A</v>
      </c>
      <c r="T73" s="309" t="e">
        <f t="shared" si="460"/>
        <v>#N/A</v>
      </c>
      <c r="U73" s="309" t="e">
        <f t="shared" si="461"/>
        <v>#N/A</v>
      </c>
      <c r="V73" s="235" t="e">
        <f t="shared" si="462"/>
        <v>#N/A</v>
      </c>
      <c r="W73" s="235" t="e">
        <f t="shared" si="463"/>
        <v>#N/A</v>
      </c>
      <c r="X73" s="309" t="e">
        <f t="shared" si="464"/>
        <v>#N/A</v>
      </c>
      <c r="Y73" s="235" t="e">
        <f t="shared" si="465"/>
        <v>#N/A</v>
      </c>
      <c r="Z73" s="235" t="e">
        <f t="shared" si="466"/>
        <v>#N/A</v>
      </c>
      <c r="AA73" s="235" t="e">
        <f t="shared" si="467"/>
        <v>#N/A</v>
      </c>
      <c r="AB73" s="235" t="e">
        <f t="shared" si="468"/>
        <v>#N/A</v>
      </c>
      <c r="AC73" s="235" t="e">
        <f t="shared" si="469"/>
        <v>#N/A</v>
      </c>
      <c r="AD73" s="235" t="e">
        <f t="shared" si="470"/>
        <v>#N/A</v>
      </c>
      <c r="AE73" s="235" t="e">
        <f t="shared" si="471"/>
        <v>#N/A</v>
      </c>
      <c r="AF73" s="101" t="e">
        <f t="shared" si="432"/>
        <v>#N/A</v>
      </c>
      <c r="AG73" s="101" t="e">
        <f t="shared" si="433"/>
        <v>#N/A</v>
      </c>
      <c r="AH73" s="101" t="e">
        <f t="shared" si="434"/>
        <v>#N/A</v>
      </c>
      <c r="AI73" s="101" t="e">
        <f t="shared" si="435"/>
        <v>#N/A</v>
      </c>
      <c r="AJ73" s="101" t="e">
        <f t="shared" si="436"/>
        <v>#N/A</v>
      </c>
      <c r="AK73" s="101" t="e">
        <f t="shared" si="472"/>
        <v>#N/A</v>
      </c>
      <c r="AL73" s="235" t="e">
        <f t="shared" si="473"/>
        <v>#N/A</v>
      </c>
      <c r="AM73" s="235" t="e">
        <f t="shared" si="437"/>
        <v>#N/A</v>
      </c>
      <c r="AN73" s="235" t="e">
        <f t="shared" si="438"/>
        <v>#N/A</v>
      </c>
      <c r="AO73" s="235" t="e">
        <f t="shared" si="439"/>
        <v>#N/A</v>
      </c>
      <c r="AP73" s="235" t="e">
        <f t="shared" si="440"/>
        <v>#N/A</v>
      </c>
      <c r="AQ73" s="235" t="e">
        <f t="shared" si="441"/>
        <v>#N/A</v>
      </c>
      <c r="AR73" s="101" t="e">
        <f t="shared" si="474"/>
        <v>#N/A</v>
      </c>
      <c r="AS73" s="235" t="e">
        <f t="shared" si="475"/>
        <v>#N/A</v>
      </c>
      <c r="AT73" s="235" t="e">
        <f t="shared" si="442"/>
        <v>#N/A</v>
      </c>
      <c r="AV73" s="10">
        <v>67</v>
      </c>
      <c r="AW73" s="10">
        <f t="shared" si="476"/>
        <v>112</v>
      </c>
      <c r="AX73" s="309" t="e">
        <f t="shared" si="477"/>
        <v>#N/A</v>
      </c>
      <c r="AY73" s="309" t="e">
        <f t="shared" si="478"/>
        <v>#N/A</v>
      </c>
      <c r="AZ73" s="309" t="e">
        <f t="shared" si="479"/>
        <v>#N/A</v>
      </c>
      <c r="BA73" s="235" t="e">
        <f t="shared" si="480"/>
        <v>#N/A</v>
      </c>
      <c r="BB73" s="235" t="e">
        <f t="shared" si="481"/>
        <v>#N/A</v>
      </c>
      <c r="BC73" s="309" t="e">
        <f t="shared" si="482"/>
        <v>#N/A</v>
      </c>
      <c r="BD73" s="235" t="e">
        <f t="shared" si="483"/>
        <v>#N/A</v>
      </c>
      <c r="BE73" s="235" t="e">
        <f t="shared" si="484"/>
        <v>#N/A</v>
      </c>
      <c r="BF73" s="235" t="e">
        <f t="shared" si="485"/>
        <v>#N/A</v>
      </c>
      <c r="BG73" s="235" t="e">
        <f t="shared" si="486"/>
        <v>#N/A</v>
      </c>
      <c r="BH73" s="235" t="e">
        <f t="shared" si="487"/>
        <v>#N/A</v>
      </c>
      <c r="BI73" s="235" t="e">
        <f t="shared" si="488"/>
        <v>#N/A</v>
      </c>
      <c r="BJ73" s="235" t="e">
        <f t="shared" si="489"/>
        <v>#N/A</v>
      </c>
      <c r="BK73" s="101" t="e">
        <f t="shared" si="443"/>
        <v>#N/A</v>
      </c>
      <c r="BL73" s="101" t="e">
        <f t="shared" si="444"/>
        <v>#N/A</v>
      </c>
      <c r="BM73" s="101" t="e">
        <f t="shared" si="445"/>
        <v>#N/A</v>
      </c>
      <c r="BN73" s="101" t="e">
        <f t="shared" si="446"/>
        <v>#N/A</v>
      </c>
      <c r="BO73" s="101" t="e">
        <f t="shared" si="447"/>
        <v>#N/A</v>
      </c>
      <c r="BP73" s="101" t="e">
        <f t="shared" si="490"/>
        <v>#N/A</v>
      </c>
      <c r="BQ73" s="235" t="e">
        <f t="shared" si="448"/>
        <v>#N/A</v>
      </c>
      <c r="BR73" s="235" t="e">
        <f t="shared" si="449"/>
        <v>#N/A</v>
      </c>
      <c r="BS73" s="235" t="e">
        <f t="shared" si="450"/>
        <v>#N/A</v>
      </c>
      <c r="BT73" s="235" t="e">
        <f t="shared" si="451"/>
        <v>#N/A</v>
      </c>
      <c r="BU73" s="235" t="e">
        <f t="shared" si="452"/>
        <v>#N/A</v>
      </c>
      <c r="BV73" s="235" t="e">
        <f t="shared" si="453"/>
        <v>#N/A</v>
      </c>
      <c r="BW73" s="101" t="e">
        <f t="shared" si="491"/>
        <v>#N/A</v>
      </c>
      <c r="BX73" s="235" t="e">
        <f t="shared" si="492"/>
        <v>#N/A</v>
      </c>
      <c r="BY73" s="235" t="e">
        <f t="shared" si="454"/>
        <v>#N/A</v>
      </c>
      <c r="CA73" s="23"/>
      <c r="CJ73" s="10">
        <v>65</v>
      </c>
      <c r="CK73" s="450">
        <v>0.42337693189531589</v>
      </c>
      <c r="CL73" s="450">
        <v>7.2063529161904852E-2</v>
      </c>
      <c r="CM73" s="450">
        <v>0.42337693189531589</v>
      </c>
      <c r="CN73" s="450">
        <v>7.2063529161904852E-2</v>
      </c>
      <c r="CO73" s="451">
        <v>0.12786050272447247</v>
      </c>
      <c r="CP73" s="451">
        <v>0.12825367251708311</v>
      </c>
      <c r="CQ73" s="451">
        <v>0.11123677726024403</v>
      </c>
      <c r="CR73" s="451">
        <v>0.11214006885640546</v>
      </c>
      <c r="CS73" s="451">
        <v>9.7297453468860073</v>
      </c>
      <c r="CT73" s="451">
        <v>9.7482339985460946</v>
      </c>
      <c r="CU73" s="234">
        <v>-1.8488651660087285E-2</v>
      </c>
      <c r="CX73" s="377">
        <v>65</v>
      </c>
      <c r="CY73" s="335">
        <f t="shared" si="496"/>
        <v>9.724E-3</v>
      </c>
      <c r="CZ73" s="338">
        <v>9.724E-3</v>
      </c>
      <c r="DA73" s="345">
        <f t="shared" si="497"/>
        <v>4.2819304864982421E-2</v>
      </c>
      <c r="DB73" s="387">
        <f t="shared" si="498"/>
        <v>0.19397802041764189</v>
      </c>
      <c r="DC73" s="114">
        <f t="shared" ref="DC73:DC108" si="522">VLOOKUP($CX73,$EO$64:$EW$74,9,TRUE)</f>
        <v>2.4690087971667385E-2</v>
      </c>
      <c r="DD73" s="378">
        <f t="shared" ref="DD73:DD108" si="523">VLOOKUP($CX73,$EO$78:$EW$88,9,TRUE)</f>
        <v>3.0136559126355711E-2</v>
      </c>
      <c r="DE73" s="378">
        <f t="shared" si="499"/>
        <v>2.6317472565622134E-2</v>
      </c>
      <c r="DF73" s="340">
        <f t="shared" ref="DF73:DF108" si="524">VLOOKUP($CX73,$EO$92:$EW$102,9,TRUE)</f>
        <v>1.3705216505019768E-2</v>
      </c>
      <c r="DG73" s="378">
        <f t="shared" ref="DG73:DG108" si="525">VLOOKUP($CX73,$EO$106:$EW$116,9,TRUE)</f>
        <v>6.9755570667648925E-3</v>
      </c>
      <c r="DH73" s="378">
        <f t="shared" si="500"/>
        <v>1.1694420196486876E-2</v>
      </c>
      <c r="DI73" s="340">
        <f>DI72+(DI78-DI68)/10</f>
        <v>0.6100000000000001</v>
      </c>
      <c r="DJ73" s="349">
        <f t="shared" ref="DJ73" si="526">DJ72+(DJ78-DJ68)/10</f>
        <v>0.57000000000000006</v>
      </c>
      <c r="DK73" s="350">
        <f t="shared" si="502"/>
        <v>0.59804815413331336</v>
      </c>
      <c r="DL73" s="345">
        <f t="shared" ref="DL73" si="527">DL72+(DL78-DL68)/10</f>
        <v>0.30500000000000005</v>
      </c>
      <c r="DM73" s="349">
        <f t="shared" ref="DM73" si="528">DM72+(DM78-DM68)/10</f>
        <v>0.10999999999999997</v>
      </c>
      <c r="DN73" s="396">
        <f t="shared" si="505"/>
        <v>0.24673475139990234</v>
      </c>
      <c r="DO73" s="335">
        <f t="shared" si="103"/>
        <v>0</v>
      </c>
      <c r="DP73" s="350">
        <f t="shared" si="104"/>
        <v>0</v>
      </c>
      <c r="DQ73" s="349">
        <f t="shared" si="506"/>
        <v>0</v>
      </c>
      <c r="DR73" s="335">
        <f t="shared" si="105"/>
        <v>2.5999999999998247E-3</v>
      </c>
      <c r="DS73" s="350">
        <f t="shared" si="106"/>
        <v>1.7999999999999128E-3</v>
      </c>
      <c r="DT73" s="349">
        <f t="shared" si="507"/>
        <v>2.3609630826661168E-3</v>
      </c>
      <c r="DU73" s="335">
        <f>VLOOKUP($CX73,$EY$8:$FF$28,8,FALSE)</f>
        <v>0.46399999999999997</v>
      </c>
      <c r="DV73" s="350">
        <f>VLOOKUP($CX73,$EY$32:$FF$52,8,FALSE)</f>
        <v>0.46500000000000008</v>
      </c>
      <c r="DW73" s="350">
        <f t="shared" si="508"/>
        <v>0.46429879614666725</v>
      </c>
      <c r="DX73" s="335">
        <f>VLOOKUP($CX73,$EY$56:$FF$76,8,FALSE)</f>
        <v>0.9850000000000001</v>
      </c>
      <c r="DY73" s="350">
        <f>VLOOKUP($CX73,$EY$80:$FF$100,8,FALSE)</f>
        <v>0.93400000000000005</v>
      </c>
      <c r="DZ73" s="396">
        <f t="shared" si="509"/>
        <v>0.96976139651997462</v>
      </c>
      <c r="EA73" s="350">
        <f t="shared" si="510"/>
        <v>0</v>
      </c>
      <c r="EB73" s="350">
        <f t="shared" si="511"/>
        <v>0</v>
      </c>
      <c r="EC73" s="349">
        <f t="shared" si="512"/>
        <v>0</v>
      </c>
      <c r="ED73" s="335">
        <f t="shared" si="513"/>
        <v>1.56266173581594E-2</v>
      </c>
      <c r="EE73" s="350">
        <f t="shared" si="514"/>
        <v>1.0955546062492716E-2</v>
      </c>
      <c r="EF73" s="387">
        <f t="shared" si="515"/>
        <v>1.4230919254206581E-2</v>
      </c>
      <c r="EG73" s="335">
        <f t="shared" si="516"/>
        <v>1.3705216505019768E-2</v>
      </c>
      <c r="EH73" s="350">
        <f t="shared" si="517"/>
        <v>6.9755570667648925E-3</v>
      </c>
      <c r="EI73" s="387">
        <f t="shared" si="518"/>
        <v>1.1694420196486876E-2</v>
      </c>
      <c r="EJ73" s="335">
        <f t="shared" si="519"/>
        <v>4.2688623928717195E-3</v>
      </c>
      <c r="EK73" s="350">
        <f t="shared" si="520"/>
        <v>0</v>
      </c>
      <c r="EL73" s="387">
        <f t="shared" si="521"/>
        <v>2.9933427592292649E-3</v>
      </c>
      <c r="EO73" s="454">
        <v>81</v>
      </c>
      <c r="EP73" s="452"/>
      <c r="EQ73" s="458">
        <f>EQ72/2</f>
        <v>8.25</v>
      </c>
      <c r="ER73" s="458">
        <f t="shared" ref="ER73:ES73" si="529">ER72/2</f>
        <v>3.1</v>
      </c>
      <c r="ES73" s="458">
        <f t="shared" si="529"/>
        <v>21.95</v>
      </c>
      <c r="ET73" s="347">
        <f t="shared" si="409"/>
        <v>0.49933698870732468</v>
      </c>
      <c r="EU73" s="458">
        <f t="shared" ca="1" si="402"/>
        <v>5.1149897861070439</v>
      </c>
      <c r="EV73" s="458">
        <f t="shared" si="403"/>
        <v>8.25</v>
      </c>
      <c r="EW73" s="396">
        <f t="shared" si="410"/>
        <v>8.2160621432345593E-3</v>
      </c>
      <c r="EY73" s="363">
        <v>85</v>
      </c>
      <c r="EZ73" s="346">
        <f t="shared" si="458"/>
        <v>5.5714285714285692E-3</v>
      </c>
      <c r="FA73" s="347">
        <f t="shared" si="357"/>
        <v>4.4571428571428557E-3</v>
      </c>
      <c r="FB73" s="347">
        <f t="shared" si="358"/>
        <v>6.6857142857142827E-3</v>
      </c>
      <c r="FC73" s="33">
        <f t="shared" si="359"/>
        <v>95.495838753042179</v>
      </c>
      <c r="FD73" s="33">
        <f t="shared" si="360"/>
        <v>17044.782911792998</v>
      </c>
      <c r="FE73" s="308">
        <f t="shared" ca="1" si="364"/>
        <v>5.1590838314032987E-3</v>
      </c>
      <c r="FF73" s="364">
        <f t="shared" si="365"/>
        <v>1</v>
      </c>
      <c r="FG73" s="234"/>
    </row>
    <row r="74" spans="2:163" ht="15" customHeight="1" x14ac:dyDescent="0.2">
      <c r="B74" s="15" t="s">
        <v>211</v>
      </c>
      <c r="C74" s="101">
        <f t="shared" ref="C74:C75" si="530">IF(psa,J74,IF(owsa_low=L74,F74,IF(owsa_high=L74,G74,IF(ISNUMBER(D74),D74,E74))))</f>
        <v>7452.8636740000002</v>
      </c>
      <c r="D74" s="255"/>
      <c r="E74" s="101">
        <v>7452.8636740000002</v>
      </c>
      <c r="F74" s="101">
        <f>IF(ISNUMBER(D74),D74,E74)*(1-owsa)</f>
        <v>5962.2909392000001</v>
      </c>
      <c r="G74" s="101">
        <f>IF(ISNUMBER(D74),D74,E74)*(1+owsa)</f>
        <v>8943.4364088000002</v>
      </c>
      <c r="H74" s="101">
        <f>(G74-F74)/(2*z)</f>
        <v>760.51026781994369</v>
      </c>
      <c r="I74" s="118"/>
      <c r="J74" s="101">
        <f ca="1">_xlfn.NORM.INV(RAND(),IF(ISNUMBER(D74),D74,E74),H74)</f>
        <v>7867.4349260978597</v>
      </c>
      <c r="K74" s="10" t="s">
        <v>43</v>
      </c>
      <c r="L74" s="10">
        <v>22</v>
      </c>
      <c r="M74" s="393" t="s">
        <v>346</v>
      </c>
      <c r="N74" s="393" t="s">
        <v>300</v>
      </c>
      <c r="Q74" s="10">
        <v>68</v>
      </c>
      <c r="R74" s="10">
        <f t="shared" si="431"/>
        <v>113</v>
      </c>
      <c r="S74" s="309" t="e">
        <f t="shared" si="459"/>
        <v>#N/A</v>
      </c>
      <c r="T74" s="309" t="e">
        <f t="shared" si="460"/>
        <v>#N/A</v>
      </c>
      <c r="U74" s="309" t="e">
        <f t="shared" si="461"/>
        <v>#N/A</v>
      </c>
      <c r="V74" s="235" t="e">
        <f t="shared" si="462"/>
        <v>#N/A</v>
      </c>
      <c r="W74" s="235" t="e">
        <f t="shared" si="463"/>
        <v>#N/A</v>
      </c>
      <c r="X74" s="309" t="e">
        <f t="shared" si="464"/>
        <v>#N/A</v>
      </c>
      <c r="Y74" s="235" t="e">
        <f t="shared" si="465"/>
        <v>#N/A</v>
      </c>
      <c r="Z74" s="235" t="e">
        <f t="shared" si="466"/>
        <v>#N/A</v>
      </c>
      <c r="AA74" s="235" t="e">
        <f t="shared" si="467"/>
        <v>#N/A</v>
      </c>
      <c r="AB74" s="235" t="e">
        <f t="shared" si="468"/>
        <v>#N/A</v>
      </c>
      <c r="AC74" s="235" t="e">
        <f t="shared" si="469"/>
        <v>#N/A</v>
      </c>
      <c r="AD74" s="235" t="e">
        <f t="shared" si="470"/>
        <v>#N/A</v>
      </c>
      <c r="AE74" s="235" t="e">
        <f t="shared" si="471"/>
        <v>#N/A</v>
      </c>
      <c r="AF74" s="101" t="e">
        <f t="shared" si="432"/>
        <v>#N/A</v>
      </c>
      <c r="AG74" s="101" t="e">
        <f t="shared" si="433"/>
        <v>#N/A</v>
      </c>
      <c r="AH74" s="101" t="e">
        <f t="shared" si="434"/>
        <v>#N/A</v>
      </c>
      <c r="AI74" s="101" t="e">
        <f t="shared" si="435"/>
        <v>#N/A</v>
      </c>
      <c r="AJ74" s="101" t="e">
        <f t="shared" si="436"/>
        <v>#N/A</v>
      </c>
      <c r="AK74" s="101" t="e">
        <f t="shared" si="472"/>
        <v>#N/A</v>
      </c>
      <c r="AL74" s="235" t="e">
        <f t="shared" si="473"/>
        <v>#N/A</v>
      </c>
      <c r="AM74" s="235" t="e">
        <f t="shared" si="437"/>
        <v>#N/A</v>
      </c>
      <c r="AN74" s="235" t="e">
        <f t="shared" si="438"/>
        <v>#N/A</v>
      </c>
      <c r="AO74" s="235" t="e">
        <f t="shared" si="439"/>
        <v>#N/A</v>
      </c>
      <c r="AP74" s="235" t="e">
        <f t="shared" si="440"/>
        <v>#N/A</v>
      </c>
      <c r="AQ74" s="235" t="e">
        <f t="shared" si="441"/>
        <v>#N/A</v>
      </c>
      <c r="AR74" s="101" t="e">
        <f t="shared" si="474"/>
        <v>#N/A</v>
      </c>
      <c r="AS74" s="235" t="e">
        <f t="shared" si="475"/>
        <v>#N/A</v>
      </c>
      <c r="AT74" s="235" t="e">
        <f t="shared" si="442"/>
        <v>#N/A</v>
      </c>
      <c r="AV74" s="10">
        <v>68</v>
      </c>
      <c r="AW74" s="10">
        <f t="shared" si="476"/>
        <v>113</v>
      </c>
      <c r="AX74" s="309" t="e">
        <f t="shared" si="477"/>
        <v>#N/A</v>
      </c>
      <c r="AY74" s="309" t="e">
        <f t="shared" si="478"/>
        <v>#N/A</v>
      </c>
      <c r="AZ74" s="309" t="e">
        <f t="shared" si="479"/>
        <v>#N/A</v>
      </c>
      <c r="BA74" s="235" t="e">
        <f t="shared" si="480"/>
        <v>#N/A</v>
      </c>
      <c r="BB74" s="235" t="e">
        <f t="shared" si="481"/>
        <v>#N/A</v>
      </c>
      <c r="BC74" s="309" t="e">
        <f t="shared" si="482"/>
        <v>#N/A</v>
      </c>
      <c r="BD74" s="235" t="e">
        <f t="shared" si="483"/>
        <v>#N/A</v>
      </c>
      <c r="BE74" s="235" t="e">
        <f t="shared" si="484"/>
        <v>#N/A</v>
      </c>
      <c r="BF74" s="235" t="e">
        <f t="shared" si="485"/>
        <v>#N/A</v>
      </c>
      <c r="BG74" s="235" t="e">
        <f t="shared" si="486"/>
        <v>#N/A</v>
      </c>
      <c r="BH74" s="235" t="e">
        <f t="shared" si="487"/>
        <v>#N/A</v>
      </c>
      <c r="BI74" s="235" t="e">
        <f t="shared" si="488"/>
        <v>#N/A</v>
      </c>
      <c r="BJ74" s="235" t="e">
        <f t="shared" si="489"/>
        <v>#N/A</v>
      </c>
      <c r="BK74" s="101" t="e">
        <f t="shared" si="443"/>
        <v>#N/A</v>
      </c>
      <c r="BL74" s="101" t="e">
        <f t="shared" si="444"/>
        <v>#N/A</v>
      </c>
      <c r="BM74" s="101" t="e">
        <f t="shared" si="445"/>
        <v>#N/A</v>
      </c>
      <c r="BN74" s="101" t="e">
        <f t="shared" si="446"/>
        <v>#N/A</v>
      </c>
      <c r="BO74" s="101" t="e">
        <f t="shared" si="447"/>
        <v>#N/A</v>
      </c>
      <c r="BP74" s="101" t="e">
        <f t="shared" si="490"/>
        <v>#N/A</v>
      </c>
      <c r="BQ74" s="235" t="e">
        <f t="shared" si="448"/>
        <v>#N/A</v>
      </c>
      <c r="BR74" s="235" t="e">
        <f t="shared" si="449"/>
        <v>#N/A</v>
      </c>
      <c r="BS74" s="235" t="e">
        <f t="shared" si="450"/>
        <v>#N/A</v>
      </c>
      <c r="BT74" s="235" t="e">
        <f t="shared" si="451"/>
        <v>#N/A</v>
      </c>
      <c r="BU74" s="235" t="e">
        <f t="shared" si="452"/>
        <v>#N/A</v>
      </c>
      <c r="BV74" s="235" t="e">
        <f t="shared" si="453"/>
        <v>#N/A</v>
      </c>
      <c r="BW74" s="101" t="e">
        <f t="shared" si="491"/>
        <v>#N/A</v>
      </c>
      <c r="BX74" s="235" t="e">
        <f t="shared" si="492"/>
        <v>#N/A</v>
      </c>
      <c r="BY74" s="235" t="e">
        <f t="shared" si="454"/>
        <v>#N/A</v>
      </c>
      <c r="CA74" s="23"/>
      <c r="CJ74" s="10">
        <v>66</v>
      </c>
      <c r="CK74" s="450">
        <v>0.42350026065401292</v>
      </c>
      <c r="CL74" s="450">
        <v>7.9900100307262995E-2</v>
      </c>
      <c r="CM74" s="450">
        <v>0.42350026065401292</v>
      </c>
      <c r="CN74" s="450">
        <v>7.9900100307262995E-2</v>
      </c>
      <c r="CO74" s="451">
        <v>0.11883327529378403</v>
      </c>
      <c r="CP74" s="451">
        <v>0.11915669760714313</v>
      </c>
      <c r="CQ74" s="451">
        <v>0.10917027435128988</v>
      </c>
      <c r="CR74" s="451">
        <v>0.10994677372554237</v>
      </c>
      <c r="CS74" s="451">
        <v>9.4058186190374204</v>
      </c>
      <c r="CT74" s="451">
        <v>9.424798189355851</v>
      </c>
      <c r="CU74" s="234">
        <v>-1.8979570318430561E-2</v>
      </c>
      <c r="CX74" s="377">
        <v>66</v>
      </c>
      <c r="CY74" s="335">
        <f t="shared" si="496"/>
        <v>1.0529E-2</v>
      </c>
      <c r="CZ74" s="338">
        <v>1.0529E-2</v>
      </c>
      <c r="DA74" s="345">
        <f t="shared" si="497"/>
        <v>4.2819304864982421E-2</v>
      </c>
      <c r="DB74" s="387">
        <f t="shared" si="498"/>
        <v>0.19397802041764189</v>
      </c>
      <c r="DC74" s="114">
        <f t="shared" si="522"/>
        <v>2.4690087971667385E-2</v>
      </c>
      <c r="DD74" s="378">
        <f t="shared" si="523"/>
        <v>3.0136559126355711E-2</v>
      </c>
      <c r="DE74" s="378">
        <f t="shared" si="499"/>
        <v>2.6317472565622134E-2</v>
      </c>
      <c r="DF74" s="340">
        <f t="shared" si="524"/>
        <v>1.3705216505019768E-2</v>
      </c>
      <c r="DG74" s="378">
        <f t="shared" si="525"/>
        <v>6.9755570667648925E-3</v>
      </c>
      <c r="DH74" s="378">
        <f t="shared" si="500"/>
        <v>1.1694420196486876E-2</v>
      </c>
      <c r="DI74" s="340">
        <f>DI73+(DI78-DI68)/10</f>
        <v>0.62000000000000011</v>
      </c>
      <c r="DJ74" s="349">
        <f t="shared" ref="DJ74" si="531">DJ73+(DJ78-DJ68)/10</f>
        <v>0.57800000000000007</v>
      </c>
      <c r="DK74" s="350">
        <f t="shared" si="502"/>
        <v>0.60745056183997903</v>
      </c>
      <c r="DL74" s="345">
        <f t="shared" ref="DL74" si="532">DL73+(DL78-DL68)/10</f>
        <v>0.32600000000000007</v>
      </c>
      <c r="DM74" s="349">
        <f t="shared" ref="DM74" si="533">DM73+(DM78-DM68)/10</f>
        <v>0.11799999999999997</v>
      </c>
      <c r="DN74" s="396">
        <f t="shared" si="505"/>
        <v>0.26385040149322914</v>
      </c>
      <c r="DO74" s="335">
        <f t="shared" ref="DO74:DO108" si="534">IF($DQ$6,DU74-DU73,0)</f>
        <v>0</v>
      </c>
      <c r="DP74" s="350">
        <f t="shared" ref="DP74:DP108" si="535">IF($DQ$6,DV74-DV73,0)</f>
        <v>0</v>
      </c>
      <c r="DQ74" s="349">
        <f t="shared" si="506"/>
        <v>0</v>
      </c>
      <c r="DR74" s="335">
        <f t="shared" ref="DR74:DR108" si="536">IF($DT$6,DX74-DX73,0)</f>
        <v>2.2285714285714686E-3</v>
      </c>
      <c r="DS74" s="350">
        <f t="shared" ref="DS74:DS108" si="537">IF($DT$6,DY74-DY73,0)</f>
        <v>1.5428571428571791E-3</v>
      </c>
      <c r="DT74" s="349">
        <f t="shared" si="507"/>
        <v>2.0236826422854095E-3</v>
      </c>
      <c r="DU74" s="335">
        <f>DU73+(DU78-DU73)/5</f>
        <v>0.46399999999999997</v>
      </c>
      <c r="DV74" s="350">
        <f>DV73+(DV78-DV73)/5</f>
        <v>0.46500000000000008</v>
      </c>
      <c r="DW74" s="350">
        <f t="shared" si="508"/>
        <v>0.46429879614666725</v>
      </c>
      <c r="DX74" s="335">
        <f>DX73+(DX78-DX73)/5</f>
        <v>0.98722857142857157</v>
      </c>
      <c r="DY74" s="350">
        <f>DY73+(DY78-DY73)/5</f>
        <v>0.93554285714285723</v>
      </c>
      <c r="DZ74" s="396">
        <f t="shared" si="509"/>
        <v>0.97178507916225998</v>
      </c>
      <c r="EA74" s="350">
        <f t="shared" si="510"/>
        <v>0</v>
      </c>
      <c r="EB74" s="350">
        <f t="shared" si="511"/>
        <v>0</v>
      </c>
      <c r="EC74" s="349">
        <f t="shared" si="512"/>
        <v>0</v>
      </c>
      <c r="ED74" s="335">
        <f t="shared" si="513"/>
        <v>1.56266173581594E-2</v>
      </c>
      <c r="EE74" s="350">
        <f t="shared" si="514"/>
        <v>1.0955546062492716E-2</v>
      </c>
      <c r="EF74" s="387">
        <f t="shared" si="515"/>
        <v>1.4230919254206581E-2</v>
      </c>
      <c r="EG74" s="335">
        <f t="shared" si="516"/>
        <v>1.3705216505019768E-2</v>
      </c>
      <c r="EH74" s="350">
        <f t="shared" si="517"/>
        <v>6.9755570667648925E-3</v>
      </c>
      <c r="EI74" s="387">
        <f t="shared" si="518"/>
        <v>1.1694420196486876E-2</v>
      </c>
      <c r="EJ74" s="335">
        <f t="shared" si="519"/>
        <v>4.2688623928717195E-3</v>
      </c>
      <c r="EK74" s="350">
        <f t="shared" si="520"/>
        <v>0</v>
      </c>
      <c r="EL74" s="387">
        <f t="shared" si="521"/>
        <v>2.9933427592292649E-3</v>
      </c>
      <c r="EO74" s="454">
        <v>100</v>
      </c>
      <c r="EP74" s="452"/>
      <c r="EQ74" s="458">
        <v>0</v>
      </c>
      <c r="ER74" s="458">
        <v>0</v>
      </c>
      <c r="ES74" s="458">
        <v>0</v>
      </c>
      <c r="ET74" s="347" t="e">
        <f t="shared" si="409"/>
        <v>#NUM!</v>
      </c>
      <c r="EU74" s="458">
        <f t="shared" ca="1" si="402"/>
        <v>0</v>
      </c>
      <c r="EV74" s="458">
        <f t="shared" si="403"/>
        <v>0</v>
      </c>
      <c r="EW74" s="396">
        <f t="shared" si="410"/>
        <v>0</v>
      </c>
      <c r="EY74" s="363">
        <v>90</v>
      </c>
      <c r="EZ74" s="346">
        <f t="shared" si="458"/>
        <v>3.7142857142857121E-3</v>
      </c>
      <c r="FA74" s="347">
        <f t="shared" si="357"/>
        <v>2.9714285714285697E-3</v>
      </c>
      <c r="FB74" s="347">
        <f t="shared" si="358"/>
        <v>4.457142857142854E-3</v>
      </c>
      <c r="FC74" s="33">
        <f t="shared" si="359"/>
        <v>95.676049341145855</v>
      </c>
      <c r="FD74" s="33">
        <f t="shared" si="360"/>
        <v>25663.260311736602</v>
      </c>
      <c r="FE74" s="308">
        <f t="shared" ca="1" si="364"/>
        <v>3.3359148830132078E-3</v>
      </c>
      <c r="FF74" s="364">
        <f t="shared" si="365"/>
        <v>1</v>
      </c>
      <c r="FG74" s="234"/>
    </row>
    <row r="75" spans="2:163" ht="15" customHeight="1" x14ac:dyDescent="0.2">
      <c r="B75" s="15" t="s">
        <v>212</v>
      </c>
      <c r="C75" s="101">
        <f t="shared" si="530"/>
        <v>5909.6022560000001</v>
      </c>
      <c r="D75" s="255"/>
      <c r="E75" s="101">
        <v>5909.6022560000001</v>
      </c>
      <c r="F75" s="101">
        <f>IF(ISNUMBER(D75),D75,E75)*(1-owsa)</f>
        <v>4727.6818048000005</v>
      </c>
      <c r="G75" s="101">
        <f>IF(ISNUMBER(D75),D75,E75)*(1+owsa)</f>
        <v>7091.5227071999998</v>
      </c>
      <c r="H75" s="101">
        <f>(G75-F75)/(2*z)</f>
        <v>603.03171921669878</v>
      </c>
      <c r="I75" s="118"/>
      <c r="J75" s="101">
        <f ca="1">_xlfn.NORM.INV(RAND(),IF(ISNUMBER(D75),D75,E75),H75)</f>
        <v>6730.4412626465173</v>
      </c>
      <c r="K75" s="10" t="s">
        <v>43</v>
      </c>
      <c r="L75" s="10">
        <v>23</v>
      </c>
      <c r="M75" s="393" t="s">
        <v>347</v>
      </c>
      <c r="N75" s="393" t="s">
        <v>301</v>
      </c>
      <c r="Q75" s="10">
        <v>69</v>
      </c>
      <c r="R75" s="10">
        <f t="shared" si="431"/>
        <v>114</v>
      </c>
      <c r="S75" s="309" t="e">
        <f t="shared" si="459"/>
        <v>#N/A</v>
      </c>
      <c r="T75" s="309" t="e">
        <f t="shared" si="460"/>
        <v>#N/A</v>
      </c>
      <c r="U75" s="309" t="e">
        <f t="shared" si="461"/>
        <v>#N/A</v>
      </c>
      <c r="V75" s="235" t="e">
        <f t="shared" si="462"/>
        <v>#N/A</v>
      </c>
      <c r="W75" s="235" t="e">
        <f t="shared" si="463"/>
        <v>#N/A</v>
      </c>
      <c r="X75" s="309" t="e">
        <f t="shared" si="464"/>
        <v>#N/A</v>
      </c>
      <c r="Y75" s="235" t="e">
        <f t="shared" si="465"/>
        <v>#N/A</v>
      </c>
      <c r="Z75" s="235" t="e">
        <f t="shared" si="466"/>
        <v>#N/A</v>
      </c>
      <c r="AA75" s="235" t="e">
        <f t="shared" si="467"/>
        <v>#N/A</v>
      </c>
      <c r="AB75" s="235" t="e">
        <f t="shared" si="468"/>
        <v>#N/A</v>
      </c>
      <c r="AC75" s="235" t="e">
        <f t="shared" si="469"/>
        <v>#N/A</v>
      </c>
      <c r="AD75" s="235" t="e">
        <f t="shared" si="470"/>
        <v>#N/A</v>
      </c>
      <c r="AE75" s="235" t="e">
        <f t="shared" si="471"/>
        <v>#N/A</v>
      </c>
      <c r="AF75" s="101" t="e">
        <f t="shared" si="432"/>
        <v>#N/A</v>
      </c>
      <c r="AG75" s="101" t="e">
        <f t="shared" si="433"/>
        <v>#N/A</v>
      </c>
      <c r="AH75" s="101" t="e">
        <f t="shared" si="434"/>
        <v>#N/A</v>
      </c>
      <c r="AI75" s="101" t="e">
        <f t="shared" si="435"/>
        <v>#N/A</v>
      </c>
      <c r="AJ75" s="101" t="e">
        <f t="shared" si="436"/>
        <v>#N/A</v>
      </c>
      <c r="AK75" s="101" t="e">
        <f t="shared" si="472"/>
        <v>#N/A</v>
      </c>
      <c r="AL75" s="235" t="e">
        <f t="shared" si="473"/>
        <v>#N/A</v>
      </c>
      <c r="AM75" s="235" t="e">
        <f t="shared" si="437"/>
        <v>#N/A</v>
      </c>
      <c r="AN75" s="235" t="e">
        <f t="shared" si="438"/>
        <v>#N/A</v>
      </c>
      <c r="AO75" s="235" t="e">
        <f t="shared" si="439"/>
        <v>#N/A</v>
      </c>
      <c r="AP75" s="235" t="e">
        <f t="shared" si="440"/>
        <v>#N/A</v>
      </c>
      <c r="AQ75" s="235" t="e">
        <f t="shared" si="441"/>
        <v>#N/A</v>
      </c>
      <c r="AR75" s="101" t="e">
        <f t="shared" si="474"/>
        <v>#N/A</v>
      </c>
      <c r="AS75" s="235" t="e">
        <f t="shared" si="475"/>
        <v>#N/A</v>
      </c>
      <c r="AT75" s="235" t="e">
        <f t="shared" si="442"/>
        <v>#N/A</v>
      </c>
      <c r="AV75" s="10">
        <v>69</v>
      </c>
      <c r="AW75" s="10">
        <f t="shared" si="476"/>
        <v>114</v>
      </c>
      <c r="AX75" s="309" t="e">
        <f t="shared" si="477"/>
        <v>#N/A</v>
      </c>
      <c r="AY75" s="309" t="e">
        <f t="shared" si="478"/>
        <v>#N/A</v>
      </c>
      <c r="AZ75" s="309" t="e">
        <f t="shared" si="479"/>
        <v>#N/A</v>
      </c>
      <c r="BA75" s="235" t="e">
        <f t="shared" si="480"/>
        <v>#N/A</v>
      </c>
      <c r="BB75" s="235" t="e">
        <f t="shared" si="481"/>
        <v>#N/A</v>
      </c>
      <c r="BC75" s="309" t="e">
        <f t="shared" si="482"/>
        <v>#N/A</v>
      </c>
      <c r="BD75" s="235" t="e">
        <f t="shared" si="483"/>
        <v>#N/A</v>
      </c>
      <c r="BE75" s="235" t="e">
        <f t="shared" si="484"/>
        <v>#N/A</v>
      </c>
      <c r="BF75" s="235" t="e">
        <f t="shared" si="485"/>
        <v>#N/A</v>
      </c>
      <c r="BG75" s="235" t="e">
        <f t="shared" si="486"/>
        <v>#N/A</v>
      </c>
      <c r="BH75" s="235" t="e">
        <f t="shared" si="487"/>
        <v>#N/A</v>
      </c>
      <c r="BI75" s="235" t="e">
        <f t="shared" si="488"/>
        <v>#N/A</v>
      </c>
      <c r="BJ75" s="235" t="e">
        <f t="shared" si="489"/>
        <v>#N/A</v>
      </c>
      <c r="BK75" s="101" t="e">
        <f t="shared" si="443"/>
        <v>#N/A</v>
      </c>
      <c r="BL75" s="101" t="e">
        <f t="shared" si="444"/>
        <v>#N/A</v>
      </c>
      <c r="BM75" s="101" t="e">
        <f t="shared" si="445"/>
        <v>#N/A</v>
      </c>
      <c r="BN75" s="101" t="e">
        <f t="shared" si="446"/>
        <v>#N/A</v>
      </c>
      <c r="BO75" s="101" t="e">
        <f t="shared" si="447"/>
        <v>#N/A</v>
      </c>
      <c r="BP75" s="101" t="e">
        <f t="shared" si="490"/>
        <v>#N/A</v>
      </c>
      <c r="BQ75" s="235" t="e">
        <f t="shared" si="448"/>
        <v>#N/A</v>
      </c>
      <c r="BR75" s="235" t="e">
        <f t="shared" si="449"/>
        <v>#N/A</v>
      </c>
      <c r="BS75" s="235" t="e">
        <f t="shared" si="450"/>
        <v>#N/A</v>
      </c>
      <c r="BT75" s="235" t="e">
        <f t="shared" si="451"/>
        <v>#N/A</v>
      </c>
      <c r="BU75" s="235" t="e">
        <f t="shared" si="452"/>
        <v>#N/A</v>
      </c>
      <c r="BV75" s="235" t="e">
        <f t="shared" si="453"/>
        <v>#N/A</v>
      </c>
      <c r="BW75" s="101" t="e">
        <f t="shared" si="491"/>
        <v>#N/A</v>
      </c>
      <c r="BX75" s="235" t="e">
        <f t="shared" si="492"/>
        <v>#N/A</v>
      </c>
      <c r="BY75" s="235" t="e">
        <f t="shared" si="454"/>
        <v>#N/A</v>
      </c>
      <c r="CA75" s="23"/>
      <c r="CJ75" s="10">
        <v>67</v>
      </c>
      <c r="CK75" s="450">
        <v>0.42381323750330924</v>
      </c>
      <c r="CL75" s="450">
        <v>8.7926319543220485E-2</v>
      </c>
      <c r="CM75" s="450">
        <v>0.42381323750330924</v>
      </c>
      <c r="CN75" s="450">
        <v>8.7926319543220485E-2</v>
      </c>
      <c r="CO75" s="451">
        <v>0.1096953310760124</v>
      </c>
      <c r="CP75" s="451">
        <v>0.10995162553188229</v>
      </c>
      <c r="CQ75" s="451">
        <v>0.10711898382777027</v>
      </c>
      <c r="CR75" s="451">
        <v>0.10776626784497594</v>
      </c>
      <c r="CS75" s="451">
        <v>9.0714483799016978</v>
      </c>
      <c r="CT75" s="451">
        <v>9.0909227287056726</v>
      </c>
      <c r="CU75" s="234">
        <v>-1.9474348803974806E-2</v>
      </c>
      <c r="CX75" s="377">
        <v>67</v>
      </c>
      <c r="CY75" s="335">
        <f t="shared" si="496"/>
        <v>1.1439E-2</v>
      </c>
      <c r="CZ75" s="338">
        <v>1.1439E-2</v>
      </c>
      <c r="DA75" s="345">
        <f t="shared" si="497"/>
        <v>4.2819304864982421E-2</v>
      </c>
      <c r="DB75" s="387">
        <f t="shared" si="498"/>
        <v>0.19397802041764189</v>
      </c>
      <c r="DC75" s="114">
        <f t="shared" si="522"/>
        <v>2.4690087971667385E-2</v>
      </c>
      <c r="DD75" s="378">
        <f t="shared" si="523"/>
        <v>3.0136559126355711E-2</v>
      </c>
      <c r="DE75" s="378">
        <f t="shared" si="499"/>
        <v>2.6317472565622134E-2</v>
      </c>
      <c r="DF75" s="340">
        <f t="shared" si="524"/>
        <v>1.3705216505019768E-2</v>
      </c>
      <c r="DG75" s="378">
        <f t="shared" si="525"/>
        <v>6.9755570667648925E-3</v>
      </c>
      <c r="DH75" s="378">
        <f t="shared" si="500"/>
        <v>1.1694420196486876E-2</v>
      </c>
      <c r="DI75" s="340">
        <f>DI74+(DI78-DI68)/10</f>
        <v>0.63000000000000012</v>
      </c>
      <c r="DJ75" s="349">
        <f t="shared" ref="DJ75" si="538">DJ74+(DJ78-DJ68)/10</f>
        <v>0.58600000000000008</v>
      </c>
      <c r="DK75" s="350">
        <f t="shared" si="502"/>
        <v>0.6168529695466447</v>
      </c>
      <c r="DL75" s="345">
        <f t="shared" ref="DL75" si="539">DL74+(DL78-DL68)/10</f>
        <v>0.34700000000000009</v>
      </c>
      <c r="DM75" s="349">
        <f t="shared" ref="DM75" si="540">DM74+(DM78-DM68)/10</f>
        <v>0.12599999999999997</v>
      </c>
      <c r="DN75" s="396">
        <f t="shared" si="505"/>
        <v>0.28096605158655602</v>
      </c>
      <c r="DO75" s="335">
        <f t="shared" si="534"/>
        <v>0</v>
      </c>
      <c r="DP75" s="350">
        <f t="shared" si="535"/>
        <v>0</v>
      </c>
      <c r="DQ75" s="349">
        <f t="shared" si="506"/>
        <v>0</v>
      </c>
      <c r="DR75" s="335">
        <f t="shared" si="536"/>
        <v>2.2285714285714686E-3</v>
      </c>
      <c r="DS75" s="350">
        <f t="shared" si="537"/>
        <v>1.5428571428571791E-3</v>
      </c>
      <c r="DT75" s="349">
        <f t="shared" si="507"/>
        <v>2.0236826422854095E-3</v>
      </c>
      <c r="DU75" s="335">
        <f>DU74+(DU78-DU73)/5</f>
        <v>0.46399999999999997</v>
      </c>
      <c r="DV75" s="350">
        <f>DV74+(DV78-DV73)/5</f>
        <v>0.46500000000000008</v>
      </c>
      <c r="DW75" s="350">
        <f t="shared" si="508"/>
        <v>0.46429879614666725</v>
      </c>
      <c r="DX75" s="335">
        <f>DX74+(DX78-DX73)/5</f>
        <v>0.98945714285714303</v>
      </c>
      <c r="DY75" s="350">
        <f>DY74+(DY78-DY73)/5</f>
        <v>0.93708571428571441</v>
      </c>
      <c r="DZ75" s="396">
        <f t="shared" si="509"/>
        <v>0.97380876180454545</v>
      </c>
      <c r="EA75" s="350">
        <f t="shared" si="510"/>
        <v>0</v>
      </c>
      <c r="EB75" s="350">
        <f t="shared" si="511"/>
        <v>0</v>
      </c>
      <c r="EC75" s="349">
        <f t="shared" si="512"/>
        <v>0</v>
      </c>
      <c r="ED75" s="335">
        <f t="shared" si="513"/>
        <v>1.56266173581594E-2</v>
      </c>
      <c r="EE75" s="350">
        <f t="shared" si="514"/>
        <v>1.0955546062492716E-2</v>
      </c>
      <c r="EF75" s="387">
        <f t="shared" si="515"/>
        <v>1.4230919254206581E-2</v>
      </c>
      <c r="EG75" s="335">
        <f t="shared" si="516"/>
        <v>1.3705216505019768E-2</v>
      </c>
      <c r="EH75" s="350">
        <f t="shared" si="517"/>
        <v>6.9755570667648925E-3</v>
      </c>
      <c r="EI75" s="387">
        <f t="shared" si="518"/>
        <v>1.1694420196486876E-2</v>
      </c>
      <c r="EJ75" s="335">
        <f t="shared" si="519"/>
        <v>4.2688623928717195E-3</v>
      </c>
      <c r="EK75" s="350">
        <f t="shared" si="520"/>
        <v>0</v>
      </c>
      <c r="EL75" s="387">
        <f t="shared" si="521"/>
        <v>2.9933427592292649E-3</v>
      </c>
      <c r="EO75" s="267"/>
      <c r="EP75" s="47"/>
      <c r="EQ75" s="47"/>
      <c r="ER75" s="47"/>
      <c r="ES75" s="47"/>
      <c r="ET75" s="47"/>
      <c r="EU75" s="47"/>
      <c r="EV75" s="47"/>
      <c r="EW75" s="352"/>
      <c r="EY75" s="363">
        <v>95</v>
      </c>
      <c r="EZ75" s="346">
        <f t="shared" si="458"/>
        <v>1.857142857142855E-3</v>
      </c>
      <c r="FA75" s="347">
        <f t="shared" si="357"/>
        <v>1.485714285714284E-3</v>
      </c>
      <c r="FB75" s="347">
        <f t="shared" si="358"/>
        <v>2.2285714285714257E-3</v>
      </c>
      <c r="FC75" s="33">
        <f t="shared" si="359"/>
        <v>95.856259929249504</v>
      </c>
      <c r="FD75" s="33">
        <f t="shared" si="360"/>
        <v>51519.052932743616</v>
      </c>
      <c r="FE75" s="308">
        <f t="shared" ca="1" si="364"/>
        <v>1.9119679297052716E-3</v>
      </c>
      <c r="FF75" s="364">
        <f t="shared" si="365"/>
        <v>1</v>
      </c>
      <c r="FG75" s="234"/>
    </row>
    <row r="76" spans="2:163" ht="15" customHeight="1" x14ac:dyDescent="0.2">
      <c r="M76" s="413"/>
      <c r="N76" s="413"/>
      <c r="Q76" s="10">
        <v>70</v>
      </c>
      <c r="R76" s="10">
        <f t="shared" si="431"/>
        <v>115</v>
      </c>
      <c r="S76" s="309" t="e">
        <f t="shared" si="459"/>
        <v>#N/A</v>
      </c>
      <c r="T76" s="309" t="e">
        <f t="shared" si="460"/>
        <v>#N/A</v>
      </c>
      <c r="U76" s="309" t="e">
        <f t="shared" si="461"/>
        <v>#N/A</v>
      </c>
      <c r="V76" s="235" t="e">
        <f t="shared" si="462"/>
        <v>#N/A</v>
      </c>
      <c r="W76" s="235" t="e">
        <f t="shared" si="463"/>
        <v>#N/A</v>
      </c>
      <c r="X76" s="309" t="e">
        <f t="shared" si="464"/>
        <v>#N/A</v>
      </c>
      <c r="Y76" s="235" t="e">
        <f t="shared" si="465"/>
        <v>#N/A</v>
      </c>
      <c r="Z76" s="235" t="e">
        <f t="shared" si="466"/>
        <v>#N/A</v>
      </c>
      <c r="AA76" s="235" t="e">
        <f t="shared" si="467"/>
        <v>#N/A</v>
      </c>
      <c r="AB76" s="235" t="e">
        <f t="shared" si="468"/>
        <v>#N/A</v>
      </c>
      <c r="AC76" s="235" t="e">
        <f t="shared" si="469"/>
        <v>#N/A</v>
      </c>
      <c r="AD76" s="235" t="e">
        <f t="shared" si="470"/>
        <v>#N/A</v>
      </c>
      <c r="AE76" s="235" t="e">
        <f t="shared" si="471"/>
        <v>#N/A</v>
      </c>
      <c r="AF76" s="101" t="e">
        <f t="shared" si="432"/>
        <v>#N/A</v>
      </c>
      <c r="AG76" s="101" t="e">
        <f t="shared" si="433"/>
        <v>#N/A</v>
      </c>
      <c r="AH76" s="101" t="e">
        <f t="shared" si="434"/>
        <v>#N/A</v>
      </c>
      <c r="AI76" s="101" t="e">
        <f t="shared" si="435"/>
        <v>#N/A</v>
      </c>
      <c r="AJ76" s="101" t="e">
        <f t="shared" si="436"/>
        <v>#N/A</v>
      </c>
      <c r="AK76" s="101" t="e">
        <f t="shared" si="472"/>
        <v>#N/A</v>
      </c>
      <c r="AL76" s="235" t="e">
        <f t="shared" si="473"/>
        <v>#N/A</v>
      </c>
      <c r="AM76" s="235" t="e">
        <f t="shared" si="437"/>
        <v>#N/A</v>
      </c>
      <c r="AN76" s="235" t="e">
        <f t="shared" si="438"/>
        <v>#N/A</v>
      </c>
      <c r="AO76" s="235" t="e">
        <f t="shared" si="439"/>
        <v>#N/A</v>
      </c>
      <c r="AP76" s="235" t="e">
        <f t="shared" si="440"/>
        <v>#N/A</v>
      </c>
      <c r="AQ76" s="235" t="e">
        <f t="shared" si="441"/>
        <v>#N/A</v>
      </c>
      <c r="AR76" s="101" t="e">
        <f t="shared" si="474"/>
        <v>#N/A</v>
      </c>
      <c r="AS76" s="235" t="e">
        <f t="shared" si="475"/>
        <v>#N/A</v>
      </c>
      <c r="AT76" s="235" t="e">
        <f t="shared" si="442"/>
        <v>#N/A</v>
      </c>
      <c r="AV76" s="10">
        <v>70</v>
      </c>
      <c r="AW76" s="10">
        <f t="shared" si="476"/>
        <v>115</v>
      </c>
      <c r="AX76" s="309" t="e">
        <f t="shared" si="477"/>
        <v>#N/A</v>
      </c>
      <c r="AY76" s="309" t="e">
        <f t="shared" si="478"/>
        <v>#N/A</v>
      </c>
      <c r="AZ76" s="309" t="e">
        <f t="shared" si="479"/>
        <v>#N/A</v>
      </c>
      <c r="BA76" s="235" t="e">
        <f t="shared" si="480"/>
        <v>#N/A</v>
      </c>
      <c r="BB76" s="235" t="e">
        <f t="shared" si="481"/>
        <v>#N/A</v>
      </c>
      <c r="BC76" s="309" t="e">
        <f t="shared" si="482"/>
        <v>#N/A</v>
      </c>
      <c r="BD76" s="235" t="e">
        <f t="shared" si="483"/>
        <v>#N/A</v>
      </c>
      <c r="BE76" s="235" t="e">
        <f t="shared" si="484"/>
        <v>#N/A</v>
      </c>
      <c r="BF76" s="235" t="e">
        <f t="shared" si="485"/>
        <v>#N/A</v>
      </c>
      <c r="BG76" s="235" t="e">
        <f t="shared" si="486"/>
        <v>#N/A</v>
      </c>
      <c r="BH76" s="235" t="e">
        <f t="shared" si="487"/>
        <v>#N/A</v>
      </c>
      <c r="BI76" s="235" t="e">
        <f t="shared" si="488"/>
        <v>#N/A</v>
      </c>
      <c r="BJ76" s="235" t="e">
        <f t="shared" si="489"/>
        <v>#N/A</v>
      </c>
      <c r="BK76" s="101" t="e">
        <f t="shared" si="443"/>
        <v>#N/A</v>
      </c>
      <c r="BL76" s="101" t="e">
        <f t="shared" si="444"/>
        <v>#N/A</v>
      </c>
      <c r="BM76" s="101" t="e">
        <f t="shared" si="445"/>
        <v>#N/A</v>
      </c>
      <c r="BN76" s="101" t="e">
        <f t="shared" si="446"/>
        <v>#N/A</v>
      </c>
      <c r="BO76" s="101" t="e">
        <f t="shared" si="447"/>
        <v>#N/A</v>
      </c>
      <c r="BP76" s="101" t="e">
        <f t="shared" si="490"/>
        <v>#N/A</v>
      </c>
      <c r="BQ76" s="235" t="e">
        <f t="shared" si="448"/>
        <v>#N/A</v>
      </c>
      <c r="BR76" s="235" t="e">
        <f t="shared" si="449"/>
        <v>#N/A</v>
      </c>
      <c r="BS76" s="235" t="e">
        <f t="shared" si="450"/>
        <v>#N/A</v>
      </c>
      <c r="BT76" s="235" t="e">
        <f t="shared" si="451"/>
        <v>#N/A</v>
      </c>
      <c r="BU76" s="235" t="e">
        <f t="shared" si="452"/>
        <v>#N/A</v>
      </c>
      <c r="BV76" s="235" t="e">
        <f t="shared" si="453"/>
        <v>#N/A</v>
      </c>
      <c r="BW76" s="101" t="e">
        <f t="shared" si="491"/>
        <v>#N/A</v>
      </c>
      <c r="BX76" s="235" t="e">
        <f t="shared" si="492"/>
        <v>#N/A</v>
      </c>
      <c r="BY76" s="235" t="e">
        <f t="shared" si="454"/>
        <v>#N/A</v>
      </c>
      <c r="CA76" s="23"/>
      <c r="CJ76" s="10">
        <v>68</v>
      </c>
      <c r="CK76" s="450">
        <v>0.42429954015404392</v>
      </c>
      <c r="CL76" s="450">
        <v>9.6125864580616407E-2</v>
      </c>
      <c r="CM76" s="450">
        <v>0.42429954015404392</v>
      </c>
      <c r="CN76" s="450">
        <v>9.6125864580616407E-2</v>
      </c>
      <c r="CO76" s="451">
        <v>0.10046977727314443</v>
      </c>
      <c r="CP76" s="451">
        <v>0.10066197923956706</v>
      </c>
      <c r="CQ76" s="451">
        <v>0.10510467331723705</v>
      </c>
      <c r="CR76" s="451">
        <v>0.10562029949409532</v>
      </c>
      <c r="CS76" s="451">
        <v>8.7262576650409205</v>
      </c>
      <c r="CT76" s="451">
        <v>8.746236514825414</v>
      </c>
      <c r="CU76" s="234">
        <v>-1.9978849784493491E-2</v>
      </c>
      <c r="CX76" s="377">
        <v>68</v>
      </c>
      <c r="CY76" s="335">
        <f t="shared" si="496"/>
        <v>1.2478E-2</v>
      </c>
      <c r="CZ76" s="338">
        <v>1.2478E-2</v>
      </c>
      <c r="DA76" s="345">
        <f t="shared" si="497"/>
        <v>4.2819304864982421E-2</v>
      </c>
      <c r="DB76" s="387">
        <f t="shared" si="498"/>
        <v>0.19397802041764189</v>
      </c>
      <c r="DC76" s="114">
        <f t="shared" si="522"/>
        <v>2.4690087971667385E-2</v>
      </c>
      <c r="DD76" s="378">
        <f t="shared" si="523"/>
        <v>3.0136559126355711E-2</v>
      </c>
      <c r="DE76" s="378">
        <f t="shared" si="499"/>
        <v>2.6317472565622134E-2</v>
      </c>
      <c r="DF76" s="340">
        <f t="shared" si="524"/>
        <v>1.3705216505019768E-2</v>
      </c>
      <c r="DG76" s="378">
        <f t="shared" si="525"/>
        <v>6.9755570667648925E-3</v>
      </c>
      <c r="DH76" s="378">
        <f t="shared" si="500"/>
        <v>1.1694420196486876E-2</v>
      </c>
      <c r="DI76" s="340">
        <f>DI75+(DI78-DI68)/10</f>
        <v>0.64000000000000012</v>
      </c>
      <c r="DJ76" s="349">
        <f t="shared" ref="DJ76" si="541">DJ75+(DJ78-DJ68)/10</f>
        <v>0.59400000000000008</v>
      </c>
      <c r="DK76" s="350">
        <f t="shared" si="502"/>
        <v>0.62625537725331037</v>
      </c>
      <c r="DL76" s="345">
        <f t="shared" ref="DL76" si="542">DL75+(DL78-DL68)/10</f>
        <v>0.3680000000000001</v>
      </c>
      <c r="DM76" s="349">
        <f t="shared" ref="DM76" si="543">DM75+(DM78-DM68)/10</f>
        <v>0.13399999999999998</v>
      </c>
      <c r="DN76" s="396">
        <f t="shared" si="505"/>
        <v>0.29808170167988285</v>
      </c>
      <c r="DO76" s="335">
        <f t="shared" si="534"/>
        <v>0</v>
      </c>
      <c r="DP76" s="350">
        <f t="shared" si="535"/>
        <v>0</v>
      </c>
      <c r="DQ76" s="349">
        <f t="shared" si="506"/>
        <v>0</v>
      </c>
      <c r="DR76" s="335">
        <f t="shared" si="536"/>
        <v>2.2285714285714686E-3</v>
      </c>
      <c r="DS76" s="350">
        <f t="shared" si="537"/>
        <v>1.5428571428571791E-3</v>
      </c>
      <c r="DT76" s="349">
        <f t="shared" si="507"/>
        <v>2.0236826422854095E-3</v>
      </c>
      <c r="DU76" s="335">
        <f>DU75+(DU78-DU73)/5</f>
        <v>0.46399999999999997</v>
      </c>
      <c r="DV76" s="350">
        <f>DV75+(DV78-DV73)/5</f>
        <v>0.46500000000000008</v>
      </c>
      <c r="DW76" s="350">
        <f t="shared" si="508"/>
        <v>0.46429879614666725</v>
      </c>
      <c r="DX76" s="335">
        <f>DX75+(DX78-DX73)/5</f>
        <v>0.9916857142857145</v>
      </c>
      <c r="DY76" s="350">
        <f>DY75+(DY78-DY73)/5</f>
        <v>0.93862857142857159</v>
      </c>
      <c r="DZ76" s="396">
        <f t="shared" si="509"/>
        <v>0.97583244444683082</v>
      </c>
      <c r="EA76" s="350">
        <f t="shared" si="510"/>
        <v>0</v>
      </c>
      <c r="EB76" s="350">
        <f t="shared" si="511"/>
        <v>0</v>
      </c>
      <c r="EC76" s="349">
        <f t="shared" si="512"/>
        <v>0</v>
      </c>
      <c r="ED76" s="335">
        <f t="shared" si="513"/>
        <v>1.56266173581594E-2</v>
      </c>
      <c r="EE76" s="350">
        <f t="shared" si="514"/>
        <v>1.0955546062492716E-2</v>
      </c>
      <c r="EF76" s="387">
        <f t="shared" si="515"/>
        <v>1.4230919254206581E-2</v>
      </c>
      <c r="EG76" s="335">
        <f t="shared" si="516"/>
        <v>1.3705216505019768E-2</v>
      </c>
      <c r="EH76" s="350">
        <f t="shared" si="517"/>
        <v>6.9755570667648925E-3</v>
      </c>
      <c r="EI76" s="387">
        <f t="shared" si="518"/>
        <v>1.1694420196486876E-2</v>
      </c>
      <c r="EJ76" s="335">
        <f t="shared" si="519"/>
        <v>4.2688623928717195E-3</v>
      </c>
      <c r="EK76" s="350">
        <f t="shared" si="520"/>
        <v>0</v>
      </c>
      <c r="EL76" s="387">
        <f t="shared" si="521"/>
        <v>2.9933427592292649E-3</v>
      </c>
      <c r="EO76" s="351" t="s">
        <v>383</v>
      </c>
      <c r="EP76" s="19"/>
      <c r="EQ76" s="19"/>
      <c r="ER76" s="19"/>
      <c r="ES76" s="19"/>
      <c r="ET76" s="19"/>
      <c r="EU76" s="19"/>
      <c r="EV76" s="19"/>
      <c r="EW76" s="334"/>
      <c r="EY76" s="363">
        <v>100</v>
      </c>
      <c r="EZ76" s="346">
        <f t="shared" si="458"/>
        <v>-2.1684043449710089E-18</v>
      </c>
      <c r="FA76" s="347">
        <f t="shared" si="357"/>
        <v>-1.7347234759768071E-18</v>
      </c>
      <c r="FB76" s="347">
        <f t="shared" si="358"/>
        <v>-2.6020852139652106E-18</v>
      </c>
      <c r="FC76" s="33">
        <f t="shared" si="359"/>
        <v>96.036470517353095</v>
      </c>
      <c r="FD76" s="33">
        <f t="shared" si="360"/>
        <v>-4.4289004834399134E+19</v>
      </c>
      <c r="FE76" s="308">
        <f t="shared" ca="1" si="364"/>
        <v>0</v>
      </c>
      <c r="FF76" s="364">
        <f t="shared" si="365"/>
        <v>1</v>
      </c>
      <c r="FG76" s="234"/>
    </row>
    <row r="77" spans="2:163" ht="15" customHeight="1" x14ac:dyDescent="0.25">
      <c r="B77" s="386" t="s">
        <v>298</v>
      </c>
      <c r="M77" s="413"/>
      <c r="N77" s="413"/>
      <c r="Q77" s="10">
        <v>71</v>
      </c>
      <c r="R77" s="10">
        <f t="shared" si="431"/>
        <v>116</v>
      </c>
      <c r="S77" s="309" t="e">
        <f t="shared" si="459"/>
        <v>#N/A</v>
      </c>
      <c r="T77" s="309" t="e">
        <f t="shared" si="460"/>
        <v>#N/A</v>
      </c>
      <c r="U77" s="309" t="e">
        <f t="shared" si="461"/>
        <v>#N/A</v>
      </c>
      <c r="V77" s="235" t="e">
        <f t="shared" si="462"/>
        <v>#N/A</v>
      </c>
      <c r="W77" s="235" t="e">
        <f t="shared" si="463"/>
        <v>#N/A</v>
      </c>
      <c r="X77" s="309" t="e">
        <f t="shared" si="464"/>
        <v>#N/A</v>
      </c>
      <c r="Y77" s="235" t="e">
        <f t="shared" si="465"/>
        <v>#N/A</v>
      </c>
      <c r="Z77" s="235" t="e">
        <f t="shared" si="466"/>
        <v>#N/A</v>
      </c>
      <c r="AA77" s="235" t="e">
        <f t="shared" si="467"/>
        <v>#N/A</v>
      </c>
      <c r="AB77" s="235" t="e">
        <f t="shared" si="468"/>
        <v>#N/A</v>
      </c>
      <c r="AC77" s="235" t="e">
        <f t="shared" si="469"/>
        <v>#N/A</v>
      </c>
      <c r="AD77" s="235" t="e">
        <f t="shared" si="470"/>
        <v>#N/A</v>
      </c>
      <c r="AE77" s="235" t="e">
        <f t="shared" si="471"/>
        <v>#N/A</v>
      </c>
      <c r="AF77" s="101" t="e">
        <f t="shared" si="432"/>
        <v>#N/A</v>
      </c>
      <c r="AG77" s="101" t="e">
        <f t="shared" si="433"/>
        <v>#N/A</v>
      </c>
      <c r="AH77" s="101" t="e">
        <f t="shared" si="434"/>
        <v>#N/A</v>
      </c>
      <c r="AI77" s="101" t="e">
        <f t="shared" si="435"/>
        <v>#N/A</v>
      </c>
      <c r="AJ77" s="101" t="e">
        <f t="shared" si="436"/>
        <v>#N/A</v>
      </c>
      <c r="AK77" s="101" t="e">
        <f t="shared" si="472"/>
        <v>#N/A</v>
      </c>
      <c r="AL77" s="235" t="e">
        <f t="shared" si="473"/>
        <v>#N/A</v>
      </c>
      <c r="AM77" s="235" t="e">
        <f t="shared" si="437"/>
        <v>#N/A</v>
      </c>
      <c r="AN77" s="235" t="e">
        <f t="shared" si="438"/>
        <v>#N/A</v>
      </c>
      <c r="AO77" s="235" t="e">
        <f t="shared" si="439"/>
        <v>#N/A</v>
      </c>
      <c r="AP77" s="235" t="e">
        <f t="shared" si="440"/>
        <v>#N/A</v>
      </c>
      <c r="AQ77" s="235" t="e">
        <f t="shared" si="441"/>
        <v>#N/A</v>
      </c>
      <c r="AR77" s="101" t="e">
        <f t="shared" si="474"/>
        <v>#N/A</v>
      </c>
      <c r="AS77" s="235" t="e">
        <f t="shared" si="475"/>
        <v>#N/A</v>
      </c>
      <c r="AT77" s="235" t="e">
        <f t="shared" si="442"/>
        <v>#N/A</v>
      </c>
      <c r="AV77" s="10">
        <v>71</v>
      </c>
      <c r="AW77" s="10">
        <f t="shared" si="476"/>
        <v>116</v>
      </c>
      <c r="AX77" s="309" t="e">
        <f t="shared" si="477"/>
        <v>#N/A</v>
      </c>
      <c r="AY77" s="309" t="e">
        <f t="shared" si="478"/>
        <v>#N/A</v>
      </c>
      <c r="AZ77" s="309" t="e">
        <f t="shared" si="479"/>
        <v>#N/A</v>
      </c>
      <c r="BA77" s="235" t="e">
        <f t="shared" si="480"/>
        <v>#N/A</v>
      </c>
      <c r="BB77" s="235" t="e">
        <f t="shared" si="481"/>
        <v>#N/A</v>
      </c>
      <c r="BC77" s="309" t="e">
        <f t="shared" si="482"/>
        <v>#N/A</v>
      </c>
      <c r="BD77" s="235" t="e">
        <f t="shared" si="483"/>
        <v>#N/A</v>
      </c>
      <c r="BE77" s="235" t="e">
        <f t="shared" si="484"/>
        <v>#N/A</v>
      </c>
      <c r="BF77" s="235" t="e">
        <f t="shared" si="485"/>
        <v>#N/A</v>
      </c>
      <c r="BG77" s="235" t="e">
        <f t="shared" si="486"/>
        <v>#N/A</v>
      </c>
      <c r="BH77" s="235" t="e">
        <f t="shared" si="487"/>
        <v>#N/A</v>
      </c>
      <c r="BI77" s="235" t="e">
        <f t="shared" si="488"/>
        <v>#N/A</v>
      </c>
      <c r="BJ77" s="235" t="e">
        <f t="shared" si="489"/>
        <v>#N/A</v>
      </c>
      <c r="BK77" s="101" t="e">
        <f t="shared" si="443"/>
        <v>#N/A</v>
      </c>
      <c r="BL77" s="101" t="e">
        <f t="shared" si="444"/>
        <v>#N/A</v>
      </c>
      <c r="BM77" s="101" t="e">
        <f t="shared" si="445"/>
        <v>#N/A</v>
      </c>
      <c r="BN77" s="101" t="e">
        <f t="shared" si="446"/>
        <v>#N/A</v>
      </c>
      <c r="BO77" s="101" t="e">
        <f t="shared" si="447"/>
        <v>#N/A</v>
      </c>
      <c r="BP77" s="101" t="e">
        <f t="shared" si="490"/>
        <v>#N/A</v>
      </c>
      <c r="BQ77" s="235" t="e">
        <f t="shared" si="448"/>
        <v>#N/A</v>
      </c>
      <c r="BR77" s="235" t="e">
        <f t="shared" si="449"/>
        <v>#N/A</v>
      </c>
      <c r="BS77" s="235" t="e">
        <f t="shared" si="450"/>
        <v>#N/A</v>
      </c>
      <c r="BT77" s="235" t="e">
        <f t="shared" si="451"/>
        <v>#N/A</v>
      </c>
      <c r="BU77" s="235" t="e">
        <f t="shared" si="452"/>
        <v>#N/A</v>
      </c>
      <c r="BV77" s="235" t="e">
        <f t="shared" si="453"/>
        <v>#N/A</v>
      </c>
      <c r="BW77" s="101" t="e">
        <f t="shared" si="491"/>
        <v>#N/A</v>
      </c>
      <c r="BX77" s="235" t="e">
        <f t="shared" si="492"/>
        <v>#N/A</v>
      </c>
      <c r="BY77" s="235" t="e">
        <f t="shared" si="454"/>
        <v>#N/A</v>
      </c>
      <c r="CA77" s="23"/>
      <c r="CJ77" s="10">
        <v>69</v>
      </c>
      <c r="CK77" s="450">
        <v>0.42494466714292412</v>
      </c>
      <c r="CL77" s="450">
        <v>0.10448423395615768</v>
      </c>
      <c r="CM77" s="450">
        <v>0.42494466714292412</v>
      </c>
      <c r="CN77" s="450">
        <v>0.10448423395615768</v>
      </c>
      <c r="CO77" s="451">
        <v>9.1178519444153422E-2</v>
      </c>
      <c r="CP77" s="451">
        <v>9.1311137189536443E-2</v>
      </c>
      <c r="CQ77" s="451">
        <v>0.10315677095877802</v>
      </c>
      <c r="CR77" s="451">
        <v>0.10353557551443208</v>
      </c>
      <c r="CS77" s="451">
        <v>8.3697355387706462</v>
      </c>
      <c r="CT77" s="451">
        <v>8.3902510210118351</v>
      </c>
      <c r="CU77" s="234">
        <v>-2.051548224118882E-2</v>
      </c>
      <c r="CX77" s="377">
        <v>69</v>
      </c>
      <c r="CY77" s="335">
        <f t="shared" si="496"/>
        <v>1.3698E-2</v>
      </c>
      <c r="CZ77" s="338">
        <v>1.3698E-2</v>
      </c>
      <c r="DA77" s="345">
        <f t="shared" si="497"/>
        <v>4.2819304864982421E-2</v>
      </c>
      <c r="DB77" s="387">
        <f t="shared" si="498"/>
        <v>0.19397802041764189</v>
      </c>
      <c r="DC77" s="114">
        <f t="shared" si="522"/>
        <v>2.4690087971667385E-2</v>
      </c>
      <c r="DD77" s="378">
        <f t="shared" si="523"/>
        <v>3.0136559126355711E-2</v>
      </c>
      <c r="DE77" s="378">
        <f t="shared" si="499"/>
        <v>2.6317472565622134E-2</v>
      </c>
      <c r="DF77" s="340">
        <f t="shared" si="524"/>
        <v>1.3705216505019768E-2</v>
      </c>
      <c r="DG77" s="378">
        <f t="shared" si="525"/>
        <v>6.9755570667648925E-3</v>
      </c>
      <c r="DH77" s="378">
        <f t="shared" si="500"/>
        <v>1.1694420196486876E-2</v>
      </c>
      <c r="DI77" s="340">
        <f>DI76+(DI78-DI68)/10</f>
        <v>0.65000000000000013</v>
      </c>
      <c r="DJ77" s="349">
        <f t="shared" ref="DJ77" si="544">DJ76+(DJ78-DJ68)/10</f>
        <v>0.60200000000000009</v>
      </c>
      <c r="DK77" s="350">
        <f t="shared" si="502"/>
        <v>0.63565778495997605</v>
      </c>
      <c r="DL77" s="345">
        <f t="shared" ref="DL77" si="545">DL76+(DL78-DL68)/10</f>
        <v>0.38900000000000012</v>
      </c>
      <c r="DM77" s="349">
        <f t="shared" ref="DM77" si="546">DM76+(DM78-DM68)/10</f>
        <v>0.14199999999999999</v>
      </c>
      <c r="DN77" s="396">
        <f t="shared" si="505"/>
        <v>0.31519735177320968</v>
      </c>
      <c r="DO77" s="335">
        <f t="shared" si="534"/>
        <v>0</v>
      </c>
      <c r="DP77" s="350">
        <f t="shared" si="535"/>
        <v>0</v>
      </c>
      <c r="DQ77" s="349">
        <f t="shared" si="506"/>
        <v>0</v>
      </c>
      <c r="DR77" s="335">
        <f t="shared" si="536"/>
        <v>2.2285714285714686E-3</v>
      </c>
      <c r="DS77" s="350">
        <f t="shared" si="537"/>
        <v>1.5428571428571791E-3</v>
      </c>
      <c r="DT77" s="349">
        <f t="shared" si="507"/>
        <v>2.0236826422854095E-3</v>
      </c>
      <c r="DU77" s="335">
        <f>DU76+(DU78-DU73)/5</f>
        <v>0.46399999999999997</v>
      </c>
      <c r="DV77" s="350">
        <f>DV100+(DV78-DV73)/5</f>
        <v>0.46500000000000008</v>
      </c>
      <c r="DW77" s="350">
        <f t="shared" si="508"/>
        <v>0.46429879614666725</v>
      </c>
      <c r="DX77" s="335">
        <f>DX76+(DX78-DX73)/5</f>
        <v>0.99391428571428597</v>
      </c>
      <c r="DY77" s="350">
        <f>DY76+(DY78-DY73)/5</f>
        <v>0.94017142857142877</v>
      </c>
      <c r="DZ77" s="396">
        <f t="shared" si="509"/>
        <v>0.97785612708911618</v>
      </c>
      <c r="EA77" s="350">
        <f t="shared" si="510"/>
        <v>0</v>
      </c>
      <c r="EB77" s="350">
        <f t="shared" si="511"/>
        <v>0</v>
      </c>
      <c r="EC77" s="349">
        <f t="shared" si="512"/>
        <v>0</v>
      </c>
      <c r="ED77" s="335">
        <f t="shared" si="513"/>
        <v>1.56266173581594E-2</v>
      </c>
      <c r="EE77" s="350">
        <f t="shared" si="514"/>
        <v>1.0955546062492716E-2</v>
      </c>
      <c r="EF77" s="387">
        <f t="shared" si="515"/>
        <v>1.4230919254206581E-2</v>
      </c>
      <c r="EG77" s="335">
        <f t="shared" si="516"/>
        <v>1.3705216505019768E-2</v>
      </c>
      <c r="EH77" s="350">
        <f t="shared" si="517"/>
        <v>6.9755570667648925E-3</v>
      </c>
      <c r="EI77" s="387">
        <f t="shared" si="518"/>
        <v>1.1694420196486876E-2</v>
      </c>
      <c r="EJ77" s="335">
        <f t="shared" si="519"/>
        <v>4.2688623928717195E-3</v>
      </c>
      <c r="EK77" s="350">
        <f t="shared" si="520"/>
        <v>0</v>
      </c>
      <c r="EL77" s="387">
        <f t="shared" si="521"/>
        <v>2.9933427592292649E-3</v>
      </c>
      <c r="EO77" s="454" t="s">
        <v>160</v>
      </c>
      <c r="EP77" s="452" t="s">
        <v>159</v>
      </c>
      <c r="EQ77" s="452" t="s">
        <v>380</v>
      </c>
      <c r="ER77" s="452" t="s">
        <v>79</v>
      </c>
      <c r="ES77" s="452" t="s">
        <v>81</v>
      </c>
      <c r="ET77" s="452" t="s">
        <v>303</v>
      </c>
      <c r="EU77" s="452" t="s">
        <v>163</v>
      </c>
      <c r="EV77" s="321" t="s">
        <v>16</v>
      </c>
      <c r="EW77" s="457" t="s">
        <v>381</v>
      </c>
      <c r="EY77" s="361"/>
      <c r="EZ77" s="346"/>
      <c r="FA77" s="347"/>
      <c r="FB77" s="347"/>
      <c r="FC77" s="347"/>
      <c r="FD77" s="347"/>
      <c r="FE77" s="347"/>
      <c r="FF77" s="362"/>
      <c r="FG77" s="234"/>
    </row>
    <row r="78" spans="2:163" ht="15" customHeight="1" x14ac:dyDescent="0.2">
      <c r="B78" s="439" t="s">
        <v>299</v>
      </c>
      <c r="M78" s="413"/>
      <c r="N78" s="413"/>
      <c r="Q78" s="10">
        <v>72</v>
      </c>
      <c r="R78" s="10">
        <f t="shared" si="431"/>
        <v>117</v>
      </c>
      <c r="S78" s="309" t="e">
        <f t="shared" si="459"/>
        <v>#N/A</v>
      </c>
      <c r="T78" s="309" t="e">
        <f t="shared" si="460"/>
        <v>#N/A</v>
      </c>
      <c r="U78" s="309" t="e">
        <f t="shared" si="461"/>
        <v>#N/A</v>
      </c>
      <c r="V78" s="235" t="e">
        <f t="shared" si="462"/>
        <v>#N/A</v>
      </c>
      <c r="W78" s="235" t="e">
        <f t="shared" si="463"/>
        <v>#N/A</v>
      </c>
      <c r="X78" s="309" t="e">
        <f t="shared" si="464"/>
        <v>#N/A</v>
      </c>
      <c r="Y78" s="235" t="e">
        <f t="shared" si="465"/>
        <v>#N/A</v>
      </c>
      <c r="Z78" s="235" t="e">
        <f t="shared" si="466"/>
        <v>#N/A</v>
      </c>
      <c r="AA78" s="235" t="e">
        <f t="shared" si="467"/>
        <v>#N/A</v>
      </c>
      <c r="AB78" s="235" t="e">
        <f t="shared" si="468"/>
        <v>#N/A</v>
      </c>
      <c r="AC78" s="235" t="e">
        <f t="shared" si="469"/>
        <v>#N/A</v>
      </c>
      <c r="AD78" s="235" t="e">
        <f t="shared" si="470"/>
        <v>#N/A</v>
      </c>
      <c r="AE78" s="235" t="e">
        <f t="shared" si="471"/>
        <v>#N/A</v>
      </c>
      <c r="AF78" s="101" t="e">
        <f t="shared" si="432"/>
        <v>#N/A</v>
      </c>
      <c r="AG78" s="101" t="e">
        <f t="shared" si="433"/>
        <v>#N/A</v>
      </c>
      <c r="AH78" s="101" t="e">
        <f t="shared" si="434"/>
        <v>#N/A</v>
      </c>
      <c r="AI78" s="101" t="e">
        <f t="shared" si="435"/>
        <v>#N/A</v>
      </c>
      <c r="AJ78" s="101" t="e">
        <f t="shared" si="436"/>
        <v>#N/A</v>
      </c>
      <c r="AK78" s="101" t="e">
        <f t="shared" si="472"/>
        <v>#N/A</v>
      </c>
      <c r="AL78" s="235" t="e">
        <f t="shared" si="473"/>
        <v>#N/A</v>
      </c>
      <c r="AM78" s="235" t="e">
        <f t="shared" si="437"/>
        <v>#N/A</v>
      </c>
      <c r="AN78" s="235" t="e">
        <f t="shared" si="438"/>
        <v>#N/A</v>
      </c>
      <c r="AO78" s="235" t="e">
        <f t="shared" si="439"/>
        <v>#N/A</v>
      </c>
      <c r="AP78" s="235" t="e">
        <f t="shared" si="440"/>
        <v>#N/A</v>
      </c>
      <c r="AQ78" s="235" t="e">
        <f t="shared" si="441"/>
        <v>#N/A</v>
      </c>
      <c r="AR78" s="101" t="e">
        <f t="shared" si="474"/>
        <v>#N/A</v>
      </c>
      <c r="AS78" s="235" t="e">
        <f t="shared" si="475"/>
        <v>#N/A</v>
      </c>
      <c r="AT78" s="235" t="e">
        <f t="shared" si="442"/>
        <v>#N/A</v>
      </c>
      <c r="AV78" s="10">
        <v>72</v>
      </c>
      <c r="AW78" s="10">
        <f t="shared" si="476"/>
        <v>117</v>
      </c>
      <c r="AX78" s="309" t="e">
        <f t="shared" si="477"/>
        <v>#N/A</v>
      </c>
      <c r="AY78" s="309" t="e">
        <f t="shared" si="478"/>
        <v>#N/A</v>
      </c>
      <c r="AZ78" s="309" t="e">
        <f t="shared" si="479"/>
        <v>#N/A</v>
      </c>
      <c r="BA78" s="235" t="e">
        <f t="shared" si="480"/>
        <v>#N/A</v>
      </c>
      <c r="BB78" s="235" t="e">
        <f t="shared" si="481"/>
        <v>#N/A</v>
      </c>
      <c r="BC78" s="309" t="e">
        <f t="shared" si="482"/>
        <v>#N/A</v>
      </c>
      <c r="BD78" s="235" t="e">
        <f t="shared" si="483"/>
        <v>#N/A</v>
      </c>
      <c r="BE78" s="235" t="e">
        <f t="shared" si="484"/>
        <v>#N/A</v>
      </c>
      <c r="BF78" s="235" t="e">
        <f t="shared" si="485"/>
        <v>#N/A</v>
      </c>
      <c r="BG78" s="235" t="e">
        <f t="shared" si="486"/>
        <v>#N/A</v>
      </c>
      <c r="BH78" s="235" t="e">
        <f t="shared" si="487"/>
        <v>#N/A</v>
      </c>
      <c r="BI78" s="235" t="e">
        <f t="shared" si="488"/>
        <v>#N/A</v>
      </c>
      <c r="BJ78" s="235" t="e">
        <f t="shared" si="489"/>
        <v>#N/A</v>
      </c>
      <c r="BK78" s="101" t="e">
        <f t="shared" si="443"/>
        <v>#N/A</v>
      </c>
      <c r="BL78" s="101" t="e">
        <f t="shared" si="444"/>
        <v>#N/A</v>
      </c>
      <c r="BM78" s="101" t="e">
        <f t="shared" si="445"/>
        <v>#N/A</v>
      </c>
      <c r="BN78" s="101" t="e">
        <f t="shared" si="446"/>
        <v>#N/A</v>
      </c>
      <c r="BO78" s="101" t="e">
        <f t="shared" si="447"/>
        <v>#N/A</v>
      </c>
      <c r="BP78" s="101" t="e">
        <f t="shared" si="490"/>
        <v>#N/A</v>
      </c>
      <c r="BQ78" s="235" t="e">
        <f t="shared" si="448"/>
        <v>#N/A</v>
      </c>
      <c r="BR78" s="235" t="e">
        <f t="shared" si="449"/>
        <v>#N/A</v>
      </c>
      <c r="BS78" s="235" t="e">
        <f t="shared" si="450"/>
        <v>#N/A</v>
      </c>
      <c r="BT78" s="235" t="e">
        <f t="shared" si="451"/>
        <v>#N/A</v>
      </c>
      <c r="BU78" s="235" t="e">
        <f t="shared" si="452"/>
        <v>#N/A</v>
      </c>
      <c r="BV78" s="235" t="e">
        <f t="shared" si="453"/>
        <v>#N/A</v>
      </c>
      <c r="BW78" s="101" t="e">
        <f t="shared" si="491"/>
        <v>#N/A</v>
      </c>
      <c r="BX78" s="235" t="e">
        <f t="shared" si="492"/>
        <v>#N/A</v>
      </c>
      <c r="BY78" s="235" t="e">
        <f t="shared" si="454"/>
        <v>#N/A</v>
      </c>
      <c r="CA78" s="23"/>
      <c r="CJ78" s="10">
        <v>70</v>
      </c>
      <c r="CK78" s="450">
        <v>0.42573569081958268</v>
      </c>
      <c r="CL78" s="450">
        <v>0.11298850001947731</v>
      </c>
      <c r="CM78" s="450">
        <v>0.42573569081958268</v>
      </c>
      <c r="CN78" s="450">
        <v>0.11298850001947731</v>
      </c>
      <c r="CO78" s="451">
        <v>8.3868933855759387E-2</v>
      </c>
      <c r="CP78" s="451">
        <v>8.3946987384137819E-2</v>
      </c>
      <c r="CQ78" s="451">
        <v>9.610511957639678E-2</v>
      </c>
      <c r="CR78" s="451">
        <v>9.6354206244701576E-2</v>
      </c>
      <c r="CS78" s="451">
        <v>8.0806519385177058</v>
      </c>
      <c r="CT78" s="451">
        <v>8.1016408724913074</v>
      </c>
      <c r="CU78" s="234">
        <v>-2.0988933973601576E-2</v>
      </c>
      <c r="CX78" s="377">
        <v>70</v>
      </c>
      <c r="CY78" s="335">
        <f t="shared" si="496"/>
        <v>1.5139E-2</v>
      </c>
      <c r="CZ78" s="338">
        <v>1.5139E-2</v>
      </c>
      <c r="DA78" s="345">
        <f t="shared" si="497"/>
        <v>5.3898227222001882E-2</v>
      </c>
      <c r="DB78" s="387">
        <f t="shared" si="498"/>
        <v>0.20330735078883622</v>
      </c>
      <c r="DC78" s="114">
        <f t="shared" si="522"/>
        <v>2.4690087971667385E-2</v>
      </c>
      <c r="DD78" s="378">
        <f t="shared" si="523"/>
        <v>2.2639785091870257E-2</v>
      </c>
      <c r="DE78" s="378">
        <f t="shared" si="499"/>
        <v>2.4077465371683406E-2</v>
      </c>
      <c r="DF78" s="340">
        <f t="shared" si="524"/>
        <v>2.8972024416225373E-2</v>
      </c>
      <c r="DG78" s="378">
        <f t="shared" si="525"/>
        <v>1.4888060396937353E-2</v>
      </c>
      <c r="DH78" s="378">
        <f t="shared" si="500"/>
        <v>2.4763790237463078E-2</v>
      </c>
      <c r="DI78" s="340">
        <f>VLOOKUP($CX78,$EO$8:$EW$18,9,FALSE)</f>
        <v>0.66</v>
      </c>
      <c r="DJ78" s="349">
        <f>VLOOKUP($CX78,$EO$22:$EW$32,9,FALSE)</f>
        <v>0.61</v>
      </c>
      <c r="DK78" s="350">
        <f t="shared" si="502"/>
        <v>0.64506019266664172</v>
      </c>
      <c r="DL78" s="345">
        <f>VLOOKUP($CX78,$EO$36:$EW$46,9,FALSE)</f>
        <v>0.41</v>
      </c>
      <c r="DM78" s="349">
        <f>VLOOKUP($CX78,$EO$50:$EW$60,9,FALSE)</f>
        <v>0.15</v>
      </c>
      <c r="DN78" s="396">
        <f t="shared" si="505"/>
        <v>0.33231300186653639</v>
      </c>
      <c r="DO78" s="335">
        <f t="shared" si="534"/>
        <v>0</v>
      </c>
      <c r="DP78" s="350">
        <f t="shared" si="535"/>
        <v>0</v>
      </c>
      <c r="DQ78" s="349">
        <f t="shared" si="506"/>
        <v>0</v>
      </c>
      <c r="DR78" s="335">
        <f t="shared" si="536"/>
        <v>2.2285714285712466E-3</v>
      </c>
      <c r="DS78" s="350">
        <f t="shared" si="537"/>
        <v>1.5428571428569571E-3</v>
      </c>
      <c r="DT78" s="349">
        <f t="shared" si="507"/>
        <v>2.0236826422851879E-3</v>
      </c>
      <c r="DU78" s="335">
        <f>VLOOKUP($CX78,$EY$8:$FF$28,8,FALSE)</f>
        <v>0.46399999999999997</v>
      </c>
      <c r="DV78" s="350">
        <f>VLOOKUP($CX78,$EY$32:$FF$52,8,FALSE)</f>
        <v>0.46500000000000008</v>
      </c>
      <c r="DW78" s="350">
        <f t="shared" si="508"/>
        <v>0.46429879614666725</v>
      </c>
      <c r="DX78" s="335">
        <f>VLOOKUP($CX78,$EY$56:$FF$76,8,FALSE)</f>
        <v>0.99614285714285722</v>
      </c>
      <c r="DY78" s="350">
        <f>VLOOKUP($CX78,$EY$80:$FF$100,8,FALSE)</f>
        <v>0.94171428571428573</v>
      </c>
      <c r="DZ78" s="396">
        <f t="shared" si="509"/>
        <v>0.97987980973140143</v>
      </c>
      <c r="EA78" s="350">
        <f t="shared" si="510"/>
        <v>0</v>
      </c>
      <c r="EB78" s="350">
        <f t="shared" si="511"/>
        <v>0</v>
      </c>
      <c r="EC78" s="349">
        <f t="shared" si="512"/>
        <v>0</v>
      </c>
      <c r="ED78" s="335">
        <f t="shared" si="513"/>
        <v>1.56266173581594E-2</v>
      </c>
      <c r="EE78" s="350">
        <f t="shared" si="514"/>
        <v>8.2101114217552063E-3</v>
      </c>
      <c r="EF78" s="387">
        <f t="shared" si="515"/>
        <v>1.3410593962627653E-2</v>
      </c>
      <c r="EG78" s="335">
        <f t="shared" si="516"/>
        <v>2.8972024416225373E-2</v>
      </c>
      <c r="EH78" s="350">
        <f t="shared" si="517"/>
        <v>1.4888060396937353E-2</v>
      </c>
      <c r="EI78" s="387">
        <f t="shared" si="518"/>
        <v>2.4763790237463078E-2</v>
      </c>
      <c r="EJ78" s="335">
        <f t="shared" si="519"/>
        <v>9.0725933907607192E-3</v>
      </c>
      <c r="EK78" s="350">
        <f t="shared" si="520"/>
        <v>0</v>
      </c>
      <c r="EL78" s="387">
        <f t="shared" si="521"/>
        <v>6.3617374453234033E-3</v>
      </c>
      <c r="EO78" s="454">
        <v>0</v>
      </c>
      <c r="EP78" s="452"/>
      <c r="EQ78" s="458">
        <v>0</v>
      </c>
      <c r="ER78" s="458">
        <v>0</v>
      </c>
      <c r="ES78" s="458">
        <v>0</v>
      </c>
      <c r="ET78" s="54" t="e">
        <f>(LN(ES78)-LN(ER78))/(2*z)</f>
        <v>#NUM!</v>
      </c>
      <c r="EU78" s="458">
        <f t="shared" ref="EU78:EU88" ca="1" si="547">IFERROR(_xlfn.LOGNORM.INV(RAND(),LN(EQ78)-(ET78^2)/2,ET78),EQ78)</f>
        <v>0</v>
      </c>
      <c r="EV78" s="458">
        <f t="shared" ref="EV78:EV88" si="548">IF(psa,EU78,EQ78)</f>
        <v>0</v>
      </c>
      <c r="EW78" s="396">
        <f>1-EXP(-(EV78/1000))</f>
        <v>0</v>
      </c>
      <c r="EY78" s="359" t="s">
        <v>290</v>
      </c>
      <c r="EZ78" s="20"/>
      <c r="FA78" s="20"/>
      <c r="FB78" s="20"/>
      <c r="FC78" s="20"/>
      <c r="FD78" s="20"/>
      <c r="FE78" s="20"/>
      <c r="FF78" s="360"/>
    </row>
    <row r="79" spans="2:163" ht="15" customHeight="1" x14ac:dyDescent="0.2">
      <c r="B79" s="330" t="s">
        <v>292</v>
      </c>
      <c r="C79" s="101">
        <f t="shared" ref="C79:C91" si="549">IF(psa,J79,IF(owsa_low=L79,F79,IF(owsa_high=L79,G79,IF(ISNUMBER(D79),D79,E79))))</f>
        <v>31868</v>
      </c>
      <c r="D79" s="255"/>
      <c r="E79" s="101">
        <v>31868</v>
      </c>
      <c r="F79" s="101">
        <f t="shared" ref="F79:F84" si="550">IF(ISNUMBER(D79),D79,E79)*(1-owsa)</f>
        <v>25494.400000000001</v>
      </c>
      <c r="G79" s="101">
        <f t="shared" ref="G79:G84" si="551">IF(ISNUMBER(D79),D79,E79)*(1+owsa)</f>
        <v>38241.599999999999</v>
      </c>
      <c r="H79" s="101">
        <f t="shared" ref="H79:H84" si="552">(G79-F79)/(2*z)</f>
        <v>3251.8964890549746</v>
      </c>
      <c r="I79" s="118"/>
      <c r="J79" s="101">
        <f t="shared" ref="J79:J84" ca="1" si="553">_xlfn.NORM.INV(RAND(),IF(ISNUMBER(D79),D79,E79),H79)</f>
        <v>34506.103958738386</v>
      </c>
      <c r="K79" s="10" t="s">
        <v>43</v>
      </c>
      <c r="L79" s="10">
        <v>24</v>
      </c>
      <c r="M79" s="393" t="s">
        <v>326</v>
      </c>
      <c r="N79" s="393" t="s">
        <v>280</v>
      </c>
      <c r="Q79" s="10">
        <v>73</v>
      </c>
      <c r="R79" s="10">
        <f t="shared" si="431"/>
        <v>118</v>
      </c>
      <c r="S79" s="309" t="e">
        <f t="shared" si="459"/>
        <v>#N/A</v>
      </c>
      <c r="T79" s="309" t="e">
        <f t="shared" si="460"/>
        <v>#N/A</v>
      </c>
      <c r="U79" s="309" t="e">
        <f t="shared" si="461"/>
        <v>#N/A</v>
      </c>
      <c r="V79" s="235" t="e">
        <f t="shared" si="462"/>
        <v>#N/A</v>
      </c>
      <c r="W79" s="235" t="e">
        <f t="shared" si="463"/>
        <v>#N/A</v>
      </c>
      <c r="X79" s="309" t="e">
        <f t="shared" si="464"/>
        <v>#N/A</v>
      </c>
      <c r="Y79" s="235" t="e">
        <f t="shared" si="465"/>
        <v>#N/A</v>
      </c>
      <c r="Z79" s="235" t="e">
        <f t="shared" si="466"/>
        <v>#N/A</v>
      </c>
      <c r="AA79" s="235" t="e">
        <f t="shared" si="467"/>
        <v>#N/A</v>
      </c>
      <c r="AB79" s="235" t="e">
        <f t="shared" si="468"/>
        <v>#N/A</v>
      </c>
      <c r="AC79" s="235" t="e">
        <f t="shared" si="469"/>
        <v>#N/A</v>
      </c>
      <c r="AD79" s="235" t="e">
        <f t="shared" si="470"/>
        <v>#N/A</v>
      </c>
      <c r="AE79" s="235" t="e">
        <f t="shared" si="471"/>
        <v>#N/A</v>
      </c>
      <c r="AF79" s="101" t="e">
        <f t="shared" si="432"/>
        <v>#N/A</v>
      </c>
      <c r="AG79" s="101" t="e">
        <f t="shared" si="433"/>
        <v>#N/A</v>
      </c>
      <c r="AH79" s="101" t="e">
        <f t="shared" si="434"/>
        <v>#N/A</v>
      </c>
      <c r="AI79" s="101" t="e">
        <f t="shared" si="435"/>
        <v>#N/A</v>
      </c>
      <c r="AJ79" s="101" t="e">
        <f t="shared" si="436"/>
        <v>#N/A</v>
      </c>
      <c r="AK79" s="101" t="e">
        <f t="shared" si="472"/>
        <v>#N/A</v>
      </c>
      <c r="AL79" s="235" t="e">
        <f t="shared" si="473"/>
        <v>#N/A</v>
      </c>
      <c r="AM79" s="235" t="e">
        <f t="shared" si="437"/>
        <v>#N/A</v>
      </c>
      <c r="AN79" s="235" t="e">
        <f t="shared" si="438"/>
        <v>#N/A</v>
      </c>
      <c r="AO79" s="235" t="e">
        <f t="shared" si="439"/>
        <v>#N/A</v>
      </c>
      <c r="AP79" s="235" t="e">
        <f t="shared" si="440"/>
        <v>#N/A</v>
      </c>
      <c r="AQ79" s="235" t="e">
        <f t="shared" si="441"/>
        <v>#N/A</v>
      </c>
      <c r="AR79" s="101" t="e">
        <f t="shared" si="474"/>
        <v>#N/A</v>
      </c>
      <c r="AS79" s="235" t="e">
        <f t="shared" si="475"/>
        <v>#N/A</v>
      </c>
      <c r="AT79" s="235" t="e">
        <f t="shared" si="442"/>
        <v>#N/A</v>
      </c>
      <c r="AV79" s="10">
        <v>73</v>
      </c>
      <c r="AW79" s="10">
        <f t="shared" si="476"/>
        <v>118</v>
      </c>
      <c r="AX79" s="309" t="e">
        <f t="shared" si="477"/>
        <v>#N/A</v>
      </c>
      <c r="AY79" s="309" t="e">
        <f t="shared" si="478"/>
        <v>#N/A</v>
      </c>
      <c r="AZ79" s="309" t="e">
        <f t="shared" si="479"/>
        <v>#N/A</v>
      </c>
      <c r="BA79" s="235" t="e">
        <f t="shared" si="480"/>
        <v>#N/A</v>
      </c>
      <c r="BB79" s="235" t="e">
        <f t="shared" si="481"/>
        <v>#N/A</v>
      </c>
      <c r="BC79" s="309" t="e">
        <f t="shared" si="482"/>
        <v>#N/A</v>
      </c>
      <c r="BD79" s="235" t="e">
        <f t="shared" si="483"/>
        <v>#N/A</v>
      </c>
      <c r="BE79" s="235" t="e">
        <f t="shared" si="484"/>
        <v>#N/A</v>
      </c>
      <c r="BF79" s="235" t="e">
        <f t="shared" si="485"/>
        <v>#N/A</v>
      </c>
      <c r="BG79" s="235" t="e">
        <f t="shared" si="486"/>
        <v>#N/A</v>
      </c>
      <c r="BH79" s="235" t="e">
        <f t="shared" si="487"/>
        <v>#N/A</v>
      </c>
      <c r="BI79" s="235" t="e">
        <f t="shared" si="488"/>
        <v>#N/A</v>
      </c>
      <c r="BJ79" s="235" t="e">
        <f t="shared" si="489"/>
        <v>#N/A</v>
      </c>
      <c r="BK79" s="101" t="e">
        <f t="shared" si="443"/>
        <v>#N/A</v>
      </c>
      <c r="BL79" s="101" t="e">
        <f t="shared" si="444"/>
        <v>#N/A</v>
      </c>
      <c r="BM79" s="101" t="e">
        <f t="shared" si="445"/>
        <v>#N/A</v>
      </c>
      <c r="BN79" s="101" t="e">
        <f t="shared" si="446"/>
        <v>#N/A</v>
      </c>
      <c r="BO79" s="101" t="e">
        <f t="shared" si="447"/>
        <v>#N/A</v>
      </c>
      <c r="BP79" s="101" t="e">
        <f t="shared" si="490"/>
        <v>#N/A</v>
      </c>
      <c r="BQ79" s="235" t="e">
        <f t="shared" si="448"/>
        <v>#N/A</v>
      </c>
      <c r="BR79" s="235" t="e">
        <f t="shared" si="449"/>
        <v>#N/A</v>
      </c>
      <c r="BS79" s="235" t="e">
        <f t="shared" si="450"/>
        <v>#N/A</v>
      </c>
      <c r="BT79" s="235" t="e">
        <f t="shared" si="451"/>
        <v>#N/A</v>
      </c>
      <c r="BU79" s="235" t="e">
        <f t="shared" si="452"/>
        <v>#N/A</v>
      </c>
      <c r="BV79" s="235" t="e">
        <f t="shared" si="453"/>
        <v>#N/A</v>
      </c>
      <c r="BW79" s="101" t="e">
        <f t="shared" si="491"/>
        <v>#N/A</v>
      </c>
      <c r="BX79" s="235" t="e">
        <f t="shared" si="492"/>
        <v>#N/A</v>
      </c>
      <c r="BY79" s="235" t="e">
        <f t="shared" si="454"/>
        <v>#N/A</v>
      </c>
      <c r="CA79" s="23"/>
      <c r="CJ79" s="10">
        <v>71</v>
      </c>
      <c r="CK79" s="450">
        <v>0.43039416615682069</v>
      </c>
      <c r="CL79" s="450">
        <v>0.11375058691671391</v>
      </c>
      <c r="CM79" s="450">
        <v>0.43039416615682069</v>
      </c>
      <c r="CN79" s="450">
        <v>0.11375058691671391</v>
      </c>
      <c r="CO79" s="451">
        <v>7.9471306067821615E-2</v>
      </c>
      <c r="CP79" s="451">
        <v>7.9532895242204762E-2</v>
      </c>
      <c r="CQ79" s="451">
        <v>8.9200841155697264E-2</v>
      </c>
      <c r="CR79" s="451">
        <v>8.940348068190318E-2</v>
      </c>
      <c r="CS79" s="451">
        <v>7.8164163249781158</v>
      </c>
      <c r="CT79" s="451">
        <v>7.8374413007041133</v>
      </c>
      <c r="CU79" s="234">
        <v>-2.1024975725997486E-2</v>
      </c>
      <c r="CX79" s="377">
        <v>71</v>
      </c>
      <c r="CY79" s="335">
        <f t="shared" si="496"/>
        <v>1.6756E-2</v>
      </c>
      <c r="CZ79" s="338">
        <v>1.6756E-2</v>
      </c>
      <c r="DA79" s="345">
        <f t="shared" si="497"/>
        <v>5.3898227222001882E-2</v>
      </c>
      <c r="DB79" s="387">
        <f t="shared" si="498"/>
        <v>0.20330735078883622</v>
      </c>
      <c r="DC79" s="114">
        <f t="shared" si="522"/>
        <v>1.636462060932764E-2</v>
      </c>
      <c r="DD79" s="378">
        <f t="shared" si="523"/>
        <v>2.2639785091870257E-2</v>
      </c>
      <c r="DE79" s="378">
        <f t="shared" si="499"/>
        <v>1.8239615576414049E-2</v>
      </c>
      <c r="DF79" s="340">
        <f t="shared" si="524"/>
        <v>2.8972024416225373E-2</v>
      </c>
      <c r="DG79" s="378">
        <f t="shared" si="525"/>
        <v>1.4888060396937353E-2</v>
      </c>
      <c r="DH79" s="378">
        <f t="shared" si="500"/>
        <v>2.4763790237463078E-2</v>
      </c>
      <c r="DI79" s="340">
        <f>DI78+(DI88-DI78)/10</f>
        <v>0.66600000000000004</v>
      </c>
      <c r="DJ79" s="349">
        <f t="shared" ref="DJ79" si="554">DJ78+(DJ88-DJ78)/10</f>
        <v>0.61799999999999999</v>
      </c>
      <c r="DK79" s="350">
        <f t="shared" si="502"/>
        <v>0.65165778495997606</v>
      </c>
      <c r="DL79" s="345">
        <f t="shared" ref="DL79" si="555">DL78+(DL88-DL78)/10</f>
        <v>0.41299999999999998</v>
      </c>
      <c r="DM79" s="349">
        <f t="shared" ref="DM79" si="556">DM78+(DM88-DM78)/10</f>
        <v>0.152</v>
      </c>
      <c r="DN79" s="396">
        <f t="shared" si="505"/>
        <v>0.33501420571986923</v>
      </c>
      <c r="DO79" s="335">
        <f t="shared" si="534"/>
        <v>0</v>
      </c>
      <c r="DP79" s="350">
        <f t="shared" si="535"/>
        <v>0</v>
      </c>
      <c r="DQ79" s="349">
        <f t="shared" si="506"/>
        <v>0</v>
      </c>
      <c r="DR79" s="335">
        <f t="shared" si="536"/>
        <v>7.7142857142853405E-4</v>
      </c>
      <c r="DS79" s="350">
        <f t="shared" si="537"/>
        <v>1.2857142857143344E-3</v>
      </c>
      <c r="DT79" s="349">
        <f t="shared" si="507"/>
        <v>9.2509516114310322E-4</v>
      </c>
      <c r="DU79" s="335">
        <f>DU78+(DU83-DU78)/5</f>
        <v>0.46399999999999997</v>
      </c>
      <c r="DV79" s="350">
        <f>DV78+(DV83-DV78)/5</f>
        <v>0.46500000000000008</v>
      </c>
      <c r="DW79" s="350">
        <f t="shared" si="508"/>
        <v>0.46429879614666725</v>
      </c>
      <c r="DX79" s="335">
        <f>DX78+(DX83-DX78)/5</f>
        <v>0.99691428571428575</v>
      </c>
      <c r="DY79" s="350">
        <f>DY78+(DY83-DY78)/5</f>
        <v>0.94300000000000006</v>
      </c>
      <c r="DZ79" s="396">
        <f t="shared" si="509"/>
        <v>0.98080490489254446</v>
      </c>
      <c r="EA79" s="350">
        <f t="shared" si="510"/>
        <v>0</v>
      </c>
      <c r="EB79" s="350">
        <f t="shared" si="511"/>
        <v>0</v>
      </c>
      <c r="EC79" s="349">
        <f t="shared" si="512"/>
        <v>0</v>
      </c>
      <c r="ED79" s="335">
        <f t="shared" si="513"/>
        <v>1.034115870906871E-2</v>
      </c>
      <c r="EE79" s="350">
        <f t="shared" si="514"/>
        <v>8.2101114217552063E-3</v>
      </c>
      <c r="EF79" s="387">
        <f t="shared" si="515"/>
        <v>9.7044099912539147E-3</v>
      </c>
      <c r="EG79" s="335">
        <f t="shared" si="516"/>
        <v>2.8972024416225373E-2</v>
      </c>
      <c r="EH79" s="350">
        <f t="shared" si="517"/>
        <v>1.4888060396937353E-2</v>
      </c>
      <c r="EI79" s="387">
        <f t="shared" si="518"/>
        <v>2.4763790237463078E-2</v>
      </c>
      <c r="EJ79" s="335">
        <f t="shared" si="519"/>
        <v>9.0725933907607192E-3</v>
      </c>
      <c r="EK79" s="350">
        <f t="shared" si="520"/>
        <v>0</v>
      </c>
      <c r="EL79" s="387">
        <f t="shared" si="521"/>
        <v>6.3617374453234033E-3</v>
      </c>
      <c r="EO79" s="454">
        <v>10</v>
      </c>
      <c r="EP79" s="452"/>
      <c r="EQ79" s="458">
        <v>0</v>
      </c>
      <c r="ER79" s="458">
        <v>0</v>
      </c>
      <c r="ES79" s="458">
        <v>0</v>
      </c>
      <c r="ET79" s="347" t="e">
        <f t="shared" ref="ET79:ET88" si="557">(LN(ES79)-LN(ER79))/(2*z)</f>
        <v>#NUM!</v>
      </c>
      <c r="EU79" s="458">
        <f t="shared" ca="1" si="547"/>
        <v>0</v>
      </c>
      <c r="EV79" s="458">
        <f t="shared" si="548"/>
        <v>0</v>
      </c>
      <c r="EW79" s="396">
        <f t="shared" ref="EW79:EW88" si="558">1-EXP(-(EV79/1000))</f>
        <v>0</v>
      </c>
      <c r="EY79" s="361"/>
      <c r="EZ79" s="346" t="s">
        <v>244</v>
      </c>
      <c r="FA79" s="315" t="s">
        <v>79</v>
      </c>
      <c r="FB79" s="315" t="s">
        <v>81</v>
      </c>
      <c r="FC79" s="315" t="s">
        <v>162</v>
      </c>
      <c r="FD79" s="315" t="s">
        <v>21</v>
      </c>
      <c r="FE79" s="315" t="s">
        <v>163</v>
      </c>
      <c r="FF79" s="316" t="s">
        <v>247</v>
      </c>
    </row>
    <row r="80" spans="2:163" ht="15" customHeight="1" x14ac:dyDescent="0.2">
      <c r="B80" s="330" t="s">
        <v>293</v>
      </c>
      <c r="C80" s="101">
        <f t="shared" si="549"/>
        <v>2540</v>
      </c>
      <c r="D80" s="255"/>
      <c r="E80" s="101">
        <v>2540</v>
      </c>
      <c r="F80" s="101">
        <f t="shared" si="550"/>
        <v>2032</v>
      </c>
      <c r="G80" s="101">
        <f t="shared" si="551"/>
        <v>3048</v>
      </c>
      <c r="H80" s="101">
        <f t="shared" si="552"/>
        <v>259.18843611772428</v>
      </c>
      <c r="I80" s="118"/>
      <c r="J80" s="101">
        <f t="shared" ca="1" si="553"/>
        <v>2609.6876059847855</v>
      </c>
      <c r="K80" s="10" t="s">
        <v>43</v>
      </c>
      <c r="L80" s="10">
        <v>25</v>
      </c>
      <c r="M80" s="393" t="s">
        <v>329</v>
      </c>
      <c r="N80" s="393" t="s">
        <v>280</v>
      </c>
      <c r="Q80" s="10">
        <v>74</v>
      </c>
      <c r="R80" s="10">
        <f t="shared" si="431"/>
        <v>119</v>
      </c>
      <c r="S80" s="309" t="e">
        <f t="shared" si="459"/>
        <v>#N/A</v>
      </c>
      <c r="T80" s="309" t="e">
        <f t="shared" si="460"/>
        <v>#N/A</v>
      </c>
      <c r="U80" s="309" t="e">
        <f t="shared" si="461"/>
        <v>#N/A</v>
      </c>
      <c r="V80" s="235" t="e">
        <f t="shared" si="462"/>
        <v>#N/A</v>
      </c>
      <c r="W80" s="235" t="e">
        <f t="shared" si="463"/>
        <v>#N/A</v>
      </c>
      <c r="X80" s="309" t="e">
        <f t="shared" si="464"/>
        <v>#N/A</v>
      </c>
      <c r="Y80" s="235" t="e">
        <f t="shared" si="465"/>
        <v>#N/A</v>
      </c>
      <c r="Z80" s="235" t="e">
        <f t="shared" si="466"/>
        <v>#N/A</v>
      </c>
      <c r="AA80" s="235" t="e">
        <f t="shared" si="467"/>
        <v>#N/A</v>
      </c>
      <c r="AB80" s="235" t="e">
        <f t="shared" si="468"/>
        <v>#N/A</v>
      </c>
      <c r="AC80" s="235" t="e">
        <f t="shared" si="469"/>
        <v>#N/A</v>
      </c>
      <c r="AD80" s="235" t="e">
        <f t="shared" si="470"/>
        <v>#N/A</v>
      </c>
      <c r="AE80" s="235" t="e">
        <f t="shared" si="471"/>
        <v>#N/A</v>
      </c>
      <c r="AF80" s="101" t="e">
        <f t="shared" si="432"/>
        <v>#N/A</v>
      </c>
      <c r="AG80" s="101" t="e">
        <f t="shared" si="433"/>
        <v>#N/A</v>
      </c>
      <c r="AH80" s="101" t="e">
        <f t="shared" si="434"/>
        <v>#N/A</v>
      </c>
      <c r="AI80" s="101" t="e">
        <f t="shared" si="435"/>
        <v>#N/A</v>
      </c>
      <c r="AJ80" s="101" t="e">
        <f t="shared" si="436"/>
        <v>#N/A</v>
      </c>
      <c r="AK80" s="101" t="e">
        <f t="shared" si="472"/>
        <v>#N/A</v>
      </c>
      <c r="AL80" s="235" t="e">
        <f t="shared" si="473"/>
        <v>#N/A</v>
      </c>
      <c r="AM80" s="235" t="e">
        <f t="shared" si="437"/>
        <v>#N/A</v>
      </c>
      <c r="AN80" s="235" t="e">
        <f t="shared" si="438"/>
        <v>#N/A</v>
      </c>
      <c r="AO80" s="235" t="e">
        <f t="shared" si="439"/>
        <v>#N/A</v>
      </c>
      <c r="AP80" s="235" t="e">
        <f t="shared" si="440"/>
        <v>#N/A</v>
      </c>
      <c r="AQ80" s="235" t="e">
        <f t="shared" si="441"/>
        <v>#N/A</v>
      </c>
      <c r="AR80" s="101" t="e">
        <f t="shared" si="474"/>
        <v>#N/A</v>
      </c>
      <c r="AS80" s="235" t="e">
        <f t="shared" si="475"/>
        <v>#N/A</v>
      </c>
      <c r="AT80" s="235" t="e">
        <f t="shared" si="442"/>
        <v>#N/A</v>
      </c>
      <c r="AV80" s="10">
        <v>74</v>
      </c>
      <c r="AW80" s="10">
        <f t="shared" si="476"/>
        <v>119</v>
      </c>
      <c r="AX80" s="309" t="e">
        <f t="shared" si="477"/>
        <v>#N/A</v>
      </c>
      <c r="AY80" s="309" t="e">
        <f t="shared" si="478"/>
        <v>#N/A</v>
      </c>
      <c r="AZ80" s="309" t="e">
        <f t="shared" si="479"/>
        <v>#N/A</v>
      </c>
      <c r="BA80" s="235" t="e">
        <f t="shared" si="480"/>
        <v>#N/A</v>
      </c>
      <c r="BB80" s="235" t="e">
        <f t="shared" si="481"/>
        <v>#N/A</v>
      </c>
      <c r="BC80" s="309" t="e">
        <f t="shared" si="482"/>
        <v>#N/A</v>
      </c>
      <c r="BD80" s="235" t="e">
        <f t="shared" si="483"/>
        <v>#N/A</v>
      </c>
      <c r="BE80" s="235" t="e">
        <f t="shared" si="484"/>
        <v>#N/A</v>
      </c>
      <c r="BF80" s="235" t="e">
        <f t="shared" si="485"/>
        <v>#N/A</v>
      </c>
      <c r="BG80" s="235" t="e">
        <f t="shared" si="486"/>
        <v>#N/A</v>
      </c>
      <c r="BH80" s="235" t="e">
        <f t="shared" si="487"/>
        <v>#N/A</v>
      </c>
      <c r="BI80" s="235" t="e">
        <f t="shared" si="488"/>
        <v>#N/A</v>
      </c>
      <c r="BJ80" s="235" t="e">
        <f t="shared" si="489"/>
        <v>#N/A</v>
      </c>
      <c r="BK80" s="101" t="e">
        <f t="shared" si="443"/>
        <v>#N/A</v>
      </c>
      <c r="BL80" s="101" t="e">
        <f t="shared" si="444"/>
        <v>#N/A</v>
      </c>
      <c r="BM80" s="101" t="e">
        <f t="shared" si="445"/>
        <v>#N/A</v>
      </c>
      <c r="BN80" s="101" t="e">
        <f t="shared" si="446"/>
        <v>#N/A</v>
      </c>
      <c r="BO80" s="101" t="e">
        <f t="shared" si="447"/>
        <v>#N/A</v>
      </c>
      <c r="BP80" s="101" t="e">
        <f t="shared" si="490"/>
        <v>#N/A</v>
      </c>
      <c r="BQ80" s="235" t="e">
        <f t="shared" si="448"/>
        <v>#N/A</v>
      </c>
      <c r="BR80" s="235" t="e">
        <f t="shared" si="449"/>
        <v>#N/A</v>
      </c>
      <c r="BS80" s="235" t="e">
        <f t="shared" si="450"/>
        <v>#N/A</v>
      </c>
      <c r="BT80" s="235" t="e">
        <f t="shared" si="451"/>
        <v>#N/A</v>
      </c>
      <c r="BU80" s="235" t="e">
        <f t="shared" si="452"/>
        <v>#N/A</v>
      </c>
      <c r="BV80" s="235" t="e">
        <f t="shared" si="453"/>
        <v>#N/A</v>
      </c>
      <c r="BW80" s="101" t="e">
        <f t="shared" si="491"/>
        <v>#N/A</v>
      </c>
      <c r="BX80" s="235" t="e">
        <f t="shared" si="492"/>
        <v>#N/A</v>
      </c>
      <c r="BY80" s="235" t="e">
        <f t="shared" si="454"/>
        <v>#N/A</v>
      </c>
      <c r="CA80" s="23"/>
      <c r="CJ80" s="10">
        <v>72</v>
      </c>
      <c r="CK80" s="450">
        <v>0.43505306321637555</v>
      </c>
      <c r="CL80" s="450">
        <v>0.11451309553626719</v>
      </c>
      <c r="CM80" s="450">
        <v>0.43505306321637555</v>
      </c>
      <c r="CN80" s="450">
        <v>0.11451309553626719</v>
      </c>
      <c r="CO80" s="451">
        <v>7.507823416397387E-2</v>
      </c>
      <c r="CP80" s="451">
        <v>7.5123085188587055E-2</v>
      </c>
      <c r="CQ80" s="451">
        <v>8.2220199258936075E-2</v>
      </c>
      <c r="CR80" s="451">
        <v>8.2378384568129792E-2</v>
      </c>
      <c r="CS80" s="451">
        <v>7.5387665080262893</v>
      </c>
      <c r="CT80" s="451">
        <v>7.5598199718498273</v>
      </c>
      <c r="CU80" s="234">
        <v>-2.105346382353801E-2</v>
      </c>
      <c r="CX80" s="377">
        <v>72</v>
      </c>
      <c r="CY80" s="335">
        <f t="shared" si="496"/>
        <v>1.848E-2</v>
      </c>
      <c r="CZ80" s="338">
        <v>1.848E-2</v>
      </c>
      <c r="DA80" s="345">
        <f t="shared" si="497"/>
        <v>5.3898227222001882E-2</v>
      </c>
      <c r="DB80" s="387">
        <f t="shared" si="498"/>
        <v>0.20330735078883622</v>
      </c>
      <c r="DC80" s="114">
        <f t="shared" si="522"/>
        <v>1.636462060932764E-2</v>
      </c>
      <c r="DD80" s="378">
        <f t="shared" si="523"/>
        <v>2.2639785091870257E-2</v>
      </c>
      <c r="DE80" s="378">
        <f t="shared" si="499"/>
        <v>1.8239615576414049E-2</v>
      </c>
      <c r="DF80" s="340">
        <f t="shared" si="524"/>
        <v>2.8972024416225373E-2</v>
      </c>
      <c r="DG80" s="378">
        <f t="shared" si="525"/>
        <v>1.4888060396937353E-2</v>
      </c>
      <c r="DH80" s="378">
        <f t="shared" si="500"/>
        <v>2.4763790237463078E-2</v>
      </c>
      <c r="DI80" s="340">
        <f>DI79+(DI88-DI78)/10</f>
        <v>0.67200000000000004</v>
      </c>
      <c r="DJ80" s="349">
        <f t="shared" ref="DJ80" si="559">DJ79+(DJ88-DJ78)/10</f>
        <v>0.626</v>
      </c>
      <c r="DK80" s="350">
        <f t="shared" si="502"/>
        <v>0.6582553772533104</v>
      </c>
      <c r="DL80" s="345">
        <f t="shared" ref="DL80" si="560">DL79+(DL88-DL78)/10</f>
        <v>0.41599999999999998</v>
      </c>
      <c r="DM80" s="349">
        <f t="shared" ref="DM80" si="561">DM79+(DM88-DM78)/10</f>
        <v>0.154</v>
      </c>
      <c r="DN80" s="396">
        <f t="shared" si="505"/>
        <v>0.33771540957320206</v>
      </c>
      <c r="DO80" s="335">
        <f t="shared" si="534"/>
        <v>0</v>
      </c>
      <c r="DP80" s="350">
        <f t="shared" si="535"/>
        <v>0</v>
      </c>
      <c r="DQ80" s="349">
        <f t="shared" si="506"/>
        <v>0</v>
      </c>
      <c r="DR80" s="335">
        <f t="shared" si="536"/>
        <v>7.7142857142853405E-4</v>
      </c>
      <c r="DS80" s="350">
        <f t="shared" si="537"/>
        <v>1.2857142857143344E-3</v>
      </c>
      <c r="DT80" s="349">
        <f t="shared" si="507"/>
        <v>9.2509516114310322E-4</v>
      </c>
      <c r="DU80" s="335">
        <f>DU79+(DU83-DU78)/5</f>
        <v>0.46399999999999997</v>
      </c>
      <c r="DV80" s="350">
        <f>DV79+(DV83-DV78)/5</f>
        <v>0.46500000000000008</v>
      </c>
      <c r="DW80" s="350">
        <f t="shared" si="508"/>
        <v>0.46429879614666725</v>
      </c>
      <c r="DX80" s="335">
        <f>DX79+(DX83-DX78)/5</f>
        <v>0.99768571428571429</v>
      </c>
      <c r="DY80" s="350">
        <f>DY79+(DY83-DY78)/5</f>
        <v>0.94428571428571439</v>
      </c>
      <c r="DZ80" s="396">
        <f t="shared" si="509"/>
        <v>0.98173000005368749</v>
      </c>
      <c r="EA80" s="350">
        <f t="shared" si="510"/>
        <v>0</v>
      </c>
      <c r="EB80" s="350">
        <f t="shared" si="511"/>
        <v>0</v>
      </c>
      <c r="EC80" s="349">
        <f t="shared" si="512"/>
        <v>0</v>
      </c>
      <c r="ED80" s="335">
        <f t="shared" si="513"/>
        <v>1.034115870906871E-2</v>
      </c>
      <c r="EE80" s="350">
        <f t="shared" si="514"/>
        <v>8.2101114217552063E-3</v>
      </c>
      <c r="EF80" s="387">
        <f t="shared" si="515"/>
        <v>9.7044099912539147E-3</v>
      </c>
      <c r="EG80" s="335">
        <f t="shared" si="516"/>
        <v>2.8972024416225373E-2</v>
      </c>
      <c r="EH80" s="350">
        <f t="shared" si="517"/>
        <v>1.4888060396937353E-2</v>
      </c>
      <c r="EI80" s="387">
        <f t="shared" si="518"/>
        <v>2.4763790237463078E-2</v>
      </c>
      <c r="EJ80" s="335">
        <f t="shared" si="519"/>
        <v>9.0725933907607192E-3</v>
      </c>
      <c r="EK80" s="350">
        <f t="shared" si="520"/>
        <v>0</v>
      </c>
      <c r="EL80" s="387">
        <f t="shared" si="521"/>
        <v>6.3617374453234033E-3</v>
      </c>
      <c r="EO80" s="454">
        <v>20</v>
      </c>
      <c r="EP80" s="452" t="s">
        <v>196</v>
      </c>
      <c r="EQ80" s="458">
        <v>0</v>
      </c>
      <c r="ER80" s="458">
        <v>0</v>
      </c>
      <c r="ES80" s="458">
        <v>0</v>
      </c>
      <c r="ET80" s="347" t="e">
        <f t="shared" si="557"/>
        <v>#NUM!</v>
      </c>
      <c r="EU80" s="458">
        <f t="shared" ca="1" si="547"/>
        <v>0</v>
      </c>
      <c r="EV80" s="458">
        <f t="shared" si="548"/>
        <v>0</v>
      </c>
      <c r="EW80" s="396">
        <f t="shared" si="558"/>
        <v>0</v>
      </c>
      <c r="EY80" s="363">
        <v>0</v>
      </c>
      <c r="EZ80" s="346">
        <v>0</v>
      </c>
      <c r="FA80" s="347">
        <f t="shared" ref="FA80:FA100" si="562">EZ80*(1-owsa_boc)</f>
        <v>0</v>
      </c>
      <c r="FB80" s="347">
        <f t="shared" ref="FB80:FB100" si="563">EZ80*(1+owsa_boc)</f>
        <v>0</v>
      </c>
      <c r="FC80" s="33" t="e">
        <f t="shared" ref="FC80:FC100" si="564">EZ80^2*(1-EZ80)/((FB80-FA80)/(2*z))^2-EZ80</f>
        <v>#DIV/0!</v>
      </c>
      <c r="FD80" s="33" t="e">
        <f t="shared" ref="FD80:FD100" si="565">(EZ80^2*(1-EZ80)/((FB80-FA80)/(2*z))^2-EZ80)*(1-EZ80)/EZ80</f>
        <v>#DIV/0!</v>
      </c>
      <c r="FE80" s="308">
        <f ca="1">IFERROR(_xlfn.BETA.INV(RAND(),FC80,FD80),0)</f>
        <v>0</v>
      </c>
      <c r="FF80" s="364">
        <v>0</v>
      </c>
    </row>
    <row r="81" spans="2:162" ht="15" customHeight="1" x14ac:dyDescent="0.2">
      <c r="B81" s="330" t="s">
        <v>294</v>
      </c>
      <c r="C81" s="101">
        <f t="shared" si="549"/>
        <v>108499</v>
      </c>
      <c r="D81" s="255"/>
      <c r="E81" s="101">
        <v>108499</v>
      </c>
      <c r="F81" s="101">
        <f t="shared" si="550"/>
        <v>86799.200000000012</v>
      </c>
      <c r="G81" s="101">
        <f t="shared" si="551"/>
        <v>130198.79999999999</v>
      </c>
      <c r="H81" s="101">
        <f t="shared" si="552"/>
        <v>11071.529972573602</v>
      </c>
      <c r="I81" s="118"/>
      <c r="J81" s="101">
        <f t="shared" ca="1" si="553"/>
        <v>129041.72577127817</v>
      </c>
      <c r="K81" s="10" t="s">
        <v>43</v>
      </c>
      <c r="L81" s="10">
        <v>26</v>
      </c>
      <c r="M81" s="393" t="s">
        <v>330</v>
      </c>
      <c r="N81" s="393" t="s">
        <v>280</v>
      </c>
      <c r="Q81" s="10">
        <v>75</v>
      </c>
      <c r="R81" s="10">
        <f t="shared" si="431"/>
        <v>120</v>
      </c>
      <c r="S81" s="309" t="e">
        <f t="shared" si="459"/>
        <v>#N/A</v>
      </c>
      <c r="T81" s="309" t="e">
        <f t="shared" si="460"/>
        <v>#N/A</v>
      </c>
      <c r="U81" s="309" t="e">
        <f t="shared" si="461"/>
        <v>#N/A</v>
      </c>
      <c r="V81" s="235" t="e">
        <f t="shared" si="462"/>
        <v>#N/A</v>
      </c>
      <c r="W81" s="235" t="e">
        <f t="shared" si="463"/>
        <v>#N/A</v>
      </c>
      <c r="X81" s="309" t="e">
        <f t="shared" si="464"/>
        <v>#N/A</v>
      </c>
      <c r="Y81" s="235" t="e">
        <f t="shared" si="465"/>
        <v>#N/A</v>
      </c>
      <c r="Z81" s="235" t="e">
        <f t="shared" si="466"/>
        <v>#N/A</v>
      </c>
      <c r="AA81" s="235" t="e">
        <f t="shared" si="467"/>
        <v>#N/A</v>
      </c>
      <c r="AB81" s="235" t="e">
        <f t="shared" si="468"/>
        <v>#N/A</v>
      </c>
      <c r="AC81" s="235" t="e">
        <f t="shared" si="469"/>
        <v>#N/A</v>
      </c>
      <c r="AD81" s="235" t="e">
        <f t="shared" si="470"/>
        <v>#N/A</v>
      </c>
      <c r="AE81" s="235" t="e">
        <f t="shared" si="471"/>
        <v>#N/A</v>
      </c>
      <c r="AF81" s="101" t="e">
        <f t="shared" si="432"/>
        <v>#N/A</v>
      </c>
      <c r="AG81" s="101" t="e">
        <f t="shared" si="433"/>
        <v>#N/A</v>
      </c>
      <c r="AH81" s="101" t="e">
        <f t="shared" si="434"/>
        <v>#N/A</v>
      </c>
      <c r="AI81" s="101" t="e">
        <f t="shared" si="435"/>
        <v>#N/A</v>
      </c>
      <c r="AJ81" s="101" t="e">
        <f t="shared" si="436"/>
        <v>#N/A</v>
      </c>
      <c r="AK81" s="101" t="e">
        <f t="shared" si="472"/>
        <v>#N/A</v>
      </c>
      <c r="AL81" s="235" t="e">
        <f t="shared" si="473"/>
        <v>#N/A</v>
      </c>
      <c r="AM81" s="235" t="e">
        <f t="shared" si="437"/>
        <v>#N/A</v>
      </c>
      <c r="AN81" s="235" t="e">
        <f t="shared" si="438"/>
        <v>#N/A</v>
      </c>
      <c r="AO81" s="235" t="e">
        <f t="shared" si="439"/>
        <v>#N/A</v>
      </c>
      <c r="AP81" s="235" t="e">
        <f t="shared" si="440"/>
        <v>#N/A</v>
      </c>
      <c r="AQ81" s="235" t="e">
        <f t="shared" si="441"/>
        <v>#N/A</v>
      </c>
      <c r="AR81" s="101" t="e">
        <f t="shared" si="474"/>
        <v>#N/A</v>
      </c>
      <c r="AS81" s="235" t="e">
        <f t="shared" si="475"/>
        <v>#N/A</v>
      </c>
      <c r="AT81" s="235" t="e">
        <f t="shared" si="442"/>
        <v>#N/A</v>
      </c>
      <c r="AV81" s="10">
        <v>75</v>
      </c>
      <c r="AW81" s="10">
        <f t="shared" si="476"/>
        <v>120</v>
      </c>
      <c r="AX81" s="309" t="e">
        <f t="shared" si="477"/>
        <v>#N/A</v>
      </c>
      <c r="AY81" s="309" t="e">
        <f t="shared" si="478"/>
        <v>#N/A</v>
      </c>
      <c r="AZ81" s="309" t="e">
        <f t="shared" si="479"/>
        <v>#N/A</v>
      </c>
      <c r="BA81" s="235" t="e">
        <f t="shared" si="480"/>
        <v>#N/A</v>
      </c>
      <c r="BB81" s="235" t="e">
        <f t="shared" si="481"/>
        <v>#N/A</v>
      </c>
      <c r="BC81" s="309" t="e">
        <f t="shared" si="482"/>
        <v>#N/A</v>
      </c>
      <c r="BD81" s="235" t="e">
        <f t="shared" si="483"/>
        <v>#N/A</v>
      </c>
      <c r="BE81" s="235" t="e">
        <f t="shared" si="484"/>
        <v>#N/A</v>
      </c>
      <c r="BF81" s="235" t="e">
        <f t="shared" si="485"/>
        <v>#N/A</v>
      </c>
      <c r="BG81" s="235" t="e">
        <f t="shared" si="486"/>
        <v>#N/A</v>
      </c>
      <c r="BH81" s="235" t="e">
        <f t="shared" si="487"/>
        <v>#N/A</v>
      </c>
      <c r="BI81" s="235" t="e">
        <f t="shared" si="488"/>
        <v>#N/A</v>
      </c>
      <c r="BJ81" s="235" t="e">
        <f t="shared" si="489"/>
        <v>#N/A</v>
      </c>
      <c r="BK81" s="101" t="e">
        <f t="shared" si="443"/>
        <v>#N/A</v>
      </c>
      <c r="BL81" s="101" t="e">
        <f t="shared" si="444"/>
        <v>#N/A</v>
      </c>
      <c r="BM81" s="101" t="e">
        <f t="shared" si="445"/>
        <v>#N/A</v>
      </c>
      <c r="BN81" s="101" t="e">
        <f t="shared" si="446"/>
        <v>#N/A</v>
      </c>
      <c r="BO81" s="101" t="e">
        <f t="shared" si="447"/>
        <v>#N/A</v>
      </c>
      <c r="BP81" s="101" t="e">
        <f t="shared" si="490"/>
        <v>#N/A</v>
      </c>
      <c r="BQ81" s="235" t="e">
        <f t="shared" si="448"/>
        <v>#N/A</v>
      </c>
      <c r="BR81" s="235" t="e">
        <f t="shared" si="449"/>
        <v>#N/A</v>
      </c>
      <c r="BS81" s="235" t="e">
        <f t="shared" si="450"/>
        <v>#N/A</v>
      </c>
      <c r="BT81" s="235" t="e">
        <f t="shared" si="451"/>
        <v>#N/A</v>
      </c>
      <c r="BU81" s="235" t="e">
        <f t="shared" si="452"/>
        <v>#N/A</v>
      </c>
      <c r="BV81" s="235" t="e">
        <f t="shared" si="453"/>
        <v>#N/A</v>
      </c>
      <c r="BW81" s="101" t="e">
        <f t="shared" si="491"/>
        <v>#N/A</v>
      </c>
      <c r="BX81" s="235" t="e">
        <f t="shared" si="492"/>
        <v>#N/A</v>
      </c>
      <c r="BY81" s="235" t="e">
        <f t="shared" si="454"/>
        <v>#N/A</v>
      </c>
      <c r="CA81" s="23"/>
      <c r="CJ81" s="10">
        <v>73</v>
      </c>
      <c r="CK81" s="450">
        <v>0.43971237029538668</v>
      </c>
      <c r="CL81" s="450">
        <v>0.11527601417527684</v>
      </c>
      <c r="CM81" s="450">
        <v>0.43971237029538668</v>
      </c>
      <c r="CN81" s="450">
        <v>0.11527601417527684</v>
      </c>
      <c r="CO81" s="451">
        <v>7.0686054324964442E-2</v>
      </c>
      <c r="CP81" s="451">
        <v>7.071386704614914E-2</v>
      </c>
      <c r="CQ81" s="451">
        <v>7.5146981898460696E-2</v>
      </c>
      <c r="CR81" s="451">
        <v>7.5262761908859901E-2</v>
      </c>
      <c r="CS81" s="451">
        <v>7.246141558239664</v>
      </c>
      <c r="CT81" s="451">
        <v>7.2672159813841954</v>
      </c>
      <c r="CU81" s="234">
        <v>-2.1074423144531451E-2</v>
      </c>
      <c r="CX81" s="377">
        <v>73</v>
      </c>
      <c r="CY81" s="335">
        <f t="shared" si="496"/>
        <v>2.0353E-2</v>
      </c>
      <c r="CZ81" s="338">
        <v>2.0353E-2</v>
      </c>
      <c r="DA81" s="345">
        <f t="shared" si="497"/>
        <v>5.3898227222001882E-2</v>
      </c>
      <c r="DB81" s="387">
        <f t="shared" si="498"/>
        <v>0.20330735078883622</v>
      </c>
      <c r="DC81" s="114">
        <f t="shared" si="522"/>
        <v>1.636462060932764E-2</v>
      </c>
      <c r="DD81" s="378">
        <f t="shared" si="523"/>
        <v>2.2639785091870257E-2</v>
      </c>
      <c r="DE81" s="378">
        <f t="shared" si="499"/>
        <v>1.8239615576414049E-2</v>
      </c>
      <c r="DF81" s="340">
        <f t="shared" si="524"/>
        <v>2.8972024416225373E-2</v>
      </c>
      <c r="DG81" s="378">
        <f t="shared" si="525"/>
        <v>1.4888060396937353E-2</v>
      </c>
      <c r="DH81" s="378">
        <f t="shared" si="500"/>
        <v>2.4763790237463078E-2</v>
      </c>
      <c r="DI81" s="340">
        <f>DI80+(DI88-DI78)/10</f>
        <v>0.67800000000000005</v>
      </c>
      <c r="DJ81" s="349">
        <f t="shared" ref="DJ81" si="566">DJ80+(DJ88-DJ78)/10</f>
        <v>0.63400000000000001</v>
      </c>
      <c r="DK81" s="350">
        <f t="shared" si="502"/>
        <v>0.66485296954664475</v>
      </c>
      <c r="DL81" s="345">
        <f t="shared" ref="DL81" si="567">DL80+(DL88-DL78)/10</f>
        <v>0.41899999999999998</v>
      </c>
      <c r="DM81" s="349">
        <f t="shared" ref="DM81" si="568">DM80+(DM88-DM78)/10</f>
        <v>0.156</v>
      </c>
      <c r="DN81" s="396">
        <f t="shared" si="505"/>
        <v>0.3404166134265349</v>
      </c>
      <c r="DO81" s="335">
        <f t="shared" si="534"/>
        <v>0</v>
      </c>
      <c r="DP81" s="350">
        <f t="shared" si="535"/>
        <v>0</v>
      </c>
      <c r="DQ81" s="349">
        <f t="shared" si="506"/>
        <v>0</v>
      </c>
      <c r="DR81" s="335">
        <f t="shared" si="536"/>
        <v>7.7142857142853405E-4</v>
      </c>
      <c r="DS81" s="350">
        <f t="shared" si="537"/>
        <v>1.2857142857143344E-3</v>
      </c>
      <c r="DT81" s="349">
        <f t="shared" si="507"/>
        <v>9.2509516114310322E-4</v>
      </c>
      <c r="DU81" s="335">
        <f>DU80+(DU83-DU78)/5</f>
        <v>0.46399999999999997</v>
      </c>
      <c r="DV81" s="350">
        <f>DV80+(DV83-DV78)/5</f>
        <v>0.46500000000000008</v>
      </c>
      <c r="DW81" s="350">
        <f t="shared" si="508"/>
        <v>0.46429879614666725</v>
      </c>
      <c r="DX81" s="335">
        <f>DX80+(DX83-DX78)/5</f>
        <v>0.99845714285714282</v>
      </c>
      <c r="DY81" s="350">
        <f>DY80+(DY83-DY78)/5</f>
        <v>0.94557142857142873</v>
      </c>
      <c r="DZ81" s="396">
        <f t="shared" si="509"/>
        <v>0.98265509521483074</v>
      </c>
      <c r="EA81" s="350">
        <f t="shared" si="510"/>
        <v>0</v>
      </c>
      <c r="EB81" s="350">
        <f t="shared" si="511"/>
        <v>0</v>
      </c>
      <c r="EC81" s="349">
        <f t="shared" si="512"/>
        <v>0</v>
      </c>
      <c r="ED81" s="335">
        <f t="shared" si="513"/>
        <v>1.034115870906871E-2</v>
      </c>
      <c r="EE81" s="350">
        <f t="shared" si="514"/>
        <v>8.2101114217552063E-3</v>
      </c>
      <c r="EF81" s="387">
        <f t="shared" si="515"/>
        <v>9.7044099912539147E-3</v>
      </c>
      <c r="EG81" s="335">
        <f t="shared" si="516"/>
        <v>2.8972024416225373E-2</v>
      </c>
      <c r="EH81" s="350">
        <f t="shared" si="517"/>
        <v>1.4888060396937353E-2</v>
      </c>
      <c r="EI81" s="387">
        <f t="shared" si="518"/>
        <v>2.4763790237463078E-2</v>
      </c>
      <c r="EJ81" s="335">
        <f t="shared" si="519"/>
        <v>9.0725933907607192E-3</v>
      </c>
      <c r="EK81" s="350">
        <f t="shared" si="520"/>
        <v>0</v>
      </c>
      <c r="EL81" s="387">
        <f t="shared" si="521"/>
        <v>6.3617374453234033E-3</v>
      </c>
      <c r="EO81" s="454">
        <v>30</v>
      </c>
      <c r="EP81" s="452" t="s">
        <v>197</v>
      </c>
      <c r="EQ81" s="458">
        <v>4.8</v>
      </c>
      <c r="ER81" s="458">
        <v>2</v>
      </c>
      <c r="ES81" s="458">
        <v>11.5</v>
      </c>
      <c r="ET81" s="347">
        <f t="shared" si="557"/>
        <v>0.44623265238716747</v>
      </c>
      <c r="EU81" s="458">
        <f t="shared" ca="1" si="547"/>
        <v>4.3697300663533563</v>
      </c>
      <c r="EV81" s="458">
        <f t="shared" si="548"/>
        <v>4.8</v>
      </c>
      <c r="EW81" s="396">
        <f t="shared" si="558"/>
        <v>4.7884984099028083E-3</v>
      </c>
      <c r="EY81" s="363">
        <v>5</v>
      </c>
      <c r="EZ81" s="346">
        <v>0</v>
      </c>
      <c r="FA81" s="347">
        <f t="shared" si="562"/>
        <v>0</v>
      </c>
      <c r="FB81" s="347">
        <f t="shared" si="563"/>
        <v>0</v>
      </c>
      <c r="FC81" s="33" t="e">
        <f t="shared" si="564"/>
        <v>#DIV/0!</v>
      </c>
      <c r="FD81" s="33" t="e">
        <f t="shared" si="565"/>
        <v>#DIV/0!</v>
      </c>
      <c r="FE81" s="308">
        <f t="shared" ref="FE81:FE100" ca="1" si="569">IFERROR(_xlfn.BETA.INV(RAND(),FC81,FD81),0)</f>
        <v>0</v>
      </c>
      <c r="FF81" s="364">
        <f t="shared" ref="FF81:FF100" si="570">MIN(1,FF80+IF(psa,FE81,EZ81))</f>
        <v>0</v>
      </c>
    </row>
    <row r="82" spans="2:162" ht="15" customHeight="1" x14ac:dyDescent="0.2">
      <c r="B82" s="330" t="s">
        <v>295</v>
      </c>
      <c r="C82" s="101">
        <f t="shared" si="549"/>
        <v>113682</v>
      </c>
      <c r="D82" s="255"/>
      <c r="E82" s="101">
        <v>113682</v>
      </c>
      <c r="F82" s="101">
        <f t="shared" si="550"/>
        <v>90945.600000000006</v>
      </c>
      <c r="G82" s="101">
        <f t="shared" si="551"/>
        <v>136418.4</v>
      </c>
      <c r="H82" s="101">
        <f t="shared" si="552"/>
        <v>11600.417242021702</v>
      </c>
      <c r="I82" s="118"/>
      <c r="J82" s="101">
        <f t="shared" ca="1" si="553"/>
        <v>120230.69841758243</v>
      </c>
      <c r="K82" s="10" t="s">
        <v>43</v>
      </c>
      <c r="L82" s="10">
        <v>27</v>
      </c>
      <c r="M82" s="393" t="s">
        <v>333</v>
      </c>
      <c r="N82" s="393" t="s">
        <v>280</v>
      </c>
      <c r="Q82" s="10">
        <v>76</v>
      </c>
      <c r="R82" s="10">
        <f t="shared" si="431"/>
        <v>121</v>
      </c>
      <c r="S82" s="309" t="e">
        <f t="shared" si="459"/>
        <v>#N/A</v>
      </c>
      <c r="T82" s="309" t="e">
        <f t="shared" si="460"/>
        <v>#N/A</v>
      </c>
      <c r="U82" s="309" t="e">
        <f t="shared" si="461"/>
        <v>#N/A</v>
      </c>
      <c r="V82" s="235" t="e">
        <f t="shared" si="462"/>
        <v>#N/A</v>
      </c>
      <c r="W82" s="235" t="e">
        <f t="shared" si="463"/>
        <v>#N/A</v>
      </c>
      <c r="X82" s="309" t="e">
        <f t="shared" si="464"/>
        <v>#N/A</v>
      </c>
      <c r="Y82" s="235" t="e">
        <f t="shared" si="465"/>
        <v>#N/A</v>
      </c>
      <c r="Z82" s="235" t="e">
        <f t="shared" si="466"/>
        <v>#N/A</v>
      </c>
      <c r="AA82" s="235" t="e">
        <f t="shared" si="467"/>
        <v>#N/A</v>
      </c>
      <c r="AB82" s="235" t="e">
        <f t="shared" si="468"/>
        <v>#N/A</v>
      </c>
      <c r="AC82" s="235" t="e">
        <f t="shared" si="469"/>
        <v>#N/A</v>
      </c>
      <c r="AD82" s="235" t="e">
        <f t="shared" si="470"/>
        <v>#N/A</v>
      </c>
      <c r="AE82" s="235" t="e">
        <f t="shared" si="471"/>
        <v>#N/A</v>
      </c>
      <c r="AF82" s="101" t="e">
        <f t="shared" si="432"/>
        <v>#N/A</v>
      </c>
      <c r="AG82" s="101" t="e">
        <f t="shared" si="433"/>
        <v>#N/A</v>
      </c>
      <c r="AH82" s="101" t="e">
        <f t="shared" si="434"/>
        <v>#N/A</v>
      </c>
      <c r="AI82" s="101" t="e">
        <f t="shared" si="435"/>
        <v>#N/A</v>
      </c>
      <c r="AJ82" s="101" t="e">
        <f t="shared" si="436"/>
        <v>#N/A</v>
      </c>
      <c r="AK82" s="101" t="e">
        <f t="shared" si="472"/>
        <v>#N/A</v>
      </c>
      <c r="AL82" s="235" t="e">
        <f t="shared" si="473"/>
        <v>#N/A</v>
      </c>
      <c r="AM82" s="235" t="e">
        <f t="shared" si="437"/>
        <v>#N/A</v>
      </c>
      <c r="AN82" s="235" t="e">
        <f t="shared" si="438"/>
        <v>#N/A</v>
      </c>
      <c r="AO82" s="235" t="e">
        <f t="shared" si="439"/>
        <v>#N/A</v>
      </c>
      <c r="AP82" s="235" t="e">
        <f t="shared" si="440"/>
        <v>#N/A</v>
      </c>
      <c r="AQ82" s="235" t="e">
        <f t="shared" si="441"/>
        <v>#N/A</v>
      </c>
      <c r="AR82" s="101" t="e">
        <f t="shared" si="474"/>
        <v>#N/A</v>
      </c>
      <c r="AS82" s="235" t="e">
        <f t="shared" si="475"/>
        <v>#N/A</v>
      </c>
      <c r="AT82" s="235" t="e">
        <f t="shared" si="442"/>
        <v>#N/A</v>
      </c>
      <c r="AV82" s="10">
        <v>76</v>
      </c>
      <c r="AW82" s="10">
        <f t="shared" si="476"/>
        <v>121</v>
      </c>
      <c r="AX82" s="309" t="e">
        <f t="shared" si="477"/>
        <v>#N/A</v>
      </c>
      <c r="AY82" s="309" t="e">
        <f t="shared" si="478"/>
        <v>#N/A</v>
      </c>
      <c r="AZ82" s="309" t="e">
        <f t="shared" si="479"/>
        <v>#N/A</v>
      </c>
      <c r="BA82" s="235" t="e">
        <f t="shared" si="480"/>
        <v>#N/A</v>
      </c>
      <c r="BB82" s="235" t="e">
        <f t="shared" si="481"/>
        <v>#N/A</v>
      </c>
      <c r="BC82" s="309" t="e">
        <f t="shared" si="482"/>
        <v>#N/A</v>
      </c>
      <c r="BD82" s="235" t="e">
        <f t="shared" si="483"/>
        <v>#N/A</v>
      </c>
      <c r="BE82" s="235" t="e">
        <f t="shared" si="484"/>
        <v>#N/A</v>
      </c>
      <c r="BF82" s="235" t="e">
        <f t="shared" si="485"/>
        <v>#N/A</v>
      </c>
      <c r="BG82" s="235" t="e">
        <f t="shared" si="486"/>
        <v>#N/A</v>
      </c>
      <c r="BH82" s="235" t="e">
        <f t="shared" si="487"/>
        <v>#N/A</v>
      </c>
      <c r="BI82" s="235" t="e">
        <f t="shared" si="488"/>
        <v>#N/A</v>
      </c>
      <c r="BJ82" s="235" t="e">
        <f t="shared" si="489"/>
        <v>#N/A</v>
      </c>
      <c r="BK82" s="101" t="e">
        <f t="shared" si="443"/>
        <v>#N/A</v>
      </c>
      <c r="BL82" s="101" t="e">
        <f t="shared" si="444"/>
        <v>#N/A</v>
      </c>
      <c r="BM82" s="101" t="e">
        <f t="shared" si="445"/>
        <v>#N/A</v>
      </c>
      <c r="BN82" s="101" t="e">
        <f t="shared" si="446"/>
        <v>#N/A</v>
      </c>
      <c r="BO82" s="101" t="e">
        <f t="shared" si="447"/>
        <v>#N/A</v>
      </c>
      <c r="BP82" s="101" t="e">
        <f t="shared" si="490"/>
        <v>#N/A</v>
      </c>
      <c r="BQ82" s="235" t="e">
        <f t="shared" si="448"/>
        <v>#N/A</v>
      </c>
      <c r="BR82" s="235" t="e">
        <f t="shared" si="449"/>
        <v>#N/A</v>
      </c>
      <c r="BS82" s="235" t="e">
        <f t="shared" si="450"/>
        <v>#N/A</v>
      </c>
      <c r="BT82" s="235" t="e">
        <f t="shared" si="451"/>
        <v>#N/A</v>
      </c>
      <c r="BU82" s="235" t="e">
        <f t="shared" si="452"/>
        <v>#N/A</v>
      </c>
      <c r="BV82" s="235" t="e">
        <f t="shared" si="453"/>
        <v>#N/A</v>
      </c>
      <c r="BW82" s="101" t="e">
        <f t="shared" si="491"/>
        <v>#N/A</v>
      </c>
      <c r="BX82" s="235" t="e">
        <f t="shared" si="492"/>
        <v>#N/A</v>
      </c>
      <c r="BY82" s="235" t="e">
        <f t="shared" si="454"/>
        <v>#N/A</v>
      </c>
      <c r="CA82" s="23"/>
      <c r="CJ82" s="10">
        <v>74</v>
      </c>
      <c r="CK82" s="450">
        <v>0.44437207612003338</v>
      </c>
      <c r="CL82" s="450">
        <v>0.11603933155992219</v>
      </c>
      <c r="CM82" s="450">
        <v>0.44437207612003338</v>
      </c>
      <c r="CN82" s="450">
        <v>0.11603933155992219</v>
      </c>
      <c r="CO82" s="451">
        <v>6.6288621094367173E-2</v>
      </c>
      <c r="CP82" s="451">
        <v>6.6299058860347218E-2</v>
      </c>
      <c r="CQ82" s="451">
        <v>6.7959988006964109E-2</v>
      </c>
      <c r="CR82" s="451">
        <v>6.8035475000812917E-2</v>
      </c>
      <c r="CS82" s="451">
        <v>6.9366342391622657</v>
      </c>
      <c r="CT82" s="451">
        <v>6.957720563212531</v>
      </c>
      <c r="CU82" s="234">
        <v>-2.1086324050265226E-2</v>
      </c>
      <c r="CX82" s="377">
        <v>74</v>
      </c>
      <c r="CY82" s="335">
        <f t="shared" si="496"/>
        <v>2.2372E-2</v>
      </c>
      <c r="CZ82" s="338">
        <v>2.2372E-2</v>
      </c>
      <c r="DA82" s="345">
        <f t="shared" si="497"/>
        <v>5.3898227222001882E-2</v>
      </c>
      <c r="DB82" s="387">
        <f t="shared" si="498"/>
        <v>0.20330735078883622</v>
      </c>
      <c r="DC82" s="114">
        <f t="shared" si="522"/>
        <v>1.636462060932764E-2</v>
      </c>
      <c r="DD82" s="378">
        <f t="shared" si="523"/>
        <v>2.2639785091870257E-2</v>
      </c>
      <c r="DE82" s="378">
        <f t="shared" si="499"/>
        <v>1.8239615576414049E-2</v>
      </c>
      <c r="DF82" s="340">
        <f t="shared" si="524"/>
        <v>2.8972024416225373E-2</v>
      </c>
      <c r="DG82" s="378">
        <f t="shared" si="525"/>
        <v>1.4888060396937353E-2</v>
      </c>
      <c r="DH82" s="378">
        <f t="shared" si="500"/>
        <v>2.4763790237463078E-2</v>
      </c>
      <c r="DI82" s="340">
        <f>DI81+(DI88-DI78)/10</f>
        <v>0.68400000000000005</v>
      </c>
      <c r="DJ82" s="349">
        <f t="shared" ref="DJ82" si="571">DJ81+(DJ88-DJ78)/10</f>
        <v>0.64200000000000002</v>
      </c>
      <c r="DK82" s="350">
        <f t="shared" si="502"/>
        <v>0.67145056183997898</v>
      </c>
      <c r="DL82" s="345">
        <f t="shared" ref="DL82" si="572">DL81+(DL88-DL78)/10</f>
        <v>0.42199999999999999</v>
      </c>
      <c r="DM82" s="349">
        <f t="shared" ref="DM82" si="573">DM81+(DM88-DM78)/10</f>
        <v>0.158</v>
      </c>
      <c r="DN82" s="396">
        <f t="shared" si="505"/>
        <v>0.34311781727986773</v>
      </c>
      <c r="DO82" s="335">
        <f t="shared" si="534"/>
        <v>0</v>
      </c>
      <c r="DP82" s="350">
        <f t="shared" si="535"/>
        <v>0</v>
      </c>
      <c r="DQ82" s="349">
        <f t="shared" si="506"/>
        <v>0</v>
      </c>
      <c r="DR82" s="335">
        <f t="shared" si="536"/>
        <v>7.7142857142853405E-4</v>
      </c>
      <c r="DS82" s="350">
        <f t="shared" si="537"/>
        <v>1.2857142857143344E-3</v>
      </c>
      <c r="DT82" s="349">
        <f t="shared" si="507"/>
        <v>9.2509516114310322E-4</v>
      </c>
      <c r="DU82" s="335">
        <f>DU81+(DU83-DU78)/5</f>
        <v>0.46399999999999997</v>
      </c>
      <c r="DV82" s="350">
        <f>DV81+(DV83-DV78)/5</f>
        <v>0.46500000000000008</v>
      </c>
      <c r="DW82" s="350">
        <f t="shared" si="508"/>
        <v>0.46429879614666725</v>
      </c>
      <c r="DX82" s="335">
        <f>DX81+(DX83-DX78)/5</f>
        <v>0.99922857142857135</v>
      </c>
      <c r="DY82" s="350">
        <f>DY81+(DY83-DY78)/5</f>
        <v>0.94685714285714306</v>
      </c>
      <c r="DZ82" s="396">
        <f t="shared" si="509"/>
        <v>0.98358019037597377</v>
      </c>
      <c r="EA82" s="350">
        <f t="shared" si="510"/>
        <v>0</v>
      </c>
      <c r="EB82" s="350">
        <f t="shared" si="511"/>
        <v>0</v>
      </c>
      <c r="EC82" s="349">
        <f t="shared" si="512"/>
        <v>0</v>
      </c>
      <c r="ED82" s="335">
        <f t="shared" si="513"/>
        <v>1.034115870906871E-2</v>
      </c>
      <c r="EE82" s="350">
        <f t="shared" si="514"/>
        <v>8.2101114217552063E-3</v>
      </c>
      <c r="EF82" s="387">
        <f t="shared" si="515"/>
        <v>9.7044099912539147E-3</v>
      </c>
      <c r="EG82" s="335">
        <f t="shared" si="516"/>
        <v>2.8972024416225373E-2</v>
      </c>
      <c r="EH82" s="350">
        <f t="shared" si="517"/>
        <v>1.4888060396937353E-2</v>
      </c>
      <c r="EI82" s="387">
        <f t="shared" si="518"/>
        <v>2.4763790237463078E-2</v>
      </c>
      <c r="EJ82" s="335">
        <f t="shared" si="519"/>
        <v>9.0725933907607192E-3</v>
      </c>
      <c r="EK82" s="350">
        <f t="shared" si="520"/>
        <v>0</v>
      </c>
      <c r="EL82" s="387">
        <f t="shared" si="521"/>
        <v>6.3617374453234033E-3</v>
      </c>
      <c r="EO82" s="454">
        <v>40</v>
      </c>
      <c r="EP82" s="452" t="s">
        <v>198</v>
      </c>
      <c r="EQ82" s="458">
        <v>10.8</v>
      </c>
      <c r="ER82" s="458">
        <v>7.2</v>
      </c>
      <c r="ES82" s="458">
        <v>16.2</v>
      </c>
      <c r="ET82" s="347">
        <f t="shared" si="557"/>
        <v>0.20687375447019507</v>
      </c>
      <c r="EU82" s="458">
        <f t="shared" ca="1" si="547"/>
        <v>9.8932773777123817</v>
      </c>
      <c r="EV82" s="458">
        <f t="shared" si="548"/>
        <v>10.8</v>
      </c>
      <c r="EW82" s="396">
        <f t="shared" si="558"/>
        <v>1.0741889386351788E-2</v>
      </c>
      <c r="EY82" s="363">
        <v>10</v>
      </c>
      <c r="EZ82" s="346">
        <v>0</v>
      </c>
      <c r="FA82" s="347">
        <f t="shared" si="562"/>
        <v>0</v>
      </c>
      <c r="FB82" s="347">
        <f t="shared" si="563"/>
        <v>0</v>
      </c>
      <c r="FC82" s="33" t="e">
        <f t="shared" si="564"/>
        <v>#DIV/0!</v>
      </c>
      <c r="FD82" s="33" t="e">
        <f t="shared" si="565"/>
        <v>#DIV/0!</v>
      </c>
      <c r="FE82" s="308">
        <f t="shared" ca="1" si="569"/>
        <v>0</v>
      </c>
      <c r="FF82" s="364">
        <f t="shared" si="570"/>
        <v>0</v>
      </c>
    </row>
    <row r="83" spans="2:162" ht="15" customHeight="1" x14ac:dyDescent="0.2">
      <c r="B83" s="330" t="s">
        <v>296</v>
      </c>
      <c r="C83" s="101">
        <f t="shared" si="549"/>
        <v>9547</v>
      </c>
      <c r="D83" s="255"/>
      <c r="E83" s="101">
        <v>9547</v>
      </c>
      <c r="F83" s="101">
        <f t="shared" si="550"/>
        <v>7637.6</v>
      </c>
      <c r="G83" s="101">
        <f t="shared" si="551"/>
        <v>11456.4</v>
      </c>
      <c r="H83" s="101">
        <f t="shared" si="552"/>
        <v>974.20157465193427</v>
      </c>
      <c r="I83" s="118"/>
      <c r="J83" s="101">
        <f t="shared" ca="1" si="553"/>
        <v>10011.884209149106</v>
      </c>
      <c r="K83" s="10" t="s">
        <v>43</v>
      </c>
      <c r="L83" s="10">
        <v>28</v>
      </c>
      <c r="M83" s="393" t="s">
        <v>331</v>
      </c>
      <c r="N83" s="393" t="s">
        <v>280</v>
      </c>
      <c r="Q83" s="10">
        <v>77</v>
      </c>
      <c r="R83" s="10">
        <f t="shared" si="431"/>
        <v>122</v>
      </c>
      <c r="S83" s="309" t="e">
        <f t="shared" si="459"/>
        <v>#N/A</v>
      </c>
      <c r="T83" s="309" t="e">
        <f t="shared" si="460"/>
        <v>#N/A</v>
      </c>
      <c r="U83" s="309" t="e">
        <f t="shared" si="461"/>
        <v>#N/A</v>
      </c>
      <c r="V83" s="235" t="e">
        <f t="shared" si="462"/>
        <v>#N/A</v>
      </c>
      <c r="W83" s="235" t="e">
        <f t="shared" si="463"/>
        <v>#N/A</v>
      </c>
      <c r="X83" s="309" t="e">
        <f t="shared" si="464"/>
        <v>#N/A</v>
      </c>
      <c r="Y83" s="235" t="e">
        <f t="shared" si="465"/>
        <v>#N/A</v>
      </c>
      <c r="Z83" s="235" t="e">
        <f t="shared" si="466"/>
        <v>#N/A</v>
      </c>
      <c r="AA83" s="235" t="e">
        <f t="shared" si="467"/>
        <v>#N/A</v>
      </c>
      <c r="AB83" s="235" t="e">
        <f t="shared" si="468"/>
        <v>#N/A</v>
      </c>
      <c r="AC83" s="235" t="e">
        <f t="shared" si="469"/>
        <v>#N/A</v>
      </c>
      <c r="AD83" s="235" t="e">
        <f t="shared" si="470"/>
        <v>#N/A</v>
      </c>
      <c r="AE83" s="235" t="e">
        <f t="shared" si="471"/>
        <v>#N/A</v>
      </c>
      <c r="AF83" s="101" t="e">
        <f t="shared" si="432"/>
        <v>#N/A</v>
      </c>
      <c r="AG83" s="101" t="e">
        <f t="shared" si="433"/>
        <v>#N/A</v>
      </c>
      <c r="AH83" s="101" t="e">
        <f t="shared" si="434"/>
        <v>#N/A</v>
      </c>
      <c r="AI83" s="101" t="e">
        <f t="shared" si="435"/>
        <v>#N/A</v>
      </c>
      <c r="AJ83" s="101" t="e">
        <f t="shared" si="436"/>
        <v>#N/A</v>
      </c>
      <c r="AK83" s="101" t="e">
        <f t="shared" si="472"/>
        <v>#N/A</v>
      </c>
      <c r="AL83" s="235" t="e">
        <f t="shared" si="473"/>
        <v>#N/A</v>
      </c>
      <c r="AM83" s="235" t="e">
        <f t="shared" si="437"/>
        <v>#N/A</v>
      </c>
      <c r="AN83" s="235" t="e">
        <f t="shared" si="438"/>
        <v>#N/A</v>
      </c>
      <c r="AO83" s="235" t="e">
        <f t="shared" si="439"/>
        <v>#N/A</v>
      </c>
      <c r="AP83" s="235" t="e">
        <f t="shared" si="440"/>
        <v>#N/A</v>
      </c>
      <c r="AQ83" s="235" t="e">
        <f t="shared" si="441"/>
        <v>#N/A</v>
      </c>
      <c r="AR83" s="101" t="e">
        <f t="shared" si="474"/>
        <v>#N/A</v>
      </c>
      <c r="AS83" s="235" t="e">
        <f t="shared" si="475"/>
        <v>#N/A</v>
      </c>
      <c r="AT83" s="235" t="e">
        <f t="shared" si="442"/>
        <v>#N/A</v>
      </c>
      <c r="AV83" s="10">
        <v>77</v>
      </c>
      <c r="AW83" s="10">
        <f t="shared" si="476"/>
        <v>122</v>
      </c>
      <c r="AX83" s="309" t="e">
        <f t="shared" si="477"/>
        <v>#N/A</v>
      </c>
      <c r="AY83" s="309" t="e">
        <f t="shared" si="478"/>
        <v>#N/A</v>
      </c>
      <c r="AZ83" s="309" t="e">
        <f t="shared" si="479"/>
        <v>#N/A</v>
      </c>
      <c r="BA83" s="235" t="e">
        <f t="shared" si="480"/>
        <v>#N/A</v>
      </c>
      <c r="BB83" s="235" t="e">
        <f t="shared" si="481"/>
        <v>#N/A</v>
      </c>
      <c r="BC83" s="309" t="e">
        <f t="shared" si="482"/>
        <v>#N/A</v>
      </c>
      <c r="BD83" s="235" t="e">
        <f t="shared" si="483"/>
        <v>#N/A</v>
      </c>
      <c r="BE83" s="235" t="e">
        <f t="shared" si="484"/>
        <v>#N/A</v>
      </c>
      <c r="BF83" s="235" t="e">
        <f t="shared" si="485"/>
        <v>#N/A</v>
      </c>
      <c r="BG83" s="235" t="e">
        <f t="shared" si="486"/>
        <v>#N/A</v>
      </c>
      <c r="BH83" s="235" t="e">
        <f t="shared" si="487"/>
        <v>#N/A</v>
      </c>
      <c r="BI83" s="235" t="e">
        <f t="shared" si="488"/>
        <v>#N/A</v>
      </c>
      <c r="BJ83" s="235" t="e">
        <f t="shared" si="489"/>
        <v>#N/A</v>
      </c>
      <c r="BK83" s="101" t="e">
        <f t="shared" si="443"/>
        <v>#N/A</v>
      </c>
      <c r="BL83" s="101" t="e">
        <f t="shared" si="444"/>
        <v>#N/A</v>
      </c>
      <c r="BM83" s="101" t="e">
        <f t="shared" si="445"/>
        <v>#N/A</v>
      </c>
      <c r="BN83" s="101" t="e">
        <f t="shared" si="446"/>
        <v>#N/A</v>
      </c>
      <c r="BO83" s="101" t="e">
        <f t="shared" si="447"/>
        <v>#N/A</v>
      </c>
      <c r="BP83" s="101" t="e">
        <f t="shared" si="490"/>
        <v>#N/A</v>
      </c>
      <c r="BQ83" s="235" t="e">
        <f t="shared" si="448"/>
        <v>#N/A</v>
      </c>
      <c r="BR83" s="235" t="e">
        <f t="shared" si="449"/>
        <v>#N/A</v>
      </c>
      <c r="BS83" s="235" t="e">
        <f t="shared" si="450"/>
        <v>#N/A</v>
      </c>
      <c r="BT83" s="235" t="e">
        <f t="shared" si="451"/>
        <v>#N/A</v>
      </c>
      <c r="BU83" s="235" t="e">
        <f t="shared" si="452"/>
        <v>#N/A</v>
      </c>
      <c r="BV83" s="235" t="e">
        <f t="shared" si="453"/>
        <v>#N/A</v>
      </c>
      <c r="BW83" s="101" t="e">
        <f t="shared" si="491"/>
        <v>#N/A</v>
      </c>
      <c r="BX83" s="235" t="e">
        <f t="shared" si="492"/>
        <v>#N/A</v>
      </c>
      <c r="BY83" s="235" t="e">
        <f t="shared" si="454"/>
        <v>#N/A</v>
      </c>
      <c r="CA83" s="23"/>
      <c r="CJ83" s="10">
        <v>75</v>
      </c>
      <c r="CK83" s="450">
        <v>0.44903216982605204</v>
      </c>
      <c r="CL83" s="450">
        <v>0.11680303682593923</v>
      </c>
      <c r="CM83" s="450">
        <v>0.44903216982605204</v>
      </c>
      <c r="CN83" s="450">
        <v>0.11680303682593923</v>
      </c>
      <c r="CO83" s="451">
        <v>6.1880147369458564E-2</v>
      </c>
      <c r="CP83" s="451">
        <v>6.1872829113188685E-2</v>
      </c>
      <c r="CQ83" s="451">
        <v>6.0635479487278439E-2</v>
      </c>
      <c r="CR83" s="451">
        <v>6.0672866970918837E-2</v>
      </c>
      <c r="CS83" s="451">
        <v>6.720500706865467</v>
      </c>
      <c r="CT83" s="451">
        <v>6.7415917608052336</v>
      </c>
      <c r="CU83" s="234">
        <v>-2.1091053939766624E-2</v>
      </c>
      <c r="CX83" s="377">
        <v>75</v>
      </c>
      <c r="CY83" s="335">
        <f t="shared" si="496"/>
        <v>2.4579E-2</v>
      </c>
      <c r="CZ83" s="338">
        <v>2.4579E-2</v>
      </c>
      <c r="DA83" s="345">
        <f t="shared" si="497"/>
        <v>8.0424760587405442E-2</v>
      </c>
      <c r="DB83" s="387">
        <f t="shared" si="498"/>
        <v>0.30878541229782053</v>
      </c>
      <c r="DC83" s="114">
        <f t="shared" si="522"/>
        <v>1.636462060932764E-2</v>
      </c>
      <c r="DD83" s="378">
        <f t="shared" si="523"/>
        <v>2.2639785091870257E-2</v>
      </c>
      <c r="DE83" s="378">
        <f t="shared" si="499"/>
        <v>1.8239615576414049E-2</v>
      </c>
      <c r="DF83" s="340">
        <f t="shared" si="524"/>
        <v>2.8972024416225373E-2</v>
      </c>
      <c r="DG83" s="378">
        <f t="shared" si="525"/>
        <v>1.4888060396937353E-2</v>
      </c>
      <c r="DH83" s="378">
        <f t="shared" si="500"/>
        <v>2.4763790237463078E-2</v>
      </c>
      <c r="DI83" s="340">
        <f>DI82+(DI88-DI78)/10</f>
        <v>0.69000000000000006</v>
      </c>
      <c r="DJ83" s="349">
        <f t="shared" ref="DJ83" si="574">DJ82+(DJ88-DJ78)/10</f>
        <v>0.65</v>
      </c>
      <c r="DK83" s="350">
        <f t="shared" si="502"/>
        <v>0.67804815413331332</v>
      </c>
      <c r="DL83" s="345">
        <f t="shared" ref="DL83" si="575">DL82+(DL88-DL78)/10</f>
        <v>0.42499999999999999</v>
      </c>
      <c r="DM83" s="349">
        <f t="shared" ref="DM83" si="576">DM82+(DM88-DM78)/10</f>
        <v>0.16</v>
      </c>
      <c r="DN83" s="396">
        <f t="shared" si="505"/>
        <v>0.34581902113320057</v>
      </c>
      <c r="DO83" s="335">
        <f t="shared" si="534"/>
        <v>0</v>
      </c>
      <c r="DP83" s="350">
        <f t="shared" si="535"/>
        <v>0</v>
      </c>
      <c r="DQ83" s="349">
        <f t="shared" si="506"/>
        <v>0</v>
      </c>
      <c r="DR83" s="335">
        <f t="shared" si="536"/>
        <v>7.7142857142864507E-4</v>
      </c>
      <c r="DS83" s="350">
        <f t="shared" si="537"/>
        <v>1.2857142857141124E-3</v>
      </c>
      <c r="DT83" s="349">
        <f t="shared" si="507"/>
        <v>9.2509516114311471E-4</v>
      </c>
      <c r="DU83" s="335">
        <f>VLOOKUP($CX83,$EY$8:$FF$28,8,FALSE)</f>
        <v>0.46399999999999997</v>
      </c>
      <c r="DV83" s="350">
        <f>VLOOKUP($CX83,$EY$32:$FF$52,8,FALSE)</f>
        <v>0.46500000000000008</v>
      </c>
      <c r="DW83" s="350">
        <f t="shared" si="508"/>
        <v>0.46429879614666725</v>
      </c>
      <c r="DX83" s="335">
        <f>VLOOKUP($CX83,$EY$56:$FF$76,8,FALSE)</f>
        <v>1</v>
      </c>
      <c r="DY83" s="350">
        <f>VLOOKUP($CX83,$EY$80:$FF$100,8,FALSE)</f>
        <v>0.94814285714285718</v>
      </c>
      <c r="DZ83" s="396">
        <f t="shared" si="509"/>
        <v>0.98450528553711691</v>
      </c>
      <c r="EA83" s="350">
        <f t="shared" si="510"/>
        <v>0</v>
      </c>
      <c r="EB83" s="350">
        <f t="shared" si="511"/>
        <v>0</v>
      </c>
      <c r="EC83" s="349">
        <f t="shared" si="512"/>
        <v>0</v>
      </c>
      <c r="ED83" s="335">
        <f t="shared" si="513"/>
        <v>1.034115870906871E-2</v>
      </c>
      <c r="EE83" s="350">
        <f t="shared" si="514"/>
        <v>8.2101114217552063E-3</v>
      </c>
      <c r="EF83" s="387">
        <f t="shared" si="515"/>
        <v>9.7044099912539147E-3</v>
      </c>
      <c r="EG83" s="335">
        <f t="shared" si="516"/>
        <v>2.8972024416225373E-2</v>
      </c>
      <c r="EH83" s="350">
        <f t="shared" si="517"/>
        <v>1.4888060396937353E-2</v>
      </c>
      <c r="EI83" s="387">
        <f t="shared" si="518"/>
        <v>2.4763790237463078E-2</v>
      </c>
      <c r="EJ83" s="335">
        <f t="shared" si="519"/>
        <v>9.0725933907607192E-3</v>
      </c>
      <c r="EK83" s="350">
        <f t="shared" si="520"/>
        <v>0</v>
      </c>
      <c r="EL83" s="387">
        <f t="shared" si="521"/>
        <v>6.3617374453234033E-3</v>
      </c>
      <c r="EO83" s="454">
        <v>50</v>
      </c>
      <c r="EP83" s="452" t="s">
        <v>199</v>
      </c>
      <c r="EQ83" s="458">
        <v>27.5</v>
      </c>
      <c r="ER83" s="458">
        <v>21.6</v>
      </c>
      <c r="ES83" s="458">
        <v>35.1</v>
      </c>
      <c r="ET83" s="347">
        <f t="shared" si="557"/>
        <v>0.12385631052695978</v>
      </c>
      <c r="EU83" s="458">
        <f t="shared" ca="1" si="547"/>
        <v>27.996601461149599</v>
      </c>
      <c r="EV83" s="458">
        <f t="shared" si="548"/>
        <v>27.5</v>
      </c>
      <c r="EW83" s="396">
        <f t="shared" si="558"/>
        <v>2.7125317446546005E-2</v>
      </c>
      <c r="EY83" s="363">
        <v>15</v>
      </c>
      <c r="EZ83" s="346">
        <v>0</v>
      </c>
      <c r="FA83" s="347">
        <f t="shared" si="562"/>
        <v>0</v>
      </c>
      <c r="FB83" s="347">
        <f t="shared" si="563"/>
        <v>0</v>
      </c>
      <c r="FC83" s="33" t="e">
        <f t="shared" si="564"/>
        <v>#DIV/0!</v>
      </c>
      <c r="FD83" s="33" t="e">
        <f t="shared" si="565"/>
        <v>#DIV/0!</v>
      </c>
      <c r="FE83" s="308">
        <f t="shared" ca="1" si="569"/>
        <v>0</v>
      </c>
      <c r="FF83" s="364">
        <f t="shared" si="570"/>
        <v>0</v>
      </c>
    </row>
    <row r="84" spans="2:162" ht="15" customHeight="1" x14ac:dyDescent="0.2">
      <c r="B84" s="330" t="s">
        <v>297</v>
      </c>
      <c r="C84" s="101">
        <f t="shared" si="549"/>
        <v>172124</v>
      </c>
      <c r="D84" s="255"/>
      <c r="E84" s="101">
        <v>172124</v>
      </c>
      <c r="F84" s="101">
        <f t="shared" si="550"/>
        <v>137699.20000000001</v>
      </c>
      <c r="G84" s="101">
        <f t="shared" si="551"/>
        <v>206548.8</v>
      </c>
      <c r="H84" s="101">
        <f t="shared" si="552"/>
        <v>17563.996211939826</v>
      </c>
      <c r="I84" s="118"/>
      <c r="J84" s="101">
        <f t="shared" ca="1" si="553"/>
        <v>185503.9476313137</v>
      </c>
      <c r="K84" s="10" t="s">
        <v>43</v>
      </c>
      <c r="L84" s="10">
        <v>29</v>
      </c>
      <c r="M84" s="393" t="s">
        <v>332</v>
      </c>
      <c r="N84" s="393" t="s">
        <v>280</v>
      </c>
      <c r="Q84" s="10">
        <v>78</v>
      </c>
      <c r="R84" s="10">
        <f t="shared" si="431"/>
        <v>123</v>
      </c>
      <c r="S84" s="309" t="e">
        <f t="shared" si="459"/>
        <v>#N/A</v>
      </c>
      <c r="T84" s="309" t="e">
        <f t="shared" si="460"/>
        <v>#N/A</v>
      </c>
      <c r="U84" s="309" t="e">
        <f t="shared" si="461"/>
        <v>#N/A</v>
      </c>
      <c r="V84" s="235" t="e">
        <f t="shared" si="462"/>
        <v>#N/A</v>
      </c>
      <c r="W84" s="235" t="e">
        <f t="shared" si="463"/>
        <v>#N/A</v>
      </c>
      <c r="X84" s="309" t="e">
        <f t="shared" si="464"/>
        <v>#N/A</v>
      </c>
      <c r="Y84" s="235" t="e">
        <f t="shared" si="465"/>
        <v>#N/A</v>
      </c>
      <c r="Z84" s="235" t="e">
        <f t="shared" si="466"/>
        <v>#N/A</v>
      </c>
      <c r="AA84" s="235" t="e">
        <f t="shared" si="467"/>
        <v>#N/A</v>
      </c>
      <c r="AB84" s="235" t="e">
        <f t="shared" si="468"/>
        <v>#N/A</v>
      </c>
      <c r="AC84" s="235" t="e">
        <f t="shared" si="469"/>
        <v>#N/A</v>
      </c>
      <c r="AD84" s="235" t="e">
        <f t="shared" si="470"/>
        <v>#N/A</v>
      </c>
      <c r="AE84" s="235" t="e">
        <f t="shared" si="471"/>
        <v>#N/A</v>
      </c>
      <c r="AF84" s="101" t="e">
        <f t="shared" si="432"/>
        <v>#N/A</v>
      </c>
      <c r="AG84" s="101" t="e">
        <f t="shared" si="433"/>
        <v>#N/A</v>
      </c>
      <c r="AH84" s="101" t="e">
        <f t="shared" si="434"/>
        <v>#N/A</v>
      </c>
      <c r="AI84" s="101" t="e">
        <f t="shared" si="435"/>
        <v>#N/A</v>
      </c>
      <c r="AJ84" s="101" t="e">
        <f t="shared" si="436"/>
        <v>#N/A</v>
      </c>
      <c r="AK84" s="101" t="e">
        <f t="shared" si="472"/>
        <v>#N/A</v>
      </c>
      <c r="AL84" s="235" t="e">
        <f t="shared" si="473"/>
        <v>#N/A</v>
      </c>
      <c r="AM84" s="235" t="e">
        <f t="shared" si="437"/>
        <v>#N/A</v>
      </c>
      <c r="AN84" s="235" t="e">
        <f t="shared" si="438"/>
        <v>#N/A</v>
      </c>
      <c r="AO84" s="235" t="e">
        <f t="shared" si="439"/>
        <v>#N/A</v>
      </c>
      <c r="AP84" s="235" t="e">
        <f t="shared" si="440"/>
        <v>#N/A</v>
      </c>
      <c r="AQ84" s="235" t="e">
        <f t="shared" si="441"/>
        <v>#N/A</v>
      </c>
      <c r="AR84" s="101" t="e">
        <f t="shared" si="474"/>
        <v>#N/A</v>
      </c>
      <c r="AS84" s="235" t="e">
        <f t="shared" si="475"/>
        <v>#N/A</v>
      </c>
      <c r="AT84" s="235" t="e">
        <f t="shared" si="442"/>
        <v>#N/A</v>
      </c>
      <c r="AV84" s="10">
        <v>78</v>
      </c>
      <c r="AW84" s="10">
        <f t="shared" si="476"/>
        <v>123</v>
      </c>
      <c r="AX84" s="309" t="e">
        <f t="shared" si="477"/>
        <v>#N/A</v>
      </c>
      <c r="AY84" s="309" t="e">
        <f t="shared" si="478"/>
        <v>#N/A</v>
      </c>
      <c r="AZ84" s="309" t="e">
        <f t="shared" si="479"/>
        <v>#N/A</v>
      </c>
      <c r="BA84" s="235" t="e">
        <f t="shared" si="480"/>
        <v>#N/A</v>
      </c>
      <c r="BB84" s="235" t="e">
        <f t="shared" si="481"/>
        <v>#N/A</v>
      </c>
      <c r="BC84" s="309" t="e">
        <f t="shared" si="482"/>
        <v>#N/A</v>
      </c>
      <c r="BD84" s="235" t="e">
        <f t="shared" si="483"/>
        <v>#N/A</v>
      </c>
      <c r="BE84" s="235" t="e">
        <f t="shared" si="484"/>
        <v>#N/A</v>
      </c>
      <c r="BF84" s="235" t="e">
        <f t="shared" si="485"/>
        <v>#N/A</v>
      </c>
      <c r="BG84" s="235" t="e">
        <f t="shared" si="486"/>
        <v>#N/A</v>
      </c>
      <c r="BH84" s="235" t="e">
        <f t="shared" si="487"/>
        <v>#N/A</v>
      </c>
      <c r="BI84" s="235" t="e">
        <f t="shared" si="488"/>
        <v>#N/A</v>
      </c>
      <c r="BJ84" s="235" t="e">
        <f t="shared" si="489"/>
        <v>#N/A</v>
      </c>
      <c r="BK84" s="101" t="e">
        <f t="shared" si="443"/>
        <v>#N/A</v>
      </c>
      <c r="BL84" s="101" t="e">
        <f t="shared" si="444"/>
        <v>#N/A</v>
      </c>
      <c r="BM84" s="101" t="e">
        <f t="shared" si="445"/>
        <v>#N/A</v>
      </c>
      <c r="BN84" s="101" t="e">
        <f t="shared" si="446"/>
        <v>#N/A</v>
      </c>
      <c r="BO84" s="101" t="e">
        <f t="shared" si="447"/>
        <v>#N/A</v>
      </c>
      <c r="BP84" s="101" t="e">
        <f t="shared" si="490"/>
        <v>#N/A</v>
      </c>
      <c r="BQ84" s="235" t="e">
        <f t="shared" si="448"/>
        <v>#N/A</v>
      </c>
      <c r="BR84" s="235" t="e">
        <f t="shared" si="449"/>
        <v>#N/A</v>
      </c>
      <c r="BS84" s="235" t="e">
        <f t="shared" si="450"/>
        <v>#N/A</v>
      </c>
      <c r="BT84" s="235" t="e">
        <f t="shared" si="451"/>
        <v>#N/A</v>
      </c>
      <c r="BU84" s="235" t="e">
        <f t="shared" si="452"/>
        <v>#N/A</v>
      </c>
      <c r="BV84" s="235" t="e">
        <f t="shared" si="453"/>
        <v>#N/A</v>
      </c>
      <c r="BW84" s="101" t="e">
        <f t="shared" si="491"/>
        <v>#N/A</v>
      </c>
      <c r="BX84" s="235" t="e">
        <f t="shared" si="492"/>
        <v>#N/A</v>
      </c>
      <c r="BY84" s="235" t="e">
        <f t="shared" si="454"/>
        <v>#N/A</v>
      </c>
      <c r="CA84" s="23"/>
      <c r="CJ84" s="10">
        <v>76</v>
      </c>
      <c r="CK84" s="450">
        <v>0.4536926409403047</v>
      </c>
      <c r="CL84" s="450">
        <v>0.11756711950019051</v>
      </c>
      <c r="CM84" s="450">
        <v>0.4536926409403047</v>
      </c>
      <c r="CN84" s="450">
        <v>0.11756711950019051</v>
      </c>
      <c r="CO84" s="451">
        <v>5.7444914201225175E-2</v>
      </c>
      <c r="CP84" s="451">
        <v>5.7437283374048714E-2</v>
      </c>
      <c r="CQ84" s="451">
        <v>5.3124203451244578E-2</v>
      </c>
      <c r="CR84" s="451">
        <v>5.3154652693619617E-2</v>
      </c>
      <c r="CS84" s="451">
        <v>6.4946185771098426</v>
      </c>
      <c r="CT84" s="451">
        <v>6.5154810878330833</v>
      </c>
      <c r="CU84" s="234">
        <v>-2.0862510723240746E-2</v>
      </c>
      <c r="CX84" s="377">
        <v>76</v>
      </c>
      <c r="CY84" s="335">
        <f t="shared" si="496"/>
        <v>2.7147000000000001E-2</v>
      </c>
      <c r="CZ84" s="338">
        <v>2.7147000000000001E-2</v>
      </c>
      <c r="DA84" s="345">
        <f t="shared" si="497"/>
        <v>8.0424760587405442E-2</v>
      </c>
      <c r="DB84" s="387">
        <f t="shared" si="498"/>
        <v>0.30878541229782053</v>
      </c>
      <c r="DC84" s="114">
        <f t="shared" si="522"/>
        <v>1.636462060932764E-2</v>
      </c>
      <c r="DD84" s="378">
        <f t="shared" si="523"/>
        <v>2.2639785091870257E-2</v>
      </c>
      <c r="DE84" s="378">
        <f t="shared" si="499"/>
        <v>1.8239615576414049E-2</v>
      </c>
      <c r="DF84" s="340">
        <f t="shared" si="524"/>
        <v>2.8972024416225373E-2</v>
      </c>
      <c r="DG84" s="378">
        <f t="shared" si="525"/>
        <v>1.4888060396937353E-2</v>
      </c>
      <c r="DH84" s="378">
        <f t="shared" si="500"/>
        <v>2.4763790237463078E-2</v>
      </c>
      <c r="DI84" s="340">
        <f>DI83+(DI88-DI78)/10</f>
        <v>0.69600000000000006</v>
      </c>
      <c r="DJ84" s="349">
        <f t="shared" ref="DJ84" si="577">DJ83+(DJ88-DJ78)/10</f>
        <v>0.65800000000000003</v>
      </c>
      <c r="DK84" s="350">
        <f t="shared" si="502"/>
        <v>0.68464574642664766</v>
      </c>
      <c r="DL84" s="345">
        <f t="shared" ref="DL84" si="578">DL83+(DL88-DL78)/10</f>
        <v>0.42799999999999999</v>
      </c>
      <c r="DM84" s="349">
        <f t="shared" ref="DM84" si="579">DM83+(DM88-DM78)/10</f>
        <v>0.16200000000000001</v>
      </c>
      <c r="DN84" s="396">
        <f t="shared" si="505"/>
        <v>0.3485202249865334</v>
      </c>
      <c r="DO84" s="335">
        <f t="shared" si="534"/>
        <v>0</v>
      </c>
      <c r="DP84" s="350">
        <f t="shared" si="535"/>
        <v>0</v>
      </c>
      <c r="DQ84" s="349">
        <f t="shared" si="506"/>
        <v>0</v>
      </c>
      <c r="DR84" s="335">
        <f t="shared" si="536"/>
        <v>0</v>
      </c>
      <c r="DS84" s="350">
        <f t="shared" si="537"/>
        <v>1.0285714285713787E-3</v>
      </c>
      <c r="DT84" s="349">
        <f t="shared" si="507"/>
        <v>3.0733317942907194E-4</v>
      </c>
      <c r="DU84" s="335">
        <f>DU83+(DU88-DU83)/5</f>
        <v>0.46399999999999997</v>
      </c>
      <c r="DV84" s="350">
        <f>DV83+(DV88-DV83)/5</f>
        <v>0.46500000000000008</v>
      </c>
      <c r="DW84" s="350">
        <f t="shared" si="508"/>
        <v>0.46429879614666725</v>
      </c>
      <c r="DX84" s="335">
        <f>DX83+(DX88-DX83)/5</f>
        <v>1</v>
      </c>
      <c r="DY84" s="350">
        <f>DY83+(DY88-DY83)/5</f>
        <v>0.94917142857142855</v>
      </c>
      <c r="DZ84" s="396">
        <f t="shared" si="509"/>
        <v>0.98481261871654602</v>
      </c>
      <c r="EA84" s="350">
        <f t="shared" si="510"/>
        <v>0</v>
      </c>
      <c r="EB84" s="350">
        <f t="shared" si="511"/>
        <v>0</v>
      </c>
      <c r="EC84" s="349">
        <f t="shared" si="512"/>
        <v>0</v>
      </c>
      <c r="ED84" s="335">
        <f t="shared" si="513"/>
        <v>1.034115870906871E-2</v>
      </c>
      <c r="EE84" s="350">
        <f t="shared" si="514"/>
        <v>8.2101114217552063E-3</v>
      </c>
      <c r="EF84" s="387">
        <f t="shared" si="515"/>
        <v>9.7044099912539147E-3</v>
      </c>
      <c r="EG84" s="335">
        <f t="shared" si="516"/>
        <v>2.8972024416225373E-2</v>
      </c>
      <c r="EH84" s="350">
        <f t="shared" si="517"/>
        <v>1.4888060396937353E-2</v>
      </c>
      <c r="EI84" s="387">
        <f t="shared" si="518"/>
        <v>2.4763790237463078E-2</v>
      </c>
      <c r="EJ84" s="335">
        <f t="shared" si="519"/>
        <v>9.0725933907607192E-3</v>
      </c>
      <c r="EK84" s="350">
        <f t="shared" si="520"/>
        <v>0</v>
      </c>
      <c r="EL84" s="387">
        <f t="shared" si="521"/>
        <v>6.3617374453234033E-3</v>
      </c>
      <c r="EO84" s="454">
        <v>60</v>
      </c>
      <c r="EP84" s="452" t="s">
        <v>200</v>
      </c>
      <c r="EQ84" s="458">
        <v>30.6</v>
      </c>
      <c r="ER84" s="458">
        <v>22.8</v>
      </c>
      <c r="ES84" s="458">
        <v>41.1</v>
      </c>
      <c r="ET84" s="347">
        <f t="shared" si="557"/>
        <v>0.15032102380189227</v>
      </c>
      <c r="EU84" s="458">
        <f t="shared" ca="1" si="547"/>
        <v>25.760139293482453</v>
      </c>
      <c r="EV84" s="458">
        <f t="shared" si="548"/>
        <v>30.6</v>
      </c>
      <c r="EW84" s="396">
        <f t="shared" si="558"/>
        <v>3.0136559126355711E-2</v>
      </c>
      <c r="EY84" s="363">
        <v>20</v>
      </c>
      <c r="EZ84" s="346">
        <v>0</v>
      </c>
      <c r="FA84" s="347">
        <f t="shared" si="562"/>
        <v>0</v>
      </c>
      <c r="FB84" s="347">
        <f t="shared" si="563"/>
        <v>0</v>
      </c>
      <c r="FC84" s="33" t="e">
        <f t="shared" si="564"/>
        <v>#DIV/0!</v>
      </c>
      <c r="FD84" s="33" t="e">
        <f t="shared" si="565"/>
        <v>#DIV/0!</v>
      </c>
      <c r="FE84" s="308">
        <f t="shared" ca="1" si="569"/>
        <v>0</v>
      </c>
      <c r="FF84" s="364">
        <f t="shared" si="570"/>
        <v>0</v>
      </c>
    </row>
    <row r="85" spans="2:162" ht="15" customHeight="1" x14ac:dyDescent="0.25">
      <c r="B85" s="439" t="s">
        <v>325</v>
      </c>
      <c r="C85" s="10"/>
      <c r="D85" s="10"/>
      <c r="M85" s="393"/>
      <c r="N85" s="413"/>
      <c r="Q85" s="10">
        <v>79</v>
      </c>
      <c r="R85" s="10">
        <f t="shared" si="431"/>
        <v>124</v>
      </c>
      <c r="S85" s="309" t="e">
        <f t="shared" si="459"/>
        <v>#N/A</v>
      </c>
      <c r="T85" s="309" t="e">
        <f t="shared" si="460"/>
        <v>#N/A</v>
      </c>
      <c r="U85" s="309" t="e">
        <f t="shared" si="461"/>
        <v>#N/A</v>
      </c>
      <c r="V85" s="235" t="e">
        <f t="shared" si="462"/>
        <v>#N/A</v>
      </c>
      <c r="W85" s="235" t="e">
        <f t="shared" si="463"/>
        <v>#N/A</v>
      </c>
      <c r="X85" s="309" t="e">
        <f t="shared" si="464"/>
        <v>#N/A</v>
      </c>
      <c r="Y85" s="235" t="e">
        <f t="shared" si="465"/>
        <v>#N/A</v>
      </c>
      <c r="Z85" s="235" t="e">
        <f t="shared" si="466"/>
        <v>#N/A</v>
      </c>
      <c r="AA85" s="235" t="e">
        <f t="shared" si="467"/>
        <v>#N/A</v>
      </c>
      <c r="AB85" s="235" t="e">
        <f t="shared" si="468"/>
        <v>#N/A</v>
      </c>
      <c r="AC85" s="235" t="e">
        <f t="shared" si="469"/>
        <v>#N/A</v>
      </c>
      <c r="AD85" s="235" t="e">
        <f t="shared" si="470"/>
        <v>#N/A</v>
      </c>
      <c r="AE85" s="235" t="e">
        <f t="shared" si="471"/>
        <v>#N/A</v>
      </c>
      <c r="AF85" s="101" t="e">
        <f t="shared" si="432"/>
        <v>#N/A</v>
      </c>
      <c r="AG85" s="101" t="e">
        <f t="shared" si="433"/>
        <v>#N/A</v>
      </c>
      <c r="AH85" s="101" t="e">
        <f t="shared" si="434"/>
        <v>#N/A</v>
      </c>
      <c r="AI85" s="101" t="e">
        <f t="shared" si="435"/>
        <v>#N/A</v>
      </c>
      <c r="AJ85" s="101" t="e">
        <f t="shared" si="436"/>
        <v>#N/A</v>
      </c>
      <c r="AK85" s="101" t="e">
        <f t="shared" si="472"/>
        <v>#N/A</v>
      </c>
      <c r="AL85" s="235" t="e">
        <f t="shared" si="473"/>
        <v>#N/A</v>
      </c>
      <c r="AM85" s="235" t="e">
        <f t="shared" si="437"/>
        <v>#N/A</v>
      </c>
      <c r="AN85" s="235" t="e">
        <f t="shared" si="438"/>
        <v>#N/A</v>
      </c>
      <c r="AO85" s="235" t="e">
        <f t="shared" si="439"/>
        <v>#N/A</v>
      </c>
      <c r="AP85" s="235" t="e">
        <f t="shared" si="440"/>
        <v>#N/A</v>
      </c>
      <c r="AQ85" s="235" t="e">
        <f t="shared" si="441"/>
        <v>#N/A</v>
      </c>
      <c r="AR85" s="101" t="e">
        <f t="shared" si="474"/>
        <v>#N/A</v>
      </c>
      <c r="AS85" s="235" t="e">
        <f t="shared" si="475"/>
        <v>#N/A</v>
      </c>
      <c r="AT85" s="235" t="e">
        <f t="shared" si="442"/>
        <v>#N/A</v>
      </c>
      <c r="AV85" s="10">
        <v>79</v>
      </c>
      <c r="AW85" s="10">
        <f t="shared" si="476"/>
        <v>124</v>
      </c>
      <c r="AX85" s="309" t="e">
        <f t="shared" si="477"/>
        <v>#N/A</v>
      </c>
      <c r="AY85" s="309" t="e">
        <f t="shared" si="478"/>
        <v>#N/A</v>
      </c>
      <c r="AZ85" s="309" t="e">
        <f t="shared" si="479"/>
        <v>#N/A</v>
      </c>
      <c r="BA85" s="235" t="e">
        <f t="shared" si="480"/>
        <v>#N/A</v>
      </c>
      <c r="BB85" s="235" t="e">
        <f t="shared" si="481"/>
        <v>#N/A</v>
      </c>
      <c r="BC85" s="309" t="e">
        <f t="shared" si="482"/>
        <v>#N/A</v>
      </c>
      <c r="BD85" s="235" t="e">
        <f t="shared" si="483"/>
        <v>#N/A</v>
      </c>
      <c r="BE85" s="235" t="e">
        <f t="shared" si="484"/>
        <v>#N/A</v>
      </c>
      <c r="BF85" s="235" t="e">
        <f t="shared" si="485"/>
        <v>#N/A</v>
      </c>
      <c r="BG85" s="235" t="e">
        <f t="shared" si="486"/>
        <v>#N/A</v>
      </c>
      <c r="BH85" s="235" t="e">
        <f t="shared" si="487"/>
        <v>#N/A</v>
      </c>
      <c r="BI85" s="235" t="e">
        <f t="shared" si="488"/>
        <v>#N/A</v>
      </c>
      <c r="BJ85" s="235" t="e">
        <f t="shared" si="489"/>
        <v>#N/A</v>
      </c>
      <c r="BK85" s="101" t="e">
        <f t="shared" si="443"/>
        <v>#N/A</v>
      </c>
      <c r="BL85" s="101" t="e">
        <f t="shared" si="444"/>
        <v>#N/A</v>
      </c>
      <c r="BM85" s="101" t="e">
        <f t="shared" si="445"/>
        <v>#N/A</v>
      </c>
      <c r="BN85" s="101" t="e">
        <f t="shared" si="446"/>
        <v>#N/A</v>
      </c>
      <c r="BO85" s="101" t="e">
        <f t="shared" si="447"/>
        <v>#N/A</v>
      </c>
      <c r="BP85" s="101" t="e">
        <f t="shared" si="490"/>
        <v>#N/A</v>
      </c>
      <c r="BQ85" s="235" t="e">
        <f t="shared" si="448"/>
        <v>#N/A</v>
      </c>
      <c r="BR85" s="235" t="e">
        <f t="shared" si="449"/>
        <v>#N/A</v>
      </c>
      <c r="BS85" s="235" t="e">
        <f t="shared" si="450"/>
        <v>#N/A</v>
      </c>
      <c r="BT85" s="235" t="e">
        <f t="shared" si="451"/>
        <v>#N/A</v>
      </c>
      <c r="BU85" s="235" t="e">
        <f t="shared" si="452"/>
        <v>#N/A</v>
      </c>
      <c r="BV85" s="235" t="e">
        <f t="shared" si="453"/>
        <v>#N/A</v>
      </c>
      <c r="BW85" s="101" t="e">
        <f t="shared" si="491"/>
        <v>#N/A</v>
      </c>
      <c r="BX85" s="235" t="e">
        <f t="shared" si="492"/>
        <v>#N/A</v>
      </c>
      <c r="BY85" s="235" t="e">
        <f t="shared" si="454"/>
        <v>#N/A</v>
      </c>
      <c r="CA85" s="23"/>
      <c r="CJ85" s="10">
        <v>77</v>
      </c>
      <c r="CK85" s="450">
        <v>0.45835347936333604</v>
      </c>
      <c r="CL85" s="450">
        <v>0.11833156948322024</v>
      </c>
      <c r="CM85" s="450">
        <v>0.45835347936333604</v>
      </c>
      <c r="CN85" s="450">
        <v>0.11833156948322024</v>
      </c>
      <c r="CO85" s="451">
        <v>5.2997620215933419E-2</v>
      </c>
      <c r="CP85" s="451">
        <v>5.2989461960595452E-2</v>
      </c>
      <c r="CQ85" s="451">
        <v>4.5424936229425179E-2</v>
      </c>
      <c r="CR85" s="451">
        <v>4.5449344645590306E-2</v>
      </c>
      <c r="CS85" s="451">
        <v>6.2578588653980551</v>
      </c>
      <c r="CT85" s="451">
        <v>6.2784894000679365</v>
      </c>
      <c r="CU85" s="234">
        <v>-2.0630534669881406E-2</v>
      </c>
      <c r="CX85" s="377">
        <v>77</v>
      </c>
      <c r="CY85" s="335">
        <f t="shared" si="496"/>
        <v>3.0089000000000001E-2</v>
      </c>
      <c r="CZ85" s="338">
        <v>3.0089000000000001E-2</v>
      </c>
      <c r="DA85" s="345">
        <f t="shared" si="497"/>
        <v>8.0424760587405442E-2</v>
      </c>
      <c r="DB85" s="387">
        <f t="shared" si="498"/>
        <v>0.30878541229782053</v>
      </c>
      <c r="DC85" s="114">
        <f t="shared" si="522"/>
        <v>1.636462060932764E-2</v>
      </c>
      <c r="DD85" s="378">
        <f t="shared" si="523"/>
        <v>2.2639785091870257E-2</v>
      </c>
      <c r="DE85" s="378">
        <f t="shared" si="499"/>
        <v>1.8239615576414049E-2</v>
      </c>
      <c r="DF85" s="340">
        <f t="shared" si="524"/>
        <v>2.8972024416225373E-2</v>
      </c>
      <c r="DG85" s="378">
        <f t="shared" si="525"/>
        <v>1.4888060396937353E-2</v>
      </c>
      <c r="DH85" s="378">
        <f t="shared" si="500"/>
        <v>2.4763790237463078E-2</v>
      </c>
      <c r="DI85" s="340">
        <f>DI84+(DI88-DI78)/10</f>
        <v>0.70200000000000007</v>
      </c>
      <c r="DJ85" s="349">
        <f t="shared" ref="DJ85" si="580">DJ84+(DJ88-DJ78)/10</f>
        <v>0.66600000000000004</v>
      </c>
      <c r="DK85" s="350">
        <f t="shared" si="502"/>
        <v>0.691243338719982</v>
      </c>
      <c r="DL85" s="345">
        <f t="shared" ref="DL85" si="581">DL84+(DL88-DL78)/10</f>
        <v>0.43099999999999999</v>
      </c>
      <c r="DM85" s="349">
        <f t="shared" ref="DM85" si="582">DM84+(DM88-DM78)/10</f>
        <v>0.16400000000000001</v>
      </c>
      <c r="DN85" s="396">
        <f t="shared" si="505"/>
        <v>0.35122142883986623</v>
      </c>
      <c r="DO85" s="335">
        <f t="shared" si="534"/>
        <v>0</v>
      </c>
      <c r="DP85" s="350">
        <f t="shared" si="535"/>
        <v>0</v>
      </c>
      <c r="DQ85" s="349">
        <f t="shared" si="506"/>
        <v>0</v>
      </c>
      <c r="DR85" s="335">
        <f t="shared" si="536"/>
        <v>0</v>
      </c>
      <c r="DS85" s="350">
        <f t="shared" si="537"/>
        <v>1.0285714285713787E-3</v>
      </c>
      <c r="DT85" s="349">
        <f t="shared" si="507"/>
        <v>3.0733317942907194E-4</v>
      </c>
      <c r="DU85" s="335">
        <f>DU84+(DU88-DU83)/5</f>
        <v>0.46399999999999997</v>
      </c>
      <c r="DV85" s="350">
        <f>DV84+(DV88-DV83)/5</f>
        <v>0.46500000000000008</v>
      </c>
      <c r="DW85" s="350">
        <f t="shared" si="508"/>
        <v>0.46429879614666725</v>
      </c>
      <c r="DX85" s="335">
        <f>DX84+(DX88-DX83)/5</f>
        <v>1</v>
      </c>
      <c r="DY85" s="350">
        <f>DY84+(DY88-DY83)/5</f>
        <v>0.95019999999999993</v>
      </c>
      <c r="DZ85" s="396">
        <f t="shared" si="509"/>
        <v>0.98511995189597501</v>
      </c>
      <c r="EA85" s="350">
        <f t="shared" si="510"/>
        <v>0</v>
      </c>
      <c r="EB85" s="350">
        <f t="shared" si="511"/>
        <v>0</v>
      </c>
      <c r="EC85" s="349">
        <f t="shared" si="512"/>
        <v>0</v>
      </c>
      <c r="ED85" s="335">
        <f t="shared" si="513"/>
        <v>1.034115870906871E-2</v>
      </c>
      <c r="EE85" s="350">
        <f t="shared" si="514"/>
        <v>8.2101114217552063E-3</v>
      </c>
      <c r="EF85" s="387">
        <f t="shared" si="515"/>
        <v>9.7044099912539147E-3</v>
      </c>
      <c r="EG85" s="335">
        <f t="shared" si="516"/>
        <v>2.8972024416225373E-2</v>
      </c>
      <c r="EH85" s="350">
        <f t="shared" si="517"/>
        <v>1.4888060396937353E-2</v>
      </c>
      <c r="EI85" s="387">
        <f t="shared" si="518"/>
        <v>2.4763790237463078E-2</v>
      </c>
      <c r="EJ85" s="335">
        <f t="shared" si="519"/>
        <v>9.0725933907607192E-3</v>
      </c>
      <c r="EK85" s="350">
        <f t="shared" si="520"/>
        <v>0</v>
      </c>
      <c r="EL85" s="387">
        <f t="shared" si="521"/>
        <v>6.3617374453234033E-3</v>
      </c>
      <c r="EO85" s="454">
        <v>70</v>
      </c>
      <c r="EP85" s="321" t="s">
        <v>201</v>
      </c>
      <c r="EQ85" s="459">
        <v>22.9</v>
      </c>
      <c r="ER85" s="459">
        <v>13.6</v>
      </c>
      <c r="ES85" s="459">
        <v>38.700000000000003</v>
      </c>
      <c r="ET85" s="347">
        <f t="shared" si="557"/>
        <v>0.26678291426338152</v>
      </c>
      <c r="EU85" s="458">
        <f t="shared" ca="1" si="547"/>
        <v>19.479801887458059</v>
      </c>
      <c r="EV85" s="458">
        <f t="shared" si="548"/>
        <v>22.9</v>
      </c>
      <c r="EW85" s="396">
        <f t="shared" si="558"/>
        <v>2.2639785091870257E-2</v>
      </c>
      <c r="EY85" s="363">
        <v>25</v>
      </c>
      <c r="EZ85" s="346">
        <v>0</v>
      </c>
      <c r="FA85" s="347">
        <f t="shared" si="562"/>
        <v>0</v>
      </c>
      <c r="FB85" s="347">
        <f t="shared" si="563"/>
        <v>0</v>
      </c>
      <c r="FC85" s="33" t="e">
        <f t="shared" si="564"/>
        <v>#DIV/0!</v>
      </c>
      <c r="FD85" s="33" t="e">
        <f t="shared" si="565"/>
        <v>#DIV/0!</v>
      </c>
      <c r="FE85" s="308">
        <f t="shared" ca="1" si="569"/>
        <v>0</v>
      </c>
      <c r="FF85" s="364">
        <f t="shared" si="570"/>
        <v>0</v>
      </c>
    </row>
    <row r="86" spans="2:162" ht="15" customHeight="1" x14ac:dyDescent="0.2">
      <c r="B86" s="330" t="s">
        <v>292</v>
      </c>
      <c r="C86" s="101">
        <f t="shared" si="549"/>
        <v>26557</v>
      </c>
      <c r="D86" s="255"/>
      <c r="E86" s="101">
        <v>26557</v>
      </c>
      <c r="F86" s="101">
        <f t="shared" ref="F86:F91" si="583">IF(ISNUMBER(D86),D86,E86)*(1-owsa)</f>
        <v>21245.600000000002</v>
      </c>
      <c r="G86" s="101">
        <f t="shared" ref="G86:G91" si="584">IF(ISNUMBER(D86),D86,E86)*(1+owsa)</f>
        <v>31868.399999999998</v>
      </c>
      <c r="H86" s="101">
        <f t="shared" ref="H86:H91" si="585">(G86-F86)/(2*z)</f>
        <v>2709.9477551096065</v>
      </c>
      <c r="I86" s="118"/>
      <c r="J86" s="101">
        <f t="shared" ref="J86:J91" ca="1" si="586">_xlfn.NORM.INV(RAND(),IF(ISNUMBER(D86),D86,E86),H86)</f>
        <v>24595.646682107097</v>
      </c>
      <c r="K86" s="10" t="s">
        <v>43</v>
      </c>
      <c r="L86" s="10">
        <v>30</v>
      </c>
      <c r="M86" s="393" t="s">
        <v>327</v>
      </c>
      <c r="N86" s="393" t="s">
        <v>280</v>
      </c>
      <c r="Q86" s="10">
        <v>80</v>
      </c>
      <c r="R86" s="10">
        <f t="shared" si="431"/>
        <v>125</v>
      </c>
      <c r="S86" s="309" t="e">
        <f t="shared" si="459"/>
        <v>#N/A</v>
      </c>
      <c r="T86" s="309" t="e">
        <f t="shared" si="460"/>
        <v>#N/A</v>
      </c>
      <c r="U86" s="309" t="e">
        <f t="shared" si="461"/>
        <v>#N/A</v>
      </c>
      <c r="V86" s="235" t="e">
        <f t="shared" si="462"/>
        <v>#N/A</v>
      </c>
      <c r="W86" s="235" t="e">
        <f t="shared" si="463"/>
        <v>#N/A</v>
      </c>
      <c r="X86" s="309" t="e">
        <f t="shared" si="464"/>
        <v>#N/A</v>
      </c>
      <c r="Y86" s="235" t="e">
        <f t="shared" si="465"/>
        <v>#N/A</v>
      </c>
      <c r="Z86" s="235" t="e">
        <f t="shared" si="466"/>
        <v>#N/A</v>
      </c>
      <c r="AA86" s="235" t="e">
        <f t="shared" si="467"/>
        <v>#N/A</v>
      </c>
      <c r="AB86" s="235" t="e">
        <f t="shared" si="468"/>
        <v>#N/A</v>
      </c>
      <c r="AC86" s="235" t="e">
        <f t="shared" si="469"/>
        <v>#N/A</v>
      </c>
      <c r="AD86" s="235" t="e">
        <f t="shared" si="470"/>
        <v>#N/A</v>
      </c>
      <c r="AE86" s="235" t="e">
        <f t="shared" si="471"/>
        <v>#N/A</v>
      </c>
      <c r="AF86" s="101" t="e">
        <f t="shared" si="432"/>
        <v>#N/A</v>
      </c>
      <c r="AG86" s="101" t="e">
        <f t="shared" si="433"/>
        <v>#N/A</v>
      </c>
      <c r="AH86" s="101" t="e">
        <f t="shared" si="434"/>
        <v>#N/A</v>
      </c>
      <c r="AI86" s="101" t="e">
        <f t="shared" si="435"/>
        <v>#N/A</v>
      </c>
      <c r="AJ86" s="101" t="e">
        <f t="shared" si="436"/>
        <v>#N/A</v>
      </c>
      <c r="AK86" s="101" t="e">
        <f t="shared" si="472"/>
        <v>#N/A</v>
      </c>
      <c r="AL86" s="235" t="e">
        <f t="shared" si="473"/>
        <v>#N/A</v>
      </c>
      <c r="AM86" s="235" t="e">
        <f t="shared" si="437"/>
        <v>#N/A</v>
      </c>
      <c r="AN86" s="235" t="e">
        <f t="shared" si="438"/>
        <v>#N/A</v>
      </c>
      <c r="AO86" s="235" t="e">
        <f t="shared" si="439"/>
        <v>#N/A</v>
      </c>
      <c r="AP86" s="235" t="e">
        <f t="shared" si="440"/>
        <v>#N/A</v>
      </c>
      <c r="AQ86" s="235" t="e">
        <f t="shared" si="441"/>
        <v>#N/A</v>
      </c>
      <c r="AR86" s="101" t="e">
        <f t="shared" si="474"/>
        <v>#N/A</v>
      </c>
      <c r="AS86" s="235" t="e">
        <f t="shared" si="475"/>
        <v>#N/A</v>
      </c>
      <c r="AT86" s="235" t="e">
        <f t="shared" si="442"/>
        <v>#N/A</v>
      </c>
      <c r="AV86" s="10">
        <v>80</v>
      </c>
      <c r="AW86" s="10">
        <f t="shared" si="476"/>
        <v>125</v>
      </c>
      <c r="AX86" s="309" t="e">
        <f t="shared" si="477"/>
        <v>#N/A</v>
      </c>
      <c r="AY86" s="309" t="e">
        <f t="shared" si="478"/>
        <v>#N/A</v>
      </c>
      <c r="AZ86" s="309" t="e">
        <f t="shared" si="479"/>
        <v>#N/A</v>
      </c>
      <c r="BA86" s="235" t="e">
        <f t="shared" si="480"/>
        <v>#N/A</v>
      </c>
      <c r="BB86" s="235" t="e">
        <f t="shared" si="481"/>
        <v>#N/A</v>
      </c>
      <c r="BC86" s="309" t="e">
        <f t="shared" si="482"/>
        <v>#N/A</v>
      </c>
      <c r="BD86" s="235" t="e">
        <f t="shared" si="483"/>
        <v>#N/A</v>
      </c>
      <c r="BE86" s="235" t="e">
        <f t="shared" si="484"/>
        <v>#N/A</v>
      </c>
      <c r="BF86" s="235" t="e">
        <f t="shared" si="485"/>
        <v>#N/A</v>
      </c>
      <c r="BG86" s="235" t="e">
        <f t="shared" si="486"/>
        <v>#N/A</v>
      </c>
      <c r="BH86" s="235" t="e">
        <f t="shared" si="487"/>
        <v>#N/A</v>
      </c>
      <c r="BI86" s="235" t="e">
        <f t="shared" si="488"/>
        <v>#N/A</v>
      </c>
      <c r="BJ86" s="235" t="e">
        <f t="shared" si="489"/>
        <v>#N/A</v>
      </c>
      <c r="BK86" s="101" t="e">
        <f t="shared" si="443"/>
        <v>#N/A</v>
      </c>
      <c r="BL86" s="101" t="e">
        <f t="shared" si="444"/>
        <v>#N/A</v>
      </c>
      <c r="BM86" s="101" t="e">
        <f t="shared" si="445"/>
        <v>#N/A</v>
      </c>
      <c r="BN86" s="101" t="e">
        <f t="shared" si="446"/>
        <v>#N/A</v>
      </c>
      <c r="BO86" s="101" t="e">
        <f t="shared" si="447"/>
        <v>#N/A</v>
      </c>
      <c r="BP86" s="101" t="e">
        <f t="shared" si="490"/>
        <v>#N/A</v>
      </c>
      <c r="BQ86" s="235" t="e">
        <f t="shared" si="448"/>
        <v>#N/A</v>
      </c>
      <c r="BR86" s="235" t="e">
        <f t="shared" si="449"/>
        <v>#N/A</v>
      </c>
      <c r="BS86" s="235" t="e">
        <f t="shared" si="450"/>
        <v>#N/A</v>
      </c>
      <c r="BT86" s="235" t="e">
        <f t="shared" si="451"/>
        <v>#N/A</v>
      </c>
      <c r="BU86" s="235" t="e">
        <f t="shared" si="452"/>
        <v>#N/A</v>
      </c>
      <c r="BV86" s="235" t="e">
        <f t="shared" si="453"/>
        <v>#N/A</v>
      </c>
      <c r="BW86" s="101" t="e">
        <f t="shared" si="491"/>
        <v>#N/A</v>
      </c>
      <c r="BX86" s="235" t="e">
        <f t="shared" si="492"/>
        <v>#N/A</v>
      </c>
      <c r="BY86" s="235" t="e">
        <f t="shared" si="454"/>
        <v>#N/A</v>
      </c>
      <c r="CA86" s="23"/>
      <c r="CJ86" s="10">
        <v>78</v>
      </c>
      <c r="CK86" s="450">
        <v>0.46301467535285329</v>
      </c>
      <c r="CL86" s="450">
        <v>0.11909637703273587</v>
      </c>
      <c r="CM86" s="450">
        <v>0.46301467535285329</v>
      </c>
      <c r="CN86" s="450">
        <v>0.11909637703273587</v>
      </c>
      <c r="CO86" s="451">
        <v>4.853977262203707E-2</v>
      </c>
      <c r="CP86" s="451">
        <v>4.853085815870177E-2</v>
      </c>
      <c r="CQ86" s="451">
        <v>3.7500845297925522E-2</v>
      </c>
      <c r="CR86" s="451">
        <v>3.7520179930004977E-2</v>
      </c>
      <c r="CS86" s="451">
        <v>6.0095793360579428</v>
      </c>
      <c r="CT86" s="451">
        <v>6.0299745456031228</v>
      </c>
      <c r="CU86" s="234">
        <v>-2.0395209545180037E-2</v>
      </c>
      <c r="CX86" s="377">
        <v>78</v>
      </c>
      <c r="CY86" s="335">
        <f t="shared" si="496"/>
        <v>3.3590000000000002E-2</v>
      </c>
      <c r="CZ86" s="338">
        <v>3.3590000000000002E-2</v>
      </c>
      <c r="DA86" s="345">
        <f t="shared" si="497"/>
        <v>8.0424760587405442E-2</v>
      </c>
      <c r="DB86" s="387">
        <f t="shared" si="498"/>
        <v>0.30878541229782053</v>
      </c>
      <c r="DC86" s="114">
        <f t="shared" si="522"/>
        <v>1.636462060932764E-2</v>
      </c>
      <c r="DD86" s="378">
        <f t="shared" si="523"/>
        <v>2.2639785091870257E-2</v>
      </c>
      <c r="DE86" s="378">
        <f t="shared" si="499"/>
        <v>1.8239615576414049E-2</v>
      </c>
      <c r="DF86" s="340">
        <f t="shared" si="524"/>
        <v>2.8972024416225373E-2</v>
      </c>
      <c r="DG86" s="378">
        <f t="shared" si="525"/>
        <v>1.4888060396937353E-2</v>
      </c>
      <c r="DH86" s="378">
        <f t="shared" si="500"/>
        <v>2.4763790237463078E-2</v>
      </c>
      <c r="DI86" s="340">
        <f>DI85+(DI88-DI78)/10</f>
        <v>0.70800000000000007</v>
      </c>
      <c r="DJ86" s="349">
        <f t="shared" ref="DJ86" si="587">DJ85+(DJ88-DJ78)/10</f>
        <v>0.67400000000000004</v>
      </c>
      <c r="DK86" s="350">
        <f t="shared" si="502"/>
        <v>0.69784093101331646</v>
      </c>
      <c r="DL86" s="345">
        <f t="shared" ref="DL86" si="588">DL85+(DL88-DL78)/10</f>
        <v>0.434</v>
      </c>
      <c r="DM86" s="349">
        <f t="shared" ref="DM86" si="589">DM85+(DM88-DM78)/10</f>
        <v>0.16600000000000001</v>
      </c>
      <c r="DN86" s="396">
        <f t="shared" si="505"/>
        <v>0.35392263269319907</v>
      </c>
      <c r="DO86" s="335">
        <f t="shared" si="534"/>
        <v>0</v>
      </c>
      <c r="DP86" s="350">
        <f t="shared" si="535"/>
        <v>0</v>
      </c>
      <c r="DQ86" s="349">
        <f t="shared" si="506"/>
        <v>0</v>
      </c>
      <c r="DR86" s="335">
        <f t="shared" si="536"/>
        <v>0</v>
      </c>
      <c r="DS86" s="350">
        <f t="shared" si="537"/>
        <v>1.0285714285713787E-3</v>
      </c>
      <c r="DT86" s="349">
        <f t="shared" si="507"/>
        <v>3.0733317942907194E-4</v>
      </c>
      <c r="DU86" s="335">
        <f>DU85+(DU88-DU83)/5</f>
        <v>0.46399999999999997</v>
      </c>
      <c r="DV86" s="350">
        <f>DV85+(DV88-DV83)/5</f>
        <v>0.46500000000000008</v>
      </c>
      <c r="DW86" s="350">
        <f t="shared" si="508"/>
        <v>0.46429879614666725</v>
      </c>
      <c r="DX86" s="335">
        <f>DX85+(DX88-DX83)/5</f>
        <v>1</v>
      </c>
      <c r="DY86" s="350">
        <f>DY85+(DY88-DY83)/5</f>
        <v>0.95122857142857131</v>
      </c>
      <c r="DZ86" s="396">
        <f t="shared" si="509"/>
        <v>0.98542728507540422</v>
      </c>
      <c r="EA86" s="350">
        <f t="shared" si="510"/>
        <v>0</v>
      </c>
      <c r="EB86" s="350">
        <f t="shared" si="511"/>
        <v>0</v>
      </c>
      <c r="EC86" s="349">
        <f t="shared" si="512"/>
        <v>0</v>
      </c>
      <c r="ED86" s="335">
        <f t="shared" si="513"/>
        <v>1.034115870906871E-2</v>
      </c>
      <c r="EE86" s="350">
        <f t="shared" si="514"/>
        <v>8.2101114217552063E-3</v>
      </c>
      <c r="EF86" s="387">
        <f t="shared" si="515"/>
        <v>9.7044099912539147E-3</v>
      </c>
      <c r="EG86" s="335">
        <f t="shared" si="516"/>
        <v>2.8972024416225373E-2</v>
      </c>
      <c r="EH86" s="350">
        <f t="shared" si="517"/>
        <v>1.4888060396937353E-2</v>
      </c>
      <c r="EI86" s="387">
        <f t="shared" si="518"/>
        <v>2.4763790237463078E-2</v>
      </c>
      <c r="EJ86" s="335">
        <f t="shared" si="519"/>
        <v>9.0725933907607192E-3</v>
      </c>
      <c r="EK86" s="350">
        <f t="shared" si="520"/>
        <v>0</v>
      </c>
      <c r="EL86" s="387">
        <f t="shared" si="521"/>
        <v>6.3617374453234033E-3</v>
      </c>
      <c r="EO86" s="454">
        <v>80</v>
      </c>
      <c r="EP86" s="452" t="s">
        <v>202</v>
      </c>
      <c r="EQ86" s="458">
        <v>21.9</v>
      </c>
      <c r="ER86" s="458">
        <v>9.8000000000000007</v>
      </c>
      <c r="ES86" s="458">
        <v>48.6</v>
      </c>
      <c r="ET86" s="347">
        <f t="shared" si="557"/>
        <v>0.40848739003887524</v>
      </c>
      <c r="EU86" s="458">
        <f t="shared" ca="1" si="547"/>
        <v>11.145284924136499</v>
      </c>
      <c r="EV86" s="458">
        <f t="shared" si="548"/>
        <v>21.9</v>
      </c>
      <c r="EW86" s="396">
        <f t="shared" si="558"/>
        <v>2.1661936033920637E-2</v>
      </c>
      <c r="EY86" s="363">
        <v>30</v>
      </c>
      <c r="EZ86" s="346">
        <v>2.5000000000000001E-2</v>
      </c>
      <c r="FA86" s="347">
        <f t="shared" si="562"/>
        <v>2.0000000000000004E-2</v>
      </c>
      <c r="FB86" s="347">
        <f t="shared" si="563"/>
        <v>0.03</v>
      </c>
      <c r="FC86" s="33">
        <f t="shared" si="564"/>
        <v>93.610558754419358</v>
      </c>
      <c r="FD86" s="33">
        <f t="shared" si="565"/>
        <v>3650.8117914223549</v>
      </c>
      <c r="FE86" s="308">
        <f t="shared" ca="1" si="569"/>
        <v>2.7443283565715793E-2</v>
      </c>
      <c r="FF86" s="364">
        <f t="shared" si="570"/>
        <v>2.5000000000000001E-2</v>
      </c>
    </row>
    <row r="87" spans="2:162" ht="15" customHeight="1" x14ac:dyDescent="0.2">
      <c r="B87" s="330" t="s">
        <v>293</v>
      </c>
      <c r="C87" s="101">
        <f t="shared" si="549"/>
        <v>2540</v>
      </c>
      <c r="D87" s="255"/>
      <c r="E87" s="101">
        <v>2540</v>
      </c>
      <c r="F87" s="101">
        <f t="shared" si="583"/>
        <v>2032</v>
      </c>
      <c r="G87" s="101">
        <f t="shared" si="584"/>
        <v>3048</v>
      </c>
      <c r="H87" s="101">
        <f t="shared" si="585"/>
        <v>259.18843611772428</v>
      </c>
      <c r="I87" s="118"/>
      <c r="J87" s="101">
        <f t="shared" ca="1" si="586"/>
        <v>2801.6347703150009</v>
      </c>
      <c r="K87" s="10" t="s">
        <v>43</v>
      </c>
      <c r="L87" s="10">
        <v>31</v>
      </c>
      <c r="M87" s="393" t="s">
        <v>328</v>
      </c>
      <c r="N87" s="393" t="s">
        <v>280</v>
      </c>
      <c r="Q87" s="10">
        <v>81</v>
      </c>
      <c r="R87" s="10">
        <f t="shared" si="431"/>
        <v>126</v>
      </c>
      <c r="S87" s="309" t="e">
        <f t="shared" si="459"/>
        <v>#N/A</v>
      </c>
      <c r="T87" s="309" t="e">
        <f t="shared" si="460"/>
        <v>#N/A</v>
      </c>
      <c r="U87" s="309" t="e">
        <f t="shared" si="461"/>
        <v>#N/A</v>
      </c>
      <c r="V87" s="235" t="e">
        <f t="shared" si="462"/>
        <v>#N/A</v>
      </c>
      <c r="W87" s="235" t="e">
        <f t="shared" si="463"/>
        <v>#N/A</v>
      </c>
      <c r="X87" s="309" t="e">
        <f t="shared" si="464"/>
        <v>#N/A</v>
      </c>
      <c r="Y87" s="235" t="e">
        <f t="shared" si="465"/>
        <v>#N/A</v>
      </c>
      <c r="Z87" s="235" t="e">
        <f t="shared" si="466"/>
        <v>#N/A</v>
      </c>
      <c r="AA87" s="235" t="e">
        <f t="shared" si="467"/>
        <v>#N/A</v>
      </c>
      <c r="AB87" s="235" t="e">
        <f t="shared" si="468"/>
        <v>#N/A</v>
      </c>
      <c r="AC87" s="235" t="e">
        <f t="shared" si="469"/>
        <v>#N/A</v>
      </c>
      <c r="AD87" s="235" t="e">
        <f t="shared" si="470"/>
        <v>#N/A</v>
      </c>
      <c r="AE87" s="235" t="e">
        <f t="shared" si="471"/>
        <v>#N/A</v>
      </c>
      <c r="AF87" s="101" t="e">
        <f t="shared" si="432"/>
        <v>#N/A</v>
      </c>
      <c r="AG87" s="101" t="e">
        <f t="shared" si="433"/>
        <v>#N/A</v>
      </c>
      <c r="AH87" s="101" t="e">
        <f t="shared" si="434"/>
        <v>#N/A</v>
      </c>
      <c r="AI87" s="101" t="e">
        <f t="shared" si="435"/>
        <v>#N/A</v>
      </c>
      <c r="AJ87" s="101" t="e">
        <f t="shared" si="436"/>
        <v>#N/A</v>
      </c>
      <c r="AK87" s="101" t="e">
        <f t="shared" si="472"/>
        <v>#N/A</v>
      </c>
      <c r="AL87" s="235" t="e">
        <f t="shared" si="473"/>
        <v>#N/A</v>
      </c>
      <c r="AM87" s="235" t="e">
        <f t="shared" si="437"/>
        <v>#N/A</v>
      </c>
      <c r="AN87" s="235" t="e">
        <f t="shared" si="438"/>
        <v>#N/A</v>
      </c>
      <c r="AO87" s="235" t="e">
        <f t="shared" si="439"/>
        <v>#N/A</v>
      </c>
      <c r="AP87" s="235" t="e">
        <f t="shared" si="440"/>
        <v>#N/A</v>
      </c>
      <c r="AQ87" s="235" t="e">
        <f t="shared" si="441"/>
        <v>#N/A</v>
      </c>
      <c r="AR87" s="101" t="e">
        <f t="shared" si="474"/>
        <v>#N/A</v>
      </c>
      <c r="AS87" s="235" t="e">
        <f t="shared" si="475"/>
        <v>#N/A</v>
      </c>
      <c r="AT87" s="235" t="e">
        <f t="shared" si="442"/>
        <v>#N/A</v>
      </c>
      <c r="AV87" s="10">
        <v>81</v>
      </c>
      <c r="AW87" s="10">
        <f t="shared" si="476"/>
        <v>126</v>
      </c>
      <c r="AX87" s="309" t="e">
        <f t="shared" si="477"/>
        <v>#N/A</v>
      </c>
      <c r="AY87" s="309" t="e">
        <f t="shared" si="478"/>
        <v>#N/A</v>
      </c>
      <c r="AZ87" s="309" t="e">
        <f t="shared" si="479"/>
        <v>#N/A</v>
      </c>
      <c r="BA87" s="235" t="e">
        <f t="shared" si="480"/>
        <v>#N/A</v>
      </c>
      <c r="BB87" s="235" t="e">
        <f t="shared" si="481"/>
        <v>#N/A</v>
      </c>
      <c r="BC87" s="309" t="e">
        <f t="shared" si="482"/>
        <v>#N/A</v>
      </c>
      <c r="BD87" s="235" t="e">
        <f t="shared" si="483"/>
        <v>#N/A</v>
      </c>
      <c r="BE87" s="235" t="e">
        <f t="shared" si="484"/>
        <v>#N/A</v>
      </c>
      <c r="BF87" s="235" t="e">
        <f t="shared" si="485"/>
        <v>#N/A</v>
      </c>
      <c r="BG87" s="235" t="e">
        <f t="shared" si="486"/>
        <v>#N/A</v>
      </c>
      <c r="BH87" s="235" t="e">
        <f t="shared" si="487"/>
        <v>#N/A</v>
      </c>
      <c r="BI87" s="235" t="e">
        <f t="shared" si="488"/>
        <v>#N/A</v>
      </c>
      <c r="BJ87" s="235" t="e">
        <f t="shared" si="489"/>
        <v>#N/A</v>
      </c>
      <c r="BK87" s="101" t="e">
        <f t="shared" si="443"/>
        <v>#N/A</v>
      </c>
      <c r="BL87" s="101" t="e">
        <f t="shared" si="444"/>
        <v>#N/A</v>
      </c>
      <c r="BM87" s="101" t="e">
        <f t="shared" si="445"/>
        <v>#N/A</v>
      </c>
      <c r="BN87" s="101" t="e">
        <f t="shared" si="446"/>
        <v>#N/A</v>
      </c>
      <c r="BO87" s="101" t="e">
        <f t="shared" si="447"/>
        <v>#N/A</v>
      </c>
      <c r="BP87" s="101" t="e">
        <f t="shared" si="490"/>
        <v>#N/A</v>
      </c>
      <c r="BQ87" s="235" t="e">
        <f t="shared" si="448"/>
        <v>#N/A</v>
      </c>
      <c r="BR87" s="235" t="e">
        <f t="shared" si="449"/>
        <v>#N/A</v>
      </c>
      <c r="BS87" s="235" t="e">
        <f t="shared" si="450"/>
        <v>#N/A</v>
      </c>
      <c r="BT87" s="235" t="e">
        <f t="shared" si="451"/>
        <v>#N/A</v>
      </c>
      <c r="BU87" s="235" t="e">
        <f t="shared" si="452"/>
        <v>#N/A</v>
      </c>
      <c r="BV87" s="235" t="e">
        <f t="shared" si="453"/>
        <v>#N/A</v>
      </c>
      <c r="BW87" s="101" t="e">
        <f t="shared" si="491"/>
        <v>#N/A</v>
      </c>
      <c r="BX87" s="235" t="e">
        <f t="shared" si="492"/>
        <v>#N/A</v>
      </c>
      <c r="BY87" s="235" t="e">
        <f t="shared" si="454"/>
        <v>#N/A</v>
      </c>
      <c r="CA87" s="23"/>
      <c r="CJ87" s="10">
        <v>79</v>
      </c>
      <c r="CK87" s="450">
        <v>0.46767621950807653</v>
      </c>
      <c r="CL87" s="450">
        <v>0.1198615327479577</v>
      </c>
      <c r="CM87" s="450">
        <v>0.46767621950807653</v>
      </c>
      <c r="CN87" s="450">
        <v>0.1198615327479577</v>
      </c>
      <c r="CO87" s="451">
        <v>4.4069666111586414E-2</v>
      </c>
      <c r="CP87" s="451">
        <v>4.4059726547499616E-2</v>
      </c>
      <c r="CQ87" s="451">
        <v>2.9298051206187566E-2</v>
      </c>
      <c r="CR87" s="451">
        <v>2.9313169115902173E-2</v>
      </c>
      <c r="CS87" s="451">
        <v>5.7490161830285533</v>
      </c>
      <c r="CT87" s="451">
        <v>5.7691735483003379</v>
      </c>
      <c r="CU87" s="234">
        <v>-2.0157365271784577E-2</v>
      </c>
      <c r="CX87" s="377">
        <v>79</v>
      </c>
      <c r="CY87" s="335">
        <f t="shared" si="496"/>
        <v>3.7751E-2</v>
      </c>
      <c r="CZ87" s="338">
        <v>3.7751E-2</v>
      </c>
      <c r="DA87" s="345">
        <f t="shared" si="497"/>
        <v>8.0424760587405442E-2</v>
      </c>
      <c r="DB87" s="387">
        <f t="shared" si="498"/>
        <v>0.30878541229782053</v>
      </c>
      <c r="DC87" s="114">
        <f t="shared" si="522"/>
        <v>1.636462060932764E-2</v>
      </c>
      <c r="DD87" s="378">
        <f t="shared" si="523"/>
        <v>2.2639785091870257E-2</v>
      </c>
      <c r="DE87" s="378">
        <f t="shared" si="499"/>
        <v>1.8239615576414049E-2</v>
      </c>
      <c r="DF87" s="340">
        <f t="shared" si="524"/>
        <v>2.8972024416225373E-2</v>
      </c>
      <c r="DG87" s="378">
        <f t="shared" si="525"/>
        <v>1.4888060396937353E-2</v>
      </c>
      <c r="DH87" s="378">
        <f t="shared" si="500"/>
        <v>2.4763790237463078E-2</v>
      </c>
      <c r="DI87" s="340">
        <f>DI86+(DI88-DI78)/10</f>
        <v>0.71400000000000008</v>
      </c>
      <c r="DJ87" s="349">
        <f t="shared" ref="DJ87" si="590">DJ86+(DJ88-DJ78)/10</f>
        <v>0.68200000000000005</v>
      </c>
      <c r="DK87" s="350">
        <f t="shared" si="502"/>
        <v>0.7044385233066508</v>
      </c>
      <c r="DL87" s="345">
        <f t="shared" ref="DL87" si="591">DL86+(DL88-DL78)/10</f>
        <v>0.437</v>
      </c>
      <c r="DM87" s="349">
        <f t="shared" ref="DM87" si="592">DM86+(DM88-DM78)/10</f>
        <v>0.16800000000000001</v>
      </c>
      <c r="DN87" s="396">
        <f t="shared" si="505"/>
        <v>0.3566238365465319</v>
      </c>
      <c r="DO87" s="335">
        <f t="shared" si="534"/>
        <v>0</v>
      </c>
      <c r="DP87" s="350">
        <f t="shared" si="535"/>
        <v>0</v>
      </c>
      <c r="DQ87" s="349">
        <f t="shared" si="506"/>
        <v>0</v>
      </c>
      <c r="DR87" s="335">
        <f t="shared" si="536"/>
        <v>0</v>
      </c>
      <c r="DS87" s="350">
        <f t="shared" si="537"/>
        <v>1.0285714285713787E-3</v>
      </c>
      <c r="DT87" s="349">
        <f t="shared" si="507"/>
        <v>3.0733317942907194E-4</v>
      </c>
      <c r="DU87" s="335">
        <f>DU86+(DU88-DU83)/5</f>
        <v>0.46399999999999997</v>
      </c>
      <c r="DV87" s="350">
        <f>DV86+(DV88-DV83)/5</f>
        <v>0.46500000000000008</v>
      </c>
      <c r="DW87" s="350">
        <f t="shared" si="508"/>
        <v>0.46429879614666725</v>
      </c>
      <c r="DX87" s="335">
        <f>DX86+(DX88-DX83)/5</f>
        <v>1</v>
      </c>
      <c r="DY87" s="350">
        <f>DY86+(DY88-DY83)/5</f>
        <v>0.95225714285714269</v>
      </c>
      <c r="DZ87" s="396">
        <f t="shared" si="509"/>
        <v>0.98573461825483322</v>
      </c>
      <c r="EA87" s="350">
        <f t="shared" si="510"/>
        <v>0</v>
      </c>
      <c r="EB87" s="350">
        <f t="shared" si="511"/>
        <v>0</v>
      </c>
      <c r="EC87" s="349">
        <f t="shared" si="512"/>
        <v>0</v>
      </c>
      <c r="ED87" s="335">
        <f t="shared" si="513"/>
        <v>1.034115870906871E-2</v>
      </c>
      <c r="EE87" s="350">
        <f t="shared" si="514"/>
        <v>8.2101114217552063E-3</v>
      </c>
      <c r="EF87" s="387">
        <f t="shared" si="515"/>
        <v>9.7044099912539147E-3</v>
      </c>
      <c r="EG87" s="335">
        <f t="shared" si="516"/>
        <v>2.8972024416225373E-2</v>
      </c>
      <c r="EH87" s="350">
        <f t="shared" si="517"/>
        <v>1.4888060396937353E-2</v>
      </c>
      <c r="EI87" s="387">
        <f t="shared" si="518"/>
        <v>2.4763790237463078E-2</v>
      </c>
      <c r="EJ87" s="335">
        <f t="shared" si="519"/>
        <v>9.0725933907607192E-3</v>
      </c>
      <c r="EK87" s="350">
        <f t="shared" si="520"/>
        <v>0</v>
      </c>
      <c r="EL87" s="387">
        <f t="shared" si="521"/>
        <v>6.3617374453234033E-3</v>
      </c>
      <c r="EO87" s="454">
        <v>90</v>
      </c>
      <c r="EP87" s="452"/>
      <c r="EQ87" s="458">
        <f>EQ86/2</f>
        <v>10.95</v>
      </c>
      <c r="ER87" s="458">
        <f t="shared" ref="ER87:ES87" si="593">ER86/2</f>
        <v>4.9000000000000004</v>
      </c>
      <c r="ES87" s="458">
        <f t="shared" si="593"/>
        <v>24.3</v>
      </c>
      <c r="ET87" s="347">
        <f t="shared" si="557"/>
        <v>0.40848739003887524</v>
      </c>
      <c r="EU87" s="458">
        <f t="shared" ca="1" si="547"/>
        <v>5.8691337591344199</v>
      </c>
      <c r="EV87" s="458">
        <f t="shared" si="548"/>
        <v>10.95</v>
      </c>
      <c r="EW87" s="396">
        <f t="shared" si="558"/>
        <v>1.0890266974346585E-2</v>
      </c>
      <c r="EY87" s="363">
        <v>35</v>
      </c>
      <c r="EZ87" s="346">
        <v>0.29299999999999998</v>
      </c>
      <c r="FA87" s="347">
        <f t="shared" si="562"/>
        <v>0.2344</v>
      </c>
      <c r="FB87" s="347">
        <f t="shared" si="563"/>
        <v>0.35159999999999997</v>
      </c>
      <c r="FC87" s="33">
        <f t="shared" si="564"/>
        <v>67.604784655768654</v>
      </c>
      <c r="FD87" s="33">
        <f t="shared" si="565"/>
        <v>163.12826877688889</v>
      </c>
      <c r="FE87" s="308">
        <f t="shared" ca="1" si="569"/>
        <v>0.29376758332339192</v>
      </c>
      <c r="FF87" s="364">
        <f t="shared" si="570"/>
        <v>0.318</v>
      </c>
    </row>
    <row r="88" spans="2:162" ht="15" customHeight="1" x14ac:dyDescent="0.2">
      <c r="B88" s="330" t="s">
        <v>294</v>
      </c>
      <c r="C88" s="101">
        <f t="shared" si="549"/>
        <v>72333</v>
      </c>
      <c r="D88" s="255"/>
      <c r="E88" s="101">
        <v>72333</v>
      </c>
      <c r="F88" s="101">
        <f t="shared" si="583"/>
        <v>57866.400000000001</v>
      </c>
      <c r="G88" s="101">
        <f t="shared" si="584"/>
        <v>86799.599999999991</v>
      </c>
      <c r="H88" s="101">
        <f t="shared" si="585"/>
        <v>7381.0539959461976</v>
      </c>
      <c r="I88" s="118"/>
      <c r="J88" s="101">
        <f t="shared" ca="1" si="586"/>
        <v>60446.066035282238</v>
      </c>
      <c r="K88" s="10" t="s">
        <v>43</v>
      </c>
      <c r="L88" s="10">
        <v>32</v>
      </c>
      <c r="M88" s="393" t="s">
        <v>334</v>
      </c>
      <c r="N88" s="393" t="s">
        <v>280</v>
      </c>
      <c r="Q88" s="10">
        <v>82</v>
      </c>
      <c r="R88" s="10">
        <f t="shared" si="431"/>
        <v>127</v>
      </c>
      <c r="S88" s="309" t="e">
        <f t="shared" si="459"/>
        <v>#N/A</v>
      </c>
      <c r="T88" s="309" t="e">
        <f t="shared" si="460"/>
        <v>#N/A</v>
      </c>
      <c r="U88" s="309" t="e">
        <f t="shared" si="461"/>
        <v>#N/A</v>
      </c>
      <c r="V88" s="235" t="e">
        <f t="shared" si="462"/>
        <v>#N/A</v>
      </c>
      <c r="W88" s="235" t="e">
        <f t="shared" si="463"/>
        <v>#N/A</v>
      </c>
      <c r="X88" s="309" t="e">
        <f t="shared" si="464"/>
        <v>#N/A</v>
      </c>
      <c r="Y88" s="235" t="e">
        <f t="shared" si="465"/>
        <v>#N/A</v>
      </c>
      <c r="Z88" s="235" t="e">
        <f t="shared" si="466"/>
        <v>#N/A</v>
      </c>
      <c r="AA88" s="235" t="e">
        <f t="shared" si="467"/>
        <v>#N/A</v>
      </c>
      <c r="AB88" s="235" t="e">
        <f t="shared" si="468"/>
        <v>#N/A</v>
      </c>
      <c r="AC88" s="235" t="e">
        <f t="shared" si="469"/>
        <v>#N/A</v>
      </c>
      <c r="AD88" s="235" t="e">
        <f t="shared" si="470"/>
        <v>#N/A</v>
      </c>
      <c r="AE88" s="235" t="e">
        <f t="shared" si="471"/>
        <v>#N/A</v>
      </c>
      <c r="AF88" s="101" t="e">
        <f t="shared" si="432"/>
        <v>#N/A</v>
      </c>
      <c r="AG88" s="101" t="e">
        <f t="shared" si="433"/>
        <v>#N/A</v>
      </c>
      <c r="AH88" s="101" t="e">
        <f t="shared" si="434"/>
        <v>#N/A</v>
      </c>
      <c r="AI88" s="101" t="e">
        <f t="shared" si="435"/>
        <v>#N/A</v>
      </c>
      <c r="AJ88" s="101" t="e">
        <f t="shared" si="436"/>
        <v>#N/A</v>
      </c>
      <c r="AK88" s="101" t="e">
        <f t="shared" si="472"/>
        <v>#N/A</v>
      </c>
      <c r="AL88" s="235" t="e">
        <f t="shared" si="473"/>
        <v>#N/A</v>
      </c>
      <c r="AM88" s="235" t="e">
        <f t="shared" si="437"/>
        <v>#N/A</v>
      </c>
      <c r="AN88" s="235" t="e">
        <f t="shared" si="438"/>
        <v>#N/A</v>
      </c>
      <c r="AO88" s="235" t="e">
        <f t="shared" si="439"/>
        <v>#N/A</v>
      </c>
      <c r="AP88" s="235" t="e">
        <f t="shared" si="440"/>
        <v>#N/A</v>
      </c>
      <c r="AQ88" s="235" t="e">
        <f t="shared" si="441"/>
        <v>#N/A</v>
      </c>
      <c r="AR88" s="101" t="e">
        <f t="shared" si="474"/>
        <v>#N/A</v>
      </c>
      <c r="AS88" s="235" t="e">
        <f t="shared" si="475"/>
        <v>#N/A</v>
      </c>
      <c r="AT88" s="235" t="e">
        <f t="shared" si="442"/>
        <v>#N/A</v>
      </c>
      <c r="AV88" s="10">
        <v>82</v>
      </c>
      <c r="AW88" s="10">
        <f t="shared" si="476"/>
        <v>127</v>
      </c>
      <c r="AX88" s="309" t="e">
        <f t="shared" si="477"/>
        <v>#N/A</v>
      </c>
      <c r="AY88" s="309" t="e">
        <f t="shared" si="478"/>
        <v>#N/A</v>
      </c>
      <c r="AZ88" s="309" t="e">
        <f t="shared" si="479"/>
        <v>#N/A</v>
      </c>
      <c r="BA88" s="235" t="e">
        <f t="shared" si="480"/>
        <v>#N/A</v>
      </c>
      <c r="BB88" s="235" t="e">
        <f t="shared" si="481"/>
        <v>#N/A</v>
      </c>
      <c r="BC88" s="309" t="e">
        <f t="shared" si="482"/>
        <v>#N/A</v>
      </c>
      <c r="BD88" s="235" t="e">
        <f t="shared" si="483"/>
        <v>#N/A</v>
      </c>
      <c r="BE88" s="235" t="e">
        <f t="shared" si="484"/>
        <v>#N/A</v>
      </c>
      <c r="BF88" s="235" t="e">
        <f t="shared" si="485"/>
        <v>#N/A</v>
      </c>
      <c r="BG88" s="235" t="e">
        <f t="shared" si="486"/>
        <v>#N/A</v>
      </c>
      <c r="BH88" s="235" t="e">
        <f t="shared" si="487"/>
        <v>#N/A</v>
      </c>
      <c r="BI88" s="235" t="e">
        <f t="shared" si="488"/>
        <v>#N/A</v>
      </c>
      <c r="BJ88" s="235" t="e">
        <f t="shared" si="489"/>
        <v>#N/A</v>
      </c>
      <c r="BK88" s="101" t="e">
        <f t="shared" si="443"/>
        <v>#N/A</v>
      </c>
      <c r="BL88" s="101" t="e">
        <f t="shared" si="444"/>
        <v>#N/A</v>
      </c>
      <c r="BM88" s="101" t="e">
        <f t="shared" si="445"/>
        <v>#N/A</v>
      </c>
      <c r="BN88" s="101" t="e">
        <f t="shared" si="446"/>
        <v>#N/A</v>
      </c>
      <c r="BO88" s="101" t="e">
        <f t="shared" si="447"/>
        <v>#N/A</v>
      </c>
      <c r="BP88" s="101" t="e">
        <f t="shared" si="490"/>
        <v>#N/A</v>
      </c>
      <c r="BQ88" s="235" t="e">
        <f t="shared" si="448"/>
        <v>#N/A</v>
      </c>
      <c r="BR88" s="235" t="e">
        <f t="shared" si="449"/>
        <v>#N/A</v>
      </c>
      <c r="BS88" s="235" t="e">
        <f t="shared" si="450"/>
        <v>#N/A</v>
      </c>
      <c r="BT88" s="235" t="e">
        <f t="shared" si="451"/>
        <v>#N/A</v>
      </c>
      <c r="BU88" s="235" t="e">
        <f t="shared" si="452"/>
        <v>#N/A</v>
      </c>
      <c r="BV88" s="235" t="e">
        <f t="shared" si="453"/>
        <v>#N/A</v>
      </c>
      <c r="BW88" s="101" t="e">
        <f t="shared" si="491"/>
        <v>#N/A</v>
      </c>
      <c r="BX88" s="235" t="e">
        <f t="shared" si="492"/>
        <v>#N/A</v>
      </c>
      <c r="BY88" s="235" t="e">
        <f t="shared" si="454"/>
        <v>#N/A</v>
      </c>
      <c r="CA88" s="23"/>
      <c r="CJ88" s="10">
        <v>80</v>
      </c>
      <c r="CK88" s="450">
        <v>0.47233810275490434</v>
      </c>
      <c r="CL88" s="450">
        <v>0.12062702755478408</v>
      </c>
      <c r="CM88" s="450">
        <v>0.47233810275490434</v>
      </c>
      <c r="CN88" s="450">
        <v>0.12062702755478408</v>
      </c>
      <c r="CO88" s="451">
        <v>3.9002302036209989E-2</v>
      </c>
      <c r="CP88" s="451">
        <v>3.8991624879459411E-2</v>
      </c>
      <c r="CQ88" s="451">
        <v>2.7175391417052584E-2</v>
      </c>
      <c r="CR88" s="451">
        <v>2.7186277720553032E-2</v>
      </c>
      <c r="CS88" s="451">
        <v>5.5199488420702121</v>
      </c>
      <c r="CT88" s="451">
        <v>5.5398688745403781</v>
      </c>
      <c r="CU88" s="234">
        <v>-1.9920032470166049E-2</v>
      </c>
      <c r="CX88" s="377">
        <v>80</v>
      </c>
      <c r="CY88" s="335">
        <f t="shared" si="496"/>
        <v>4.2126999999999998E-2</v>
      </c>
      <c r="CZ88" s="338">
        <v>4.2126999999999998E-2</v>
      </c>
      <c r="DA88" s="345">
        <f t="shared" si="497"/>
        <v>0.10860202127026397</v>
      </c>
      <c r="DB88" s="387">
        <f t="shared" si="498"/>
        <v>0.32996533623522462</v>
      </c>
      <c r="DC88" s="114">
        <f t="shared" si="522"/>
        <v>1.636462060932764E-2</v>
      </c>
      <c r="DD88" s="378">
        <f t="shared" si="523"/>
        <v>2.1661936033920637E-2</v>
      </c>
      <c r="DE88" s="378">
        <f t="shared" si="499"/>
        <v>1.794743804587658E-2</v>
      </c>
      <c r="DF88" s="340">
        <f t="shared" si="524"/>
        <v>5.6837858215668113E-3</v>
      </c>
      <c r="DG88" s="378">
        <f t="shared" si="525"/>
        <v>1.6856315365090357E-2</v>
      </c>
      <c r="DH88" s="378">
        <f t="shared" si="500"/>
        <v>9.0220945976967372E-3</v>
      </c>
      <c r="DI88" s="340">
        <f>VLOOKUP($CX88,$EO$8:$EW$18,9,FALSE)</f>
        <v>0.72</v>
      </c>
      <c r="DJ88" s="349">
        <f>VLOOKUP($CX88,$EO$22:$EW$32,9,FALSE)</f>
        <v>0.69</v>
      </c>
      <c r="DK88" s="350">
        <f t="shared" si="502"/>
        <v>0.71103611559998492</v>
      </c>
      <c r="DL88" s="345">
        <f>VLOOKUP($CX88,$EO$36:$EW$46,9,FALSE)</f>
        <v>0.44</v>
      </c>
      <c r="DM88" s="349">
        <f>VLOOKUP($CX88,$EO$50:$EW$60,9,FALSE)</f>
        <v>0.17</v>
      </c>
      <c r="DN88" s="396">
        <f t="shared" si="505"/>
        <v>0.35932504039986474</v>
      </c>
      <c r="DO88" s="335">
        <f t="shared" si="534"/>
        <v>0</v>
      </c>
      <c r="DP88" s="350">
        <f t="shared" si="535"/>
        <v>0</v>
      </c>
      <c r="DQ88" s="349">
        <f t="shared" si="506"/>
        <v>0</v>
      </c>
      <c r="DR88" s="335">
        <f t="shared" si="536"/>
        <v>0</v>
      </c>
      <c r="DS88" s="350">
        <f t="shared" si="537"/>
        <v>1.0285714285716008E-3</v>
      </c>
      <c r="DT88" s="349">
        <f t="shared" si="507"/>
        <v>3.0733317942913829E-4</v>
      </c>
      <c r="DU88" s="335">
        <f>VLOOKUP($CX88,$EY$8:$FF$28,8,FALSE)</f>
        <v>0.46399999999999997</v>
      </c>
      <c r="DV88" s="350">
        <f>VLOOKUP($CX88,$EY$32:$FF$52,8,FALSE)</f>
        <v>0.46500000000000008</v>
      </c>
      <c r="DW88" s="350">
        <f t="shared" si="508"/>
        <v>0.46429879614666725</v>
      </c>
      <c r="DX88" s="335">
        <f>VLOOKUP($CX88,$EY$56:$FF$76,8,FALSE)</f>
        <v>1</v>
      </c>
      <c r="DY88" s="350">
        <f>VLOOKUP($CX88,$EY$80:$FF$100,8,FALSE)</f>
        <v>0.95328571428571429</v>
      </c>
      <c r="DZ88" s="396">
        <f t="shared" si="509"/>
        <v>0.98604195143426243</v>
      </c>
      <c r="EA88" s="350">
        <f t="shared" si="510"/>
        <v>0</v>
      </c>
      <c r="EB88" s="350">
        <f t="shared" si="511"/>
        <v>0</v>
      </c>
      <c r="EC88" s="349">
        <f t="shared" si="512"/>
        <v>0</v>
      </c>
      <c r="ED88" s="335">
        <f t="shared" si="513"/>
        <v>1.034115870906871E-2</v>
      </c>
      <c r="EE88" s="350">
        <f t="shared" si="514"/>
        <v>7.8530027861695162E-3</v>
      </c>
      <c r="EF88" s="387">
        <f t="shared" si="515"/>
        <v>9.5977073069993396E-3</v>
      </c>
      <c r="EG88" s="335">
        <f t="shared" si="516"/>
        <v>5.6837858215668113E-3</v>
      </c>
      <c r="EH88" s="350">
        <f t="shared" si="517"/>
        <v>1.6856315365090357E-2</v>
      </c>
      <c r="EI88" s="387">
        <f t="shared" si="518"/>
        <v>9.0220945976967372E-3</v>
      </c>
      <c r="EJ88" s="335">
        <f t="shared" si="519"/>
        <v>1.7654397746080797E-3</v>
      </c>
      <c r="EK88" s="350">
        <f t="shared" si="520"/>
        <v>0</v>
      </c>
      <c r="EL88" s="387">
        <f t="shared" si="521"/>
        <v>1.2379331727822324E-3</v>
      </c>
      <c r="EO88" s="454">
        <v>100</v>
      </c>
      <c r="EP88" s="452"/>
      <c r="EQ88" s="458">
        <v>0</v>
      </c>
      <c r="ER88" s="458">
        <v>0</v>
      </c>
      <c r="ES88" s="458">
        <v>0</v>
      </c>
      <c r="ET88" s="347" t="e">
        <f t="shared" si="557"/>
        <v>#NUM!</v>
      </c>
      <c r="EU88" s="458">
        <f t="shared" ca="1" si="547"/>
        <v>0</v>
      </c>
      <c r="EV88" s="458">
        <f t="shared" si="548"/>
        <v>0</v>
      </c>
      <c r="EW88" s="396">
        <f t="shared" si="558"/>
        <v>0</v>
      </c>
      <c r="EY88" s="363">
        <v>40</v>
      </c>
      <c r="EZ88" s="346">
        <v>0.20200000000000001</v>
      </c>
      <c r="FA88" s="347">
        <f t="shared" si="562"/>
        <v>0.16160000000000002</v>
      </c>
      <c r="FB88" s="347">
        <f t="shared" si="563"/>
        <v>0.2424</v>
      </c>
      <c r="FC88" s="33">
        <f t="shared" si="564"/>
        <v>76.435103472847814</v>
      </c>
      <c r="FD88" s="33">
        <f t="shared" si="565"/>
        <v>301.95649787788392</v>
      </c>
      <c r="FE88" s="308">
        <f t="shared" ca="1" si="569"/>
        <v>0.21301824877525044</v>
      </c>
      <c r="FF88" s="364">
        <f t="shared" si="570"/>
        <v>0.52</v>
      </c>
    </row>
    <row r="89" spans="2:162" ht="15" customHeight="1" x14ac:dyDescent="0.2">
      <c r="B89" s="330" t="s">
        <v>295</v>
      </c>
      <c r="C89" s="101">
        <f t="shared" si="549"/>
        <v>94736</v>
      </c>
      <c r="D89" s="255"/>
      <c r="E89" s="101">
        <v>94736</v>
      </c>
      <c r="F89" s="101">
        <f t="shared" si="583"/>
        <v>75788.800000000003</v>
      </c>
      <c r="G89" s="101">
        <f t="shared" si="584"/>
        <v>113683.2</v>
      </c>
      <c r="H89" s="101">
        <f t="shared" si="585"/>
        <v>9667.1164110428035</v>
      </c>
      <c r="I89" s="118"/>
      <c r="J89" s="101">
        <f t="shared" ca="1" si="586"/>
        <v>106016.18306869915</v>
      </c>
      <c r="K89" s="10" t="s">
        <v>43</v>
      </c>
      <c r="L89" s="10">
        <v>33</v>
      </c>
      <c r="M89" s="393" t="s">
        <v>335</v>
      </c>
      <c r="N89" s="393" t="s">
        <v>280</v>
      </c>
      <c r="Q89" s="10">
        <v>83</v>
      </c>
      <c r="R89" s="10">
        <f t="shared" si="431"/>
        <v>128</v>
      </c>
      <c r="S89" s="309" t="e">
        <f t="shared" si="459"/>
        <v>#N/A</v>
      </c>
      <c r="T89" s="309" t="e">
        <f t="shared" si="460"/>
        <v>#N/A</v>
      </c>
      <c r="U89" s="309" t="e">
        <f t="shared" si="461"/>
        <v>#N/A</v>
      </c>
      <c r="V89" s="235" t="e">
        <f t="shared" si="462"/>
        <v>#N/A</v>
      </c>
      <c r="W89" s="235" t="e">
        <f t="shared" si="463"/>
        <v>#N/A</v>
      </c>
      <c r="X89" s="309" t="e">
        <f t="shared" si="464"/>
        <v>#N/A</v>
      </c>
      <c r="Y89" s="235" t="e">
        <f t="shared" si="465"/>
        <v>#N/A</v>
      </c>
      <c r="Z89" s="235" t="e">
        <f t="shared" si="466"/>
        <v>#N/A</v>
      </c>
      <c r="AA89" s="235" t="e">
        <f t="shared" si="467"/>
        <v>#N/A</v>
      </c>
      <c r="AB89" s="235" t="e">
        <f t="shared" si="468"/>
        <v>#N/A</v>
      </c>
      <c r="AC89" s="235" t="e">
        <f t="shared" si="469"/>
        <v>#N/A</v>
      </c>
      <c r="AD89" s="235" t="e">
        <f t="shared" si="470"/>
        <v>#N/A</v>
      </c>
      <c r="AE89" s="235" t="e">
        <f t="shared" si="471"/>
        <v>#N/A</v>
      </c>
      <c r="AF89" s="101" t="e">
        <f t="shared" si="432"/>
        <v>#N/A</v>
      </c>
      <c r="AG89" s="101" t="e">
        <f t="shared" si="433"/>
        <v>#N/A</v>
      </c>
      <c r="AH89" s="101" t="e">
        <f t="shared" si="434"/>
        <v>#N/A</v>
      </c>
      <c r="AI89" s="101" t="e">
        <f t="shared" si="435"/>
        <v>#N/A</v>
      </c>
      <c r="AJ89" s="101" t="e">
        <f t="shared" si="436"/>
        <v>#N/A</v>
      </c>
      <c r="AK89" s="101" t="e">
        <f t="shared" si="472"/>
        <v>#N/A</v>
      </c>
      <c r="AL89" s="235" t="e">
        <f t="shared" si="473"/>
        <v>#N/A</v>
      </c>
      <c r="AM89" s="235" t="e">
        <f t="shared" si="437"/>
        <v>#N/A</v>
      </c>
      <c r="AN89" s="235" t="e">
        <f t="shared" si="438"/>
        <v>#N/A</v>
      </c>
      <c r="AO89" s="235" t="e">
        <f t="shared" si="439"/>
        <v>#N/A</v>
      </c>
      <c r="AP89" s="235" t="e">
        <f t="shared" si="440"/>
        <v>#N/A</v>
      </c>
      <c r="AQ89" s="235" t="e">
        <f t="shared" si="441"/>
        <v>#N/A</v>
      </c>
      <c r="AR89" s="101" t="e">
        <f t="shared" si="474"/>
        <v>#N/A</v>
      </c>
      <c r="AS89" s="235" t="e">
        <f t="shared" si="475"/>
        <v>#N/A</v>
      </c>
      <c r="AT89" s="235" t="e">
        <f t="shared" si="442"/>
        <v>#N/A</v>
      </c>
      <c r="AV89" s="10">
        <v>83</v>
      </c>
      <c r="AW89" s="10">
        <f t="shared" si="476"/>
        <v>128</v>
      </c>
      <c r="AX89" s="309" t="e">
        <f t="shared" si="477"/>
        <v>#N/A</v>
      </c>
      <c r="AY89" s="309" t="e">
        <f t="shared" si="478"/>
        <v>#N/A</v>
      </c>
      <c r="AZ89" s="309" t="e">
        <f t="shared" si="479"/>
        <v>#N/A</v>
      </c>
      <c r="BA89" s="235" t="e">
        <f t="shared" si="480"/>
        <v>#N/A</v>
      </c>
      <c r="BB89" s="235" t="e">
        <f t="shared" si="481"/>
        <v>#N/A</v>
      </c>
      <c r="BC89" s="309" t="e">
        <f t="shared" si="482"/>
        <v>#N/A</v>
      </c>
      <c r="BD89" s="235" t="e">
        <f t="shared" si="483"/>
        <v>#N/A</v>
      </c>
      <c r="BE89" s="235" t="e">
        <f t="shared" si="484"/>
        <v>#N/A</v>
      </c>
      <c r="BF89" s="235" t="e">
        <f t="shared" si="485"/>
        <v>#N/A</v>
      </c>
      <c r="BG89" s="235" t="e">
        <f t="shared" si="486"/>
        <v>#N/A</v>
      </c>
      <c r="BH89" s="235" t="e">
        <f t="shared" si="487"/>
        <v>#N/A</v>
      </c>
      <c r="BI89" s="235" t="e">
        <f t="shared" si="488"/>
        <v>#N/A</v>
      </c>
      <c r="BJ89" s="235" t="e">
        <f t="shared" si="489"/>
        <v>#N/A</v>
      </c>
      <c r="BK89" s="101" t="e">
        <f t="shared" si="443"/>
        <v>#N/A</v>
      </c>
      <c r="BL89" s="101" t="e">
        <f t="shared" si="444"/>
        <v>#N/A</v>
      </c>
      <c r="BM89" s="101" t="e">
        <f t="shared" si="445"/>
        <v>#N/A</v>
      </c>
      <c r="BN89" s="101" t="e">
        <f t="shared" si="446"/>
        <v>#N/A</v>
      </c>
      <c r="BO89" s="101" t="e">
        <f t="shared" si="447"/>
        <v>#N/A</v>
      </c>
      <c r="BP89" s="101" t="e">
        <f t="shared" si="490"/>
        <v>#N/A</v>
      </c>
      <c r="BQ89" s="235" t="e">
        <f t="shared" si="448"/>
        <v>#N/A</v>
      </c>
      <c r="BR89" s="235" t="e">
        <f t="shared" si="449"/>
        <v>#N/A</v>
      </c>
      <c r="BS89" s="235" t="e">
        <f t="shared" si="450"/>
        <v>#N/A</v>
      </c>
      <c r="BT89" s="235" t="e">
        <f t="shared" si="451"/>
        <v>#N/A</v>
      </c>
      <c r="BU89" s="235" t="e">
        <f t="shared" si="452"/>
        <v>#N/A</v>
      </c>
      <c r="BV89" s="235" t="e">
        <f t="shared" si="453"/>
        <v>#N/A</v>
      </c>
      <c r="BW89" s="101" t="e">
        <f t="shared" si="491"/>
        <v>#N/A</v>
      </c>
      <c r="BX89" s="235" t="e">
        <f t="shared" si="492"/>
        <v>#N/A</v>
      </c>
      <c r="BY89" s="235" t="e">
        <f t="shared" si="454"/>
        <v>#N/A</v>
      </c>
      <c r="CA89" s="23"/>
      <c r="CJ89" s="10">
        <v>81</v>
      </c>
      <c r="CK89" s="450">
        <v>0.47233810275490434</v>
      </c>
      <c r="CL89" s="450">
        <v>0.12062702755478408</v>
      </c>
      <c r="CM89" s="450">
        <v>0.47233810275490434</v>
      </c>
      <c r="CN89" s="450">
        <v>0.12062702755478408</v>
      </c>
      <c r="CO89" s="451">
        <v>3.6603359078566162E-2</v>
      </c>
      <c r="CP89" s="451">
        <v>3.6593249969296977E-2</v>
      </c>
      <c r="CQ89" s="451">
        <v>2.5282922440767814E-2</v>
      </c>
      <c r="CR89" s="451">
        <v>2.5291636386639161E-2</v>
      </c>
      <c r="CS89" s="451">
        <v>5.2873827837482503</v>
      </c>
      <c r="CT89" s="451">
        <v>5.307314707707949</v>
      </c>
      <c r="CU89" s="234">
        <v>-1.9931923959698672E-2</v>
      </c>
      <c r="CX89" s="377">
        <v>81</v>
      </c>
      <c r="CY89" s="335">
        <f t="shared" si="496"/>
        <v>4.6904000000000001E-2</v>
      </c>
      <c r="CZ89" s="338">
        <v>4.6904000000000001E-2</v>
      </c>
      <c r="DA89" s="345">
        <f t="shared" si="497"/>
        <v>0.10860202127026397</v>
      </c>
      <c r="DB89" s="387">
        <f t="shared" si="498"/>
        <v>0.32996533623522462</v>
      </c>
      <c r="DC89" s="114">
        <f t="shared" si="522"/>
        <v>8.2160621432345593E-3</v>
      </c>
      <c r="DD89" s="378">
        <f t="shared" si="523"/>
        <v>2.1661936033920637E-2</v>
      </c>
      <c r="DE89" s="378">
        <f t="shared" si="499"/>
        <v>1.2233637450344238E-2</v>
      </c>
      <c r="DF89" s="340">
        <f t="shared" si="524"/>
        <v>5.6837858215668113E-3</v>
      </c>
      <c r="DG89" s="378">
        <f t="shared" si="525"/>
        <v>1.6856315365090357E-2</v>
      </c>
      <c r="DH89" s="378">
        <f t="shared" si="500"/>
        <v>9.0220945976967372E-3</v>
      </c>
      <c r="DI89" s="340">
        <f>DI88+(DI98-DI88)/10</f>
        <v>0.72</v>
      </c>
      <c r="DJ89" s="349">
        <f t="shared" ref="DJ89" si="594">DJ88+(DJ98-DJ88)/10</f>
        <v>0.69</v>
      </c>
      <c r="DK89" s="350">
        <f t="shared" si="502"/>
        <v>0.71103611559998492</v>
      </c>
      <c r="DL89" s="345">
        <f t="shared" ref="DL89" si="595">DL88+(DL98-DL88)/10</f>
        <v>0.44</v>
      </c>
      <c r="DM89" s="349">
        <f t="shared" ref="DM89" si="596">DM88+(DM98-DM88)/10</f>
        <v>0.17</v>
      </c>
      <c r="DN89" s="396">
        <f t="shared" si="505"/>
        <v>0.35932504039986474</v>
      </c>
      <c r="DO89" s="335">
        <f t="shared" si="534"/>
        <v>0</v>
      </c>
      <c r="DP89" s="350">
        <f t="shared" si="535"/>
        <v>0</v>
      </c>
      <c r="DQ89" s="349">
        <f t="shared" si="506"/>
        <v>0</v>
      </c>
      <c r="DR89" s="335">
        <f t="shared" si="536"/>
        <v>0</v>
      </c>
      <c r="DS89" s="350">
        <f t="shared" si="537"/>
        <v>7.7142857142853405E-4</v>
      </c>
      <c r="DT89" s="349">
        <f t="shared" si="507"/>
        <v>2.3049988457180397E-4</v>
      </c>
      <c r="DU89" s="335">
        <f>DU88+(DU93-DU88)/5</f>
        <v>0.46399999999999997</v>
      </c>
      <c r="DV89" s="350">
        <f>DV88+(DV93-DV88)/5</f>
        <v>0.46500000000000008</v>
      </c>
      <c r="DW89" s="350">
        <f t="shared" si="508"/>
        <v>0.46429879614666725</v>
      </c>
      <c r="DX89" s="335">
        <f>DX88+(DX93-DX88)/5</f>
        <v>1</v>
      </c>
      <c r="DY89" s="350">
        <f>DY88+(DY93-DY88)/5</f>
        <v>0.95405714285714283</v>
      </c>
      <c r="DZ89" s="396">
        <f t="shared" si="509"/>
        <v>0.98627245131883412</v>
      </c>
      <c r="EA89" s="350">
        <f t="shared" si="510"/>
        <v>0</v>
      </c>
      <c r="EB89" s="350">
        <f t="shared" si="511"/>
        <v>0</v>
      </c>
      <c r="EC89" s="349">
        <f t="shared" si="512"/>
        <v>0</v>
      </c>
      <c r="ED89" s="335">
        <f t="shared" si="513"/>
        <v>5.1840163673829709E-3</v>
      </c>
      <c r="EE89" s="350">
        <f t="shared" si="514"/>
        <v>7.8530027861695162E-3</v>
      </c>
      <c r="EF89" s="387">
        <f t="shared" si="515"/>
        <v>5.9814992248233946E-3</v>
      </c>
      <c r="EG89" s="335">
        <f t="shared" si="516"/>
        <v>5.6837858215668113E-3</v>
      </c>
      <c r="EH89" s="350">
        <f t="shared" si="517"/>
        <v>1.6856315365090357E-2</v>
      </c>
      <c r="EI89" s="387">
        <f t="shared" si="518"/>
        <v>9.0220945976967372E-3</v>
      </c>
      <c r="EJ89" s="335">
        <f t="shared" si="519"/>
        <v>1.7654397746080797E-3</v>
      </c>
      <c r="EK89" s="350">
        <f t="shared" si="520"/>
        <v>0</v>
      </c>
      <c r="EL89" s="387">
        <f t="shared" si="521"/>
        <v>1.2379331727822324E-3</v>
      </c>
      <c r="EO89" s="267"/>
      <c r="EP89" s="64"/>
      <c r="EQ89" s="64"/>
      <c r="ER89" s="64"/>
      <c r="ES89" s="64"/>
      <c r="ET89" s="64"/>
      <c r="EU89" s="64"/>
      <c r="EV89" s="47"/>
      <c r="EW89" s="268"/>
      <c r="EY89" s="363">
        <v>45</v>
      </c>
      <c r="EZ89" s="346">
        <v>0.185</v>
      </c>
      <c r="FA89" s="347">
        <f t="shared" si="562"/>
        <v>0.14799999999999999</v>
      </c>
      <c r="FB89" s="347">
        <f t="shared" si="563"/>
        <v>0.222</v>
      </c>
      <c r="FC89" s="33">
        <f t="shared" si="564"/>
        <v>78.084723471642732</v>
      </c>
      <c r="FD89" s="33">
        <f t="shared" si="565"/>
        <v>343.99486286156122</v>
      </c>
      <c r="FE89" s="308">
        <f t="shared" ca="1" si="569"/>
        <v>0.1753566783025145</v>
      </c>
      <c r="FF89" s="364">
        <f t="shared" si="570"/>
        <v>0.70500000000000007</v>
      </c>
    </row>
    <row r="90" spans="2:162" ht="15" customHeight="1" x14ac:dyDescent="0.2">
      <c r="B90" s="330" t="s">
        <v>296</v>
      </c>
      <c r="C90" s="101">
        <f t="shared" si="549"/>
        <v>9547</v>
      </c>
      <c r="D90" s="255"/>
      <c r="E90" s="101">
        <v>9547</v>
      </c>
      <c r="F90" s="101">
        <f t="shared" si="583"/>
        <v>7637.6</v>
      </c>
      <c r="G90" s="101">
        <f t="shared" si="584"/>
        <v>11456.4</v>
      </c>
      <c r="H90" s="101">
        <f t="shared" si="585"/>
        <v>974.20157465193427</v>
      </c>
      <c r="I90" s="118"/>
      <c r="J90" s="101">
        <f t="shared" ca="1" si="586"/>
        <v>8547.4252623037009</v>
      </c>
      <c r="K90" s="10" t="s">
        <v>43</v>
      </c>
      <c r="L90" s="10">
        <v>34</v>
      </c>
      <c r="M90" s="393" t="s">
        <v>336</v>
      </c>
      <c r="N90" s="393" t="s">
        <v>280</v>
      </c>
      <c r="Q90" s="10">
        <v>84</v>
      </c>
      <c r="R90" s="10">
        <f t="shared" si="431"/>
        <v>129</v>
      </c>
      <c r="S90" s="309" t="e">
        <f t="shared" si="459"/>
        <v>#N/A</v>
      </c>
      <c r="T90" s="309" t="e">
        <f t="shared" si="460"/>
        <v>#N/A</v>
      </c>
      <c r="U90" s="309" t="e">
        <f t="shared" si="461"/>
        <v>#N/A</v>
      </c>
      <c r="V90" s="235" t="e">
        <f t="shared" si="462"/>
        <v>#N/A</v>
      </c>
      <c r="W90" s="235" t="e">
        <f t="shared" si="463"/>
        <v>#N/A</v>
      </c>
      <c r="X90" s="309" t="e">
        <f t="shared" si="464"/>
        <v>#N/A</v>
      </c>
      <c r="Y90" s="235" t="e">
        <f t="shared" si="465"/>
        <v>#N/A</v>
      </c>
      <c r="Z90" s="235" t="e">
        <f t="shared" si="466"/>
        <v>#N/A</v>
      </c>
      <c r="AA90" s="235" t="e">
        <f t="shared" si="467"/>
        <v>#N/A</v>
      </c>
      <c r="AB90" s="235" t="e">
        <f t="shared" si="468"/>
        <v>#N/A</v>
      </c>
      <c r="AC90" s="235" t="e">
        <f t="shared" si="469"/>
        <v>#N/A</v>
      </c>
      <c r="AD90" s="235" t="e">
        <f t="shared" si="470"/>
        <v>#N/A</v>
      </c>
      <c r="AE90" s="235" t="e">
        <f t="shared" si="471"/>
        <v>#N/A</v>
      </c>
      <c r="AF90" s="101" t="e">
        <f t="shared" si="432"/>
        <v>#N/A</v>
      </c>
      <c r="AG90" s="101" t="e">
        <f t="shared" si="433"/>
        <v>#N/A</v>
      </c>
      <c r="AH90" s="101" t="e">
        <f t="shared" si="434"/>
        <v>#N/A</v>
      </c>
      <c r="AI90" s="101" t="e">
        <f t="shared" si="435"/>
        <v>#N/A</v>
      </c>
      <c r="AJ90" s="101" t="e">
        <f t="shared" si="436"/>
        <v>#N/A</v>
      </c>
      <c r="AK90" s="101" t="e">
        <f t="shared" si="472"/>
        <v>#N/A</v>
      </c>
      <c r="AL90" s="235" t="e">
        <f t="shared" si="473"/>
        <v>#N/A</v>
      </c>
      <c r="AM90" s="235" t="e">
        <f t="shared" si="437"/>
        <v>#N/A</v>
      </c>
      <c r="AN90" s="235" t="e">
        <f t="shared" si="438"/>
        <v>#N/A</v>
      </c>
      <c r="AO90" s="235" t="e">
        <f t="shared" si="439"/>
        <v>#N/A</v>
      </c>
      <c r="AP90" s="235" t="e">
        <f t="shared" si="440"/>
        <v>#N/A</v>
      </c>
      <c r="AQ90" s="235" t="e">
        <f t="shared" si="441"/>
        <v>#N/A</v>
      </c>
      <c r="AR90" s="101" t="e">
        <f t="shared" si="474"/>
        <v>#N/A</v>
      </c>
      <c r="AS90" s="235" t="e">
        <f t="shared" si="475"/>
        <v>#N/A</v>
      </c>
      <c r="AT90" s="235" t="e">
        <f t="shared" si="442"/>
        <v>#N/A</v>
      </c>
      <c r="AV90" s="10">
        <v>84</v>
      </c>
      <c r="AW90" s="10">
        <f t="shared" si="476"/>
        <v>129</v>
      </c>
      <c r="AX90" s="309" t="e">
        <f t="shared" si="477"/>
        <v>#N/A</v>
      </c>
      <c r="AY90" s="309" t="e">
        <f t="shared" si="478"/>
        <v>#N/A</v>
      </c>
      <c r="AZ90" s="309" t="e">
        <f t="shared" si="479"/>
        <v>#N/A</v>
      </c>
      <c r="BA90" s="235" t="e">
        <f t="shared" si="480"/>
        <v>#N/A</v>
      </c>
      <c r="BB90" s="235" t="e">
        <f t="shared" si="481"/>
        <v>#N/A</v>
      </c>
      <c r="BC90" s="309" t="e">
        <f t="shared" si="482"/>
        <v>#N/A</v>
      </c>
      <c r="BD90" s="235" t="e">
        <f t="shared" si="483"/>
        <v>#N/A</v>
      </c>
      <c r="BE90" s="235" t="e">
        <f t="shared" si="484"/>
        <v>#N/A</v>
      </c>
      <c r="BF90" s="235" t="e">
        <f t="shared" si="485"/>
        <v>#N/A</v>
      </c>
      <c r="BG90" s="235" t="e">
        <f t="shared" si="486"/>
        <v>#N/A</v>
      </c>
      <c r="BH90" s="235" t="e">
        <f t="shared" si="487"/>
        <v>#N/A</v>
      </c>
      <c r="BI90" s="235" t="e">
        <f t="shared" si="488"/>
        <v>#N/A</v>
      </c>
      <c r="BJ90" s="235" t="e">
        <f t="shared" si="489"/>
        <v>#N/A</v>
      </c>
      <c r="BK90" s="101" t="e">
        <f t="shared" si="443"/>
        <v>#N/A</v>
      </c>
      <c r="BL90" s="101" t="e">
        <f t="shared" si="444"/>
        <v>#N/A</v>
      </c>
      <c r="BM90" s="101" t="e">
        <f t="shared" si="445"/>
        <v>#N/A</v>
      </c>
      <c r="BN90" s="101" t="e">
        <f t="shared" si="446"/>
        <v>#N/A</v>
      </c>
      <c r="BO90" s="101" t="e">
        <f t="shared" si="447"/>
        <v>#N/A</v>
      </c>
      <c r="BP90" s="101" t="e">
        <f t="shared" si="490"/>
        <v>#N/A</v>
      </c>
      <c r="BQ90" s="235" t="e">
        <f t="shared" si="448"/>
        <v>#N/A</v>
      </c>
      <c r="BR90" s="235" t="e">
        <f t="shared" si="449"/>
        <v>#N/A</v>
      </c>
      <c r="BS90" s="235" t="e">
        <f t="shared" si="450"/>
        <v>#N/A</v>
      </c>
      <c r="BT90" s="235" t="e">
        <f t="shared" si="451"/>
        <v>#N/A</v>
      </c>
      <c r="BU90" s="235" t="e">
        <f t="shared" si="452"/>
        <v>#N/A</v>
      </c>
      <c r="BV90" s="235" t="e">
        <f t="shared" si="453"/>
        <v>#N/A</v>
      </c>
      <c r="BW90" s="101" t="e">
        <f t="shared" si="491"/>
        <v>#N/A</v>
      </c>
      <c r="BX90" s="235" t="e">
        <f t="shared" si="492"/>
        <v>#N/A</v>
      </c>
      <c r="BY90" s="235" t="e">
        <f t="shared" si="454"/>
        <v>#N/A</v>
      </c>
      <c r="CA90" s="23"/>
      <c r="CJ90" s="10">
        <v>82</v>
      </c>
      <c r="CK90" s="450">
        <v>0.47233810275490434</v>
      </c>
      <c r="CL90" s="450">
        <v>0.12062702755478408</v>
      </c>
      <c r="CM90" s="450">
        <v>0.47233810275490434</v>
      </c>
      <c r="CN90" s="450">
        <v>0.12062702755478408</v>
      </c>
      <c r="CO90" s="451">
        <v>3.4218113126701415E-2</v>
      </c>
      <c r="CP90" s="451">
        <v>3.4208459019967094E-2</v>
      </c>
      <c r="CQ90" s="451">
        <v>2.3381169198532312E-2</v>
      </c>
      <c r="CR90" s="451">
        <v>2.3387833152996772E-2</v>
      </c>
      <c r="CS90" s="451">
        <v>5.0401457681059814</v>
      </c>
      <c r="CT90" s="451">
        <v>5.060090406903158</v>
      </c>
      <c r="CU90" s="234">
        <v>-1.9944638797176673E-2</v>
      </c>
      <c r="CX90" s="377">
        <v>82</v>
      </c>
      <c r="CY90" s="335">
        <f t="shared" si="496"/>
        <v>5.2056999999999999E-2</v>
      </c>
      <c r="CZ90" s="338">
        <v>5.2056999999999999E-2</v>
      </c>
      <c r="DA90" s="345">
        <f t="shared" si="497"/>
        <v>0.10860202127026397</v>
      </c>
      <c r="DB90" s="387">
        <f t="shared" si="498"/>
        <v>0.32996533623522462</v>
      </c>
      <c r="DC90" s="114">
        <f t="shared" si="522"/>
        <v>8.2160621432345593E-3</v>
      </c>
      <c r="DD90" s="378">
        <f t="shared" si="523"/>
        <v>2.1661936033920637E-2</v>
      </c>
      <c r="DE90" s="378">
        <f t="shared" si="499"/>
        <v>1.2233637450344238E-2</v>
      </c>
      <c r="DF90" s="340">
        <f t="shared" si="524"/>
        <v>5.6837858215668113E-3</v>
      </c>
      <c r="DG90" s="378">
        <f t="shared" si="525"/>
        <v>1.6856315365090357E-2</v>
      </c>
      <c r="DH90" s="378">
        <f t="shared" si="500"/>
        <v>9.0220945976967372E-3</v>
      </c>
      <c r="DI90" s="340">
        <f>DI89+(DI98-DI88)/10</f>
        <v>0.72</v>
      </c>
      <c r="DJ90" s="349">
        <f t="shared" ref="DJ90" si="597">DJ89+(DJ98-DJ88)/10</f>
        <v>0.69</v>
      </c>
      <c r="DK90" s="350">
        <f t="shared" si="502"/>
        <v>0.71103611559998492</v>
      </c>
      <c r="DL90" s="345">
        <f t="shared" ref="DL90" si="598">DL89+(DL98-DL88)/10</f>
        <v>0.44</v>
      </c>
      <c r="DM90" s="349">
        <f t="shared" ref="DM90" si="599">DM89+(DM98-DM88)/10</f>
        <v>0.17</v>
      </c>
      <c r="DN90" s="396">
        <f t="shared" si="505"/>
        <v>0.35932504039986474</v>
      </c>
      <c r="DO90" s="335">
        <f t="shared" si="534"/>
        <v>0</v>
      </c>
      <c r="DP90" s="350">
        <f t="shared" si="535"/>
        <v>0</v>
      </c>
      <c r="DQ90" s="349">
        <f t="shared" si="506"/>
        <v>0</v>
      </c>
      <c r="DR90" s="335">
        <f t="shared" si="536"/>
        <v>0</v>
      </c>
      <c r="DS90" s="350">
        <f t="shared" si="537"/>
        <v>7.7142857142853405E-4</v>
      </c>
      <c r="DT90" s="349">
        <f t="shared" si="507"/>
        <v>2.3049988457180397E-4</v>
      </c>
      <c r="DU90" s="335">
        <f>DU89+(DU93-DU88)/5</f>
        <v>0.46399999999999997</v>
      </c>
      <c r="DV90" s="350">
        <f>DV89+(DV93-DV88)/5</f>
        <v>0.46500000000000008</v>
      </c>
      <c r="DW90" s="350">
        <f t="shared" si="508"/>
        <v>0.46429879614666725</v>
      </c>
      <c r="DX90" s="335">
        <f>DX89+(DX93-DX88)/5</f>
        <v>1</v>
      </c>
      <c r="DY90" s="350">
        <f>DY89+(DY93-DY88)/5</f>
        <v>0.95482857142857136</v>
      </c>
      <c r="DZ90" s="396">
        <f t="shared" si="509"/>
        <v>0.98650295120340603</v>
      </c>
      <c r="EA90" s="350">
        <f t="shared" si="510"/>
        <v>0</v>
      </c>
      <c r="EB90" s="350">
        <f t="shared" si="511"/>
        <v>0</v>
      </c>
      <c r="EC90" s="349">
        <f t="shared" si="512"/>
        <v>0</v>
      </c>
      <c r="ED90" s="335">
        <f t="shared" si="513"/>
        <v>5.1840163673829709E-3</v>
      </c>
      <c r="EE90" s="350">
        <f t="shared" si="514"/>
        <v>7.8530027861695162E-3</v>
      </c>
      <c r="EF90" s="387">
        <f t="shared" si="515"/>
        <v>5.9814992248233946E-3</v>
      </c>
      <c r="EG90" s="335">
        <f t="shared" si="516"/>
        <v>5.6837858215668113E-3</v>
      </c>
      <c r="EH90" s="350">
        <f t="shared" si="517"/>
        <v>1.6856315365090357E-2</v>
      </c>
      <c r="EI90" s="387">
        <f t="shared" si="518"/>
        <v>9.0220945976967372E-3</v>
      </c>
      <c r="EJ90" s="335">
        <f t="shared" si="519"/>
        <v>1.7654397746080797E-3</v>
      </c>
      <c r="EK90" s="350">
        <f t="shared" si="520"/>
        <v>0</v>
      </c>
      <c r="EL90" s="387">
        <f t="shared" si="521"/>
        <v>1.2379331727822324E-3</v>
      </c>
      <c r="EO90" s="351" t="s">
        <v>384</v>
      </c>
      <c r="EP90" s="20"/>
      <c r="EQ90" s="19"/>
      <c r="ER90" s="19"/>
      <c r="ES90" s="19"/>
      <c r="ET90" s="19"/>
      <c r="EU90" s="19"/>
      <c r="EV90" s="19"/>
      <c r="EW90" s="334"/>
      <c r="EY90" s="363">
        <v>50</v>
      </c>
      <c r="EZ90" s="346">
        <v>0.11600000000000001</v>
      </c>
      <c r="FA90" s="347">
        <f t="shared" si="562"/>
        <v>9.2800000000000007E-2</v>
      </c>
      <c r="FB90" s="347">
        <f t="shared" si="563"/>
        <v>0.13919999999999999</v>
      </c>
      <c r="FC90" s="33">
        <f t="shared" si="564"/>
        <v>84.780239937340198</v>
      </c>
      <c r="FD90" s="33">
        <f t="shared" si="565"/>
        <v>646.0838974535236</v>
      </c>
      <c r="FE90" s="308">
        <f t="shared" ca="1" si="569"/>
        <v>9.2052958636105298E-2</v>
      </c>
      <c r="FF90" s="364">
        <f t="shared" si="570"/>
        <v>0.82100000000000006</v>
      </c>
    </row>
    <row r="91" spans="2:162" ht="15" customHeight="1" x14ac:dyDescent="0.2">
      <c r="B91" s="330" t="s">
        <v>297</v>
      </c>
      <c r="C91" s="101">
        <f t="shared" si="549"/>
        <v>114749</v>
      </c>
      <c r="D91" s="255"/>
      <c r="E91" s="101">
        <v>114749</v>
      </c>
      <c r="F91" s="101">
        <f t="shared" si="583"/>
        <v>91799.200000000012</v>
      </c>
      <c r="G91" s="101">
        <f t="shared" si="584"/>
        <v>137698.79999999999</v>
      </c>
      <c r="H91" s="101">
        <f t="shared" si="585"/>
        <v>11709.29679372942</v>
      </c>
      <c r="I91" s="118"/>
      <c r="J91" s="101">
        <f t="shared" ca="1" si="586"/>
        <v>86680.02307724749</v>
      </c>
      <c r="K91" s="10" t="s">
        <v>43</v>
      </c>
      <c r="L91" s="10">
        <v>35</v>
      </c>
      <c r="M91" s="393" t="s">
        <v>337</v>
      </c>
      <c r="N91" s="393" t="s">
        <v>280</v>
      </c>
      <c r="Q91" s="10">
        <v>85</v>
      </c>
      <c r="R91" s="10">
        <f t="shared" si="431"/>
        <v>130</v>
      </c>
      <c r="S91" s="309" t="e">
        <f t="shared" si="459"/>
        <v>#N/A</v>
      </c>
      <c r="T91" s="309" t="e">
        <f t="shared" si="460"/>
        <v>#N/A</v>
      </c>
      <c r="U91" s="309" t="e">
        <f t="shared" si="461"/>
        <v>#N/A</v>
      </c>
      <c r="V91" s="235" t="e">
        <f t="shared" si="462"/>
        <v>#N/A</v>
      </c>
      <c r="W91" s="235" t="e">
        <f t="shared" si="463"/>
        <v>#N/A</v>
      </c>
      <c r="X91" s="309" t="e">
        <f t="shared" si="464"/>
        <v>#N/A</v>
      </c>
      <c r="Y91" s="235" t="e">
        <f t="shared" si="465"/>
        <v>#N/A</v>
      </c>
      <c r="Z91" s="235" t="e">
        <f t="shared" si="466"/>
        <v>#N/A</v>
      </c>
      <c r="AA91" s="235" t="e">
        <f t="shared" si="467"/>
        <v>#N/A</v>
      </c>
      <c r="AB91" s="235" t="e">
        <f t="shared" si="468"/>
        <v>#N/A</v>
      </c>
      <c r="AC91" s="235" t="e">
        <f t="shared" si="469"/>
        <v>#N/A</v>
      </c>
      <c r="AD91" s="235" t="e">
        <f t="shared" si="470"/>
        <v>#N/A</v>
      </c>
      <c r="AE91" s="235" t="e">
        <f t="shared" si="471"/>
        <v>#N/A</v>
      </c>
      <c r="AF91" s="101" t="e">
        <f t="shared" si="432"/>
        <v>#N/A</v>
      </c>
      <c r="AG91" s="101" t="e">
        <f t="shared" si="433"/>
        <v>#N/A</v>
      </c>
      <c r="AH91" s="101" t="e">
        <f t="shared" si="434"/>
        <v>#N/A</v>
      </c>
      <c r="AI91" s="101" t="e">
        <f t="shared" si="435"/>
        <v>#N/A</v>
      </c>
      <c r="AJ91" s="101" t="e">
        <f t="shared" si="436"/>
        <v>#N/A</v>
      </c>
      <c r="AK91" s="101" t="e">
        <f t="shared" si="472"/>
        <v>#N/A</v>
      </c>
      <c r="AL91" s="235" t="e">
        <f t="shared" si="473"/>
        <v>#N/A</v>
      </c>
      <c r="AM91" s="235" t="e">
        <f t="shared" si="437"/>
        <v>#N/A</v>
      </c>
      <c r="AN91" s="235" t="e">
        <f t="shared" si="438"/>
        <v>#N/A</v>
      </c>
      <c r="AO91" s="235" t="e">
        <f t="shared" si="439"/>
        <v>#N/A</v>
      </c>
      <c r="AP91" s="235" t="e">
        <f t="shared" si="440"/>
        <v>#N/A</v>
      </c>
      <c r="AQ91" s="235" t="e">
        <f t="shared" si="441"/>
        <v>#N/A</v>
      </c>
      <c r="AR91" s="101" t="e">
        <f t="shared" si="474"/>
        <v>#N/A</v>
      </c>
      <c r="AS91" s="235" t="e">
        <f t="shared" si="475"/>
        <v>#N/A</v>
      </c>
      <c r="AT91" s="235" t="e">
        <f t="shared" si="442"/>
        <v>#N/A</v>
      </c>
      <c r="AV91" s="10">
        <v>85</v>
      </c>
      <c r="AW91" s="10">
        <f t="shared" si="476"/>
        <v>130</v>
      </c>
      <c r="AX91" s="309" t="e">
        <f t="shared" si="477"/>
        <v>#N/A</v>
      </c>
      <c r="AY91" s="309" t="e">
        <f t="shared" si="478"/>
        <v>#N/A</v>
      </c>
      <c r="AZ91" s="309" t="e">
        <f t="shared" si="479"/>
        <v>#N/A</v>
      </c>
      <c r="BA91" s="235" t="e">
        <f t="shared" si="480"/>
        <v>#N/A</v>
      </c>
      <c r="BB91" s="235" t="e">
        <f t="shared" si="481"/>
        <v>#N/A</v>
      </c>
      <c r="BC91" s="309" t="e">
        <f t="shared" si="482"/>
        <v>#N/A</v>
      </c>
      <c r="BD91" s="235" t="e">
        <f t="shared" si="483"/>
        <v>#N/A</v>
      </c>
      <c r="BE91" s="235" t="e">
        <f t="shared" si="484"/>
        <v>#N/A</v>
      </c>
      <c r="BF91" s="235" t="e">
        <f t="shared" si="485"/>
        <v>#N/A</v>
      </c>
      <c r="BG91" s="235" t="e">
        <f t="shared" si="486"/>
        <v>#N/A</v>
      </c>
      <c r="BH91" s="235" t="e">
        <f t="shared" si="487"/>
        <v>#N/A</v>
      </c>
      <c r="BI91" s="235" t="e">
        <f t="shared" si="488"/>
        <v>#N/A</v>
      </c>
      <c r="BJ91" s="235" t="e">
        <f t="shared" si="489"/>
        <v>#N/A</v>
      </c>
      <c r="BK91" s="101" t="e">
        <f t="shared" si="443"/>
        <v>#N/A</v>
      </c>
      <c r="BL91" s="101" t="e">
        <f t="shared" si="444"/>
        <v>#N/A</v>
      </c>
      <c r="BM91" s="101" t="e">
        <f t="shared" si="445"/>
        <v>#N/A</v>
      </c>
      <c r="BN91" s="101" t="e">
        <f t="shared" si="446"/>
        <v>#N/A</v>
      </c>
      <c r="BO91" s="101" t="e">
        <f t="shared" si="447"/>
        <v>#N/A</v>
      </c>
      <c r="BP91" s="101" t="e">
        <f t="shared" si="490"/>
        <v>#N/A</v>
      </c>
      <c r="BQ91" s="235" t="e">
        <f t="shared" si="448"/>
        <v>#N/A</v>
      </c>
      <c r="BR91" s="235" t="e">
        <f t="shared" si="449"/>
        <v>#N/A</v>
      </c>
      <c r="BS91" s="235" t="e">
        <f t="shared" si="450"/>
        <v>#N/A</v>
      </c>
      <c r="BT91" s="235" t="e">
        <f t="shared" si="451"/>
        <v>#N/A</v>
      </c>
      <c r="BU91" s="235" t="e">
        <f t="shared" si="452"/>
        <v>#N/A</v>
      </c>
      <c r="BV91" s="235" t="e">
        <f t="shared" si="453"/>
        <v>#N/A</v>
      </c>
      <c r="BW91" s="101" t="e">
        <f t="shared" si="491"/>
        <v>#N/A</v>
      </c>
      <c r="BX91" s="235" t="e">
        <f t="shared" si="492"/>
        <v>#N/A</v>
      </c>
      <c r="BY91" s="235" t="e">
        <f t="shared" si="454"/>
        <v>#N/A</v>
      </c>
      <c r="CA91" s="23"/>
      <c r="CJ91" s="10">
        <v>83</v>
      </c>
      <c r="CK91" s="450">
        <v>0.47233810275490434</v>
      </c>
      <c r="CL91" s="450">
        <v>0.12062702755478408</v>
      </c>
      <c r="CM91" s="450">
        <v>0.47233810275490434</v>
      </c>
      <c r="CN91" s="450">
        <v>0.12062702755478408</v>
      </c>
      <c r="CO91" s="451">
        <v>3.1854786205652817E-2</v>
      </c>
      <c r="CP91" s="451">
        <v>3.1845463174093584E-2</v>
      </c>
      <c r="CQ91" s="451">
        <v>2.1470809020899827E-2</v>
      </c>
      <c r="CR91" s="451">
        <v>2.147553780767069E-2</v>
      </c>
      <c r="CS91" s="451">
        <v>4.7766495087503875</v>
      </c>
      <c r="CT91" s="451">
        <v>4.7966080734977981</v>
      </c>
      <c r="CU91" s="234">
        <v>-1.9958564747410534E-2</v>
      </c>
      <c r="CX91" s="377">
        <v>83</v>
      </c>
      <c r="CY91" s="335">
        <f t="shared" si="496"/>
        <v>5.8186000000000002E-2</v>
      </c>
      <c r="CZ91" s="338">
        <v>5.8186000000000002E-2</v>
      </c>
      <c r="DA91" s="345">
        <f t="shared" si="497"/>
        <v>0.10860202127026397</v>
      </c>
      <c r="DB91" s="387">
        <f t="shared" si="498"/>
        <v>0.32996533623522462</v>
      </c>
      <c r="DC91" s="114">
        <f t="shared" si="522"/>
        <v>8.2160621432345593E-3</v>
      </c>
      <c r="DD91" s="378">
        <f t="shared" si="523"/>
        <v>2.1661936033920637E-2</v>
      </c>
      <c r="DE91" s="378">
        <f t="shared" si="499"/>
        <v>1.2233637450344238E-2</v>
      </c>
      <c r="DF91" s="340">
        <f t="shared" si="524"/>
        <v>5.6837858215668113E-3</v>
      </c>
      <c r="DG91" s="378">
        <f t="shared" si="525"/>
        <v>1.6856315365090357E-2</v>
      </c>
      <c r="DH91" s="378">
        <f t="shared" si="500"/>
        <v>9.0220945976967372E-3</v>
      </c>
      <c r="DI91" s="340">
        <f>DI90+(DI98-DI88)/10</f>
        <v>0.72</v>
      </c>
      <c r="DJ91" s="349">
        <f t="shared" ref="DJ91" si="600">DJ90+(DJ98-DJ88)/10</f>
        <v>0.69</v>
      </c>
      <c r="DK91" s="350">
        <f t="shared" si="502"/>
        <v>0.71103611559998492</v>
      </c>
      <c r="DL91" s="345">
        <f t="shared" ref="DL91" si="601">DL90+(DL98-DL88)/10</f>
        <v>0.44</v>
      </c>
      <c r="DM91" s="349">
        <f t="shared" ref="DM91" si="602">DM90+(DM98-DM88)/10</f>
        <v>0.17</v>
      </c>
      <c r="DN91" s="396">
        <f t="shared" si="505"/>
        <v>0.35932504039986474</v>
      </c>
      <c r="DO91" s="335">
        <f t="shared" si="534"/>
        <v>0</v>
      </c>
      <c r="DP91" s="350">
        <f t="shared" si="535"/>
        <v>0</v>
      </c>
      <c r="DQ91" s="349">
        <f t="shared" si="506"/>
        <v>0</v>
      </c>
      <c r="DR91" s="335">
        <f t="shared" si="536"/>
        <v>0</v>
      </c>
      <c r="DS91" s="350">
        <f t="shared" si="537"/>
        <v>7.7142857142853405E-4</v>
      </c>
      <c r="DT91" s="349">
        <f t="shared" si="507"/>
        <v>2.3049988457180397E-4</v>
      </c>
      <c r="DU91" s="335">
        <f>DU90+(DU93-DU88)/5</f>
        <v>0.46399999999999997</v>
      </c>
      <c r="DV91" s="350">
        <f>DV90+(DV93-DV88)/5</f>
        <v>0.46500000000000008</v>
      </c>
      <c r="DW91" s="350">
        <f t="shared" si="508"/>
        <v>0.46429879614666725</v>
      </c>
      <c r="DX91" s="335">
        <f>DX90+(DX93-DX88)/5</f>
        <v>1</v>
      </c>
      <c r="DY91" s="350">
        <f>DY90+(DY93-DY88)/5</f>
        <v>0.95559999999999989</v>
      </c>
      <c r="DZ91" s="396">
        <f t="shared" si="509"/>
        <v>0.98673345108797772</v>
      </c>
      <c r="EA91" s="350">
        <f t="shared" si="510"/>
        <v>0</v>
      </c>
      <c r="EB91" s="350">
        <f t="shared" si="511"/>
        <v>0</v>
      </c>
      <c r="EC91" s="349">
        <f t="shared" si="512"/>
        <v>0</v>
      </c>
      <c r="ED91" s="335">
        <f t="shared" si="513"/>
        <v>5.1840163673829709E-3</v>
      </c>
      <c r="EE91" s="350">
        <f t="shared" si="514"/>
        <v>7.8530027861695162E-3</v>
      </c>
      <c r="EF91" s="387">
        <f t="shared" si="515"/>
        <v>5.9814992248233946E-3</v>
      </c>
      <c r="EG91" s="335">
        <f t="shared" si="516"/>
        <v>5.6837858215668113E-3</v>
      </c>
      <c r="EH91" s="350">
        <f t="shared" si="517"/>
        <v>1.6856315365090357E-2</v>
      </c>
      <c r="EI91" s="387">
        <f t="shared" si="518"/>
        <v>9.0220945976967372E-3</v>
      </c>
      <c r="EJ91" s="335">
        <f t="shared" si="519"/>
        <v>1.7654397746080797E-3</v>
      </c>
      <c r="EK91" s="350">
        <f t="shared" si="520"/>
        <v>0</v>
      </c>
      <c r="EL91" s="387">
        <f t="shared" si="521"/>
        <v>1.2379331727822324E-3</v>
      </c>
      <c r="EO91" s="454" t="s">
        <v>160</v>
      </c>
      <c r="EP91" s="452" t="s">
        <v>159</v>
      </c>
      <c r="EQ91" s="452" t="s">
        <v>380</v>
      </c>
      <c r="ER91" s="452" t="s">
        <v>79</v>
      </c>
      <c r="ES91" s="452" t="s">
        <v>81</v>
      </c>
      <c r="ET91" s="452" t="s">
        <v>303</v>
      </c>
      <c r="EU91" s="452" t="s">
        <v>163</v>
      </c>
      <c r="EV91" s="321" t="s">
        <v>16</v>
      </c>
      <c r="EW91" s="457" t="s">
        <v>381</v>
      </c>
      <c r="EY91" s="363">
        <v>55</v>
      </c>
      <c r="EZ91" s="346">
        <v>6.8000000000000005E-2</v>
      </c>
      <c r="FA91" s="347">
        <f t="shared" si="562"/>
        <v>5.4400000000000004E-2</v>
      </c>
      <c r="FB91" s="347">
        <f t="shared" si="563"/>
        <v>8.1600000000000006E-2</v>
      </c>
      <c r="FC91" s="33">
        <f t="shared" si="564"/>
        <v>89.437990522173067</v>
      </c>
      <c r="FD91" s="33">
        <f t="shared" si="565"/>
        <v>1225.8265759803719</v>
      </c>
      <c r="FE91" s="308">
        <f t="shared" ca="1" si="569"/>
        <v>7.2974186831948229E-2</v>
      </c>
      <c r="FF91" s="364">
        <f t="shared" si="570"/>
        <v>0.88900000000000001</v>
      </c>
    </row>
    <row r="92" spans="2:162" ht="15" customHeight="1" x14ac:dyDescent="0.2">
      <c r="Q92" s="10">
        <v>86</v>
      </c>
      <c r="R92" s="10">
        <f t="shared" si="431"/>
        <v>131</v>
      </c>
      <c r="S92" s="309" t="e">
        <f t="shared" si="459"/>
        <v>#N/A</v>
      </c>
      <c r="T92" s="309" t="e">
        <f t="shared" si="460"/>
        <v>#N/A</v>
      </c>
      <c r="U92" s="309" t="e">
        <f t="shared" si="461"/>
        <v>#N/A</v>
      </c>
      <c r="V92" s="235" t="e">
        <f t="shared" si="462"/>
        <v>#N/A</v>
      </c>
      <c r="W92" s="235" t="e">
        <f t="shared" si="463"/>
        <v>#N/A</v>
      </c>
      <c r="X92" s="309" t="e">
        <f t="shared" si="464"/>
        <v>#N/A</v>
      </c>
      <c r="Y92" s="235" t="e">
        <f t="shared" si="465"/>
        <v>#N/A</v>
      </c>
      <c r="Z92" s="235" t="e">
        <f t="shared" si="466"/>
        <v>#N/A</v>
      </c>
      <c r="AA92" s="235" t="e">
        <f t="shared" si="467"/>
        <v>#N/A</v>
      </c>
      <c r="AB92" s="235" t="e">
        <f t="shared" si="468"/>
        <v>#N/A</v>
      </c>
      <c r="AC92" s="235" t="e">
        <f t="shared" si="469"/>
        <v>#N/A</v>
      </c>
      <c r="AD92" s="235" t="e">
        <f t="shared" si="470"/>
        <v>#N/A</v>
      </c>
      <c r="AE92" s="235" t="e">
        <f t="shared" si="471"/>
        <v>#N/A</v>
      </c>
      <c r="AF92" s="101" t="e">
        <f t="shared" si="432"/>
        <v>#N/A</v>
      </c>
      <c r="AG92" s="101" t="e">
        <f t="shared" si="433"/>
        <v>#N/A</v>
      </c>
      <c r="AH92" s="101" t="e">
        <f t="shared" si="434"/>
        <v>#N/A</v>
      </c>
      <c r="AI92" s="101" t="e">
        <f t="shared" si="435"/>
        <v>#N/A</v>
      </c>
      <c r="AJ92" s="101" t="e">
        <f t="shared" si="436"/>
        <v>#N/A</v>
      </c>
      <c r="AK92" s="101" t="e">
        <f t="shared" si="472"/>
        <v>#N/A</v>
      </c>
      <c r="AL92" s="235" t="e">
        <f t="shared" si="473"/>
        <v>#N/A</v>
      </c>
      <c r="AM92" s="235" t="e">
        <f t="shared" si="437"/>
        <v>#N/A</v>
      </c>
      <c r="AN92" s="235" t="e">
        <f t="shared" si="438"/>
        <v>#N/A</v>
      </c>
      <c r="AO92" s="235" t="e">
        <f t="shared" si="439"/>
        <v>#N/A</v>
      </c>
      <c r="AP92" s="235" t="e">
        <f t="shared" si="440"/>
        <v>#N/A</v>
      </c>
      <c r="AQ92" s="235" t="e">
        <f t="shared" si="441"/>
        <v>#N/A</v>
      </c>
      <c r="AR92" s="101" t="e">
        <f t="shared" si="474"/>
        <v>#N/A</v>
      </c>
      <c r="AS92" s="235" t="e">
        <f t="shared" si="475"/>
        <v>#N/A</v>
      </c>
      <c r="AT92" s="235" t="e">
        <f t="shared" si="442"/>
        <v>#N/A</v>
      </c>
      <c r="AV92" s="10">
        <v>86</v>
      </c>
      <c r="AW92" s="10">
        <f t="shared" si="476"/>
        <v>131</v>
      </c>
      <c r="AX92" s="309" t="e">
        <f t="shared" si="477"/>
        <v>#N/A</v>
      </c>
      <c r="AY92" s="309" t="e">
        <f t="shared" si="478"/>
        <v>#N/A</v>
      </c>
      <c r="AZ92" s="309" t="e">
        <f t="shared" si="479"/>
        <v>#N/A</v>
      </c>
      <c r="BA92" s="235" t="e">
        <f t="shared" si="480"/>
        <v>#N/A</v>
      </c>
      <c r="BB92" s="235" t="e">
        <f t="shared" si="481"/>
        <v>#N/A</v>
      </c>
      <c r="BC92" s="309" t="e">
        <f t="shared" si="482"/>
        <v>#N/A</v>
      </c>
      <c r="BD92" s="235" t="e">
        <f t="shared" si="483"/>
        <v>#N/A</v>
      </c>
      <c r="BE92" s="235" t="e">
        <f t="shared" si="484"/>
        <v>#N/A</v>
      </c>
      <c r="BF92" s="235" t="e">
        <f t="shared" si="485"/>
        <v>#N/A</v>
      </c>
      <c r="BG92" s="235" t="e">
        <f t="shared" si="486"/>
        <v>#N/A</v>
      </c>
      <c r="BH92" s="235" t="e">
        <f t="shared" si="487"/>
        <v>#N/A</v>
      </c>
      <c r="BI92" s="235" t="e">
        <f t="shared" si="488"/>
        <v>#N/A</v>
      </c>
      <c r="BJ92" s="235" t="e">
        <f t="shared" si="489"/>
        <v>#N/A</v>
      </c>
      <c r="BK92" s="101" t="e">
        <f t="shared" si="443"/>
        <v>#N/A</v>
      </c>
      <c r="BL92" s="101" t="e">
        <f t="shared" si="444"/>
        <v>#N/A</v>
      </c>
      <c r="BM92" s="101" t="e">
        <f t="shared" si="445"/>
        <v>#N/A</v>
      </c>
      <c r="BN92" s="101" t="e">
        <f t="shared" si="446"/>
        <v>#N/A</v>
      </c>
      <c r="BO92" s="101" t="e">
        <f t="shared" si="447"/>
        <v>#N/A</v>
      </c>
      <c r="BP92" s="101" t="e">
        <f t="shared" si="490"/>
        <v>#N/A</v>
      </c>
      <c r="BQ92" s="235" t="e">
        <f t="shared" si="448"/>
        <v>#N/A</v>
      </c>
      <c r="BR92" s="235" t="e">
        <f t="shared" si="449"/>
        <v>#N/A</v>
      </c>
      <c r="BS92" s="235" t="e">
        <f t="shared" si="450"/>
        <v>#N/A</v>
      </c>
      <c r="BT92" s="235" t="e">
        <f t="shared" si="451"/>
        <v>#N/A</v>
      </c>
      <c r="BU92" s="235" t="e">
        <f t="shared" si="452"/>
        <v>#N/A</v>
      </c>
      <c r="BV92" s="235" t="e">
        <f t="shared" si="453"/>
        <v>#N/A</v>
      </c>
      <c r="BW92" s="101" t="e">
        <f t="shared" si="491"/>
        <v>#N/A</v>
      </c>
      <c r="BX92" s="235" t="e">
        <f t="shared" si="492"/>
        <v>#N/A</v>
      </c>
      <c r="BY92" s="235" t="e">
        <f t="shared" si="454"/>
        <v>#N/A</v>
      </c>
      <c r="CA92" s="23"/>
      <c r="CJ92" s="10">
        <v>84</v>
      </c>
      <c r="CK92" s="450">
        <v>0.47233810275490434</v>
      </c>
      <c r="CL92" s="450">
        <v>0.12062702755478408</v>
      </c>
      <c r="CM92" s="450">
        <v>0.47233810275490434</v>
      </c>
      <c r="CN92" s="450">
        <v>0.12062702755478408</v>
      </c>
      <c r="CO92" s="451">
        <v>2.9516670673193489E-2</v>
      </c>
      <c r="CP92" s="451">
        <v>2.9507538990578147E-2</v>
      </c>
      <c r="CQ92" s="451">
        <v>1.9547228534373268E-2</v>
      </c>
      <c r="CR92" s="451">
        <v>1.9550127596225798E-2</v>
      </c>
      <c r="CS92" s="451">
        <v>4.4945066999218328</v>
      </c>
      <c r="CT92" s="451">
        <v>4.5144807913895306</v>
      </c>
      <c r="CU92" s="234">
        <v>-1.9974091467697797E-2</v>
      </c>
      <c r="CX92" s="377">
        <v>84</v>
      </c>
      <c r="CY92" s="335">
        <f t="shared" si="496"/>
        <v>6.5335000000000004E-2</v>
      </c>
      <c r="CZ92" s="338">
        <v>6.5335000000000004E-2</v>
      </c>
      <c r="DA92" s="345">
        <f t="shared" si="497"/>
        <v>0.10860202127026397</v>
      </c>
      <c r="DB92" s="387">
        <f t="shared" si="498"/>
        <v>0.32996533623522462</v>
      </c>
      <c r="DC92" s="114">
        <f t="shared" si="522"/>
        <v>8.2160621432345593E-3</v>
      </c>
      <c r="DD92" s="378">
        <f t="shared" si="523"/>
        <v>2.1661936033920637E-2</v>
      </c>
      <c r="DE92" s="378">
        <f t="shared" si="499"/>
        <v>1.2233637450344238E-2</v>
      </c>
      <c r="DF92" s="340">
        <f t="shared" si="524"/>
        <v>5.6837858215668113E-3</v>
      </c>
      <c r="DG92" s="378">
        <f t="shared" si="525"/>
        <v>1.6856315365090357E-2</v>
      </c>
      <c r="DH92" s="378">
        <f t="shared" si="500"/>
        <v>9.0220945976967372E-3</v>
      </c>
      <c r="DI92" s="340">
        <f>DI91+(DI98-DI88)/10</f>
        <v>0.72</v>
      </c>
      <c r="DJ92" s="349">
        <f t="shared" ref="DJ92" si="603">DJ91+(DJ98-DJ88)/10</f>
        <v>0.69</v>
      </c>
      <c r="DK92" s="350">
        <f t="shared" si="502"/>
        <v>0.71103611559998492</v>
      </c>
      <c r="DL92" s="345">
        <f t="shared" ref="DL92" si="604">DL91+(DL98-DL88)/10</f>
        <v>0.44</v>
      </c>
      <c r="DM92" s="349">
        <f t="shared" ref="DM92" si="605">DM91+(DM98-DM88)/10</f>
        <v>0.17</v>
      </c>
      <c r="DN92" s="396">
        <f t="shared" si="505"/>
        <v>0.35932504039986474</v>
      </c>
      <c r="DO92" s="335">
        <f t="shared" si="534"/>
        <v>0</v>
      </c>
      <c r="DP92" s="350">
        <f t="shared" si="535"/>
        <v>0</v>
      </c>
      <c r="DQ92" s="349">
        <f t="shared" si="506"/>
        <v>0</v>
      </c>
      <c r="DR92" s="335">
        <f t="shared" si="536"/>
        <v>0</v>
      </c>
      <c r="DS92" s="350">
        <f t="shared" si="537"/>
        <v>7.7142857142853405E-4</v>
      </c>
      <c r="DT92" s="349">
        <f t="shared" si="507"/>
        <v>2.3049988457180397E-4</v>
      </c>
      <c r="DU92" s="335">
        <f>DU91+(DU93-DU88)/5</f>
        <v>0.46399999999999997</v>
      </c>
      <c r="DV92" s="350">
        <f>DV91+(DV93-DV88)/5</f>
        <v>0.46500000000000008</v>
      </c>
      <c r="DW92" s="350">
        <f t="shared" si="508"/>
        <v>0.46429879614666725</v>
      </c>
      <c r="DX92" s="335">
        <f>DX91+(DX93-DX88)/5</f>
        <v>1</v>
      </c>
      <c r="DY92" s="350">
        <f>DY91+(DY93-DY88)/5</f>
        <v>0.95637142857142843</v>
      </c>
      <c r="DZ92" s="396">
        <f t="shared" si="509"/>
        <v>0.98696395097254963</v>
      </c>
      <c r="EA92" s="350">
        <f t="shared" si="510"/>
        <v>0</v>
      </c>
      <c r="EB92" s="350">
        <f t="shared" si="511"/>
        <v>0</v>
      </c>
      <c r="EC92" s="349">
        <f t="shared" si="512"/>
        <v>0</v>
      </c>
      <c r="ED92" s="335">
        <f t="shared" si="513"/>
        <v>5.1840163673829709E-3</v>
      </c>
      <c r="EE92" s="350">
        <f t="shared" si="514"/>
        <v>7.8530027861695162E-3</v>
      </c>
      <c r="EF92" s="387">
        <f t="shared" si="515"/>
        <v>5.9814992248233946E-3</v>
      </c>
      <c r="EG92" s="335">
        <f t="shared" si="516"/>
        <v>5.6837858215668113E-3</v>
      </c>
      <c r="EH92" s="350">
        <f t="shared" si="517"/>
        <v>1.6856315365090357E-2</v>
      </c>
      <c r="EI92" s="387">
        <f t="shared" si="518"/>
        <v>9.0220945976967372E-3</v>
      </c>
      <c r="EJ92" s="335">
        <f t="shared" si="519"/>
        <v>1.7654397746080797E-3</v>
      </c>
      <c r="EK92" s="350">
        <f t="shared" si="520"/>
        <v>0</v>
      </c>
      <c r="EL92" s="387">
        <f t="shared" si="521"/>
        <v>1.2379331727822324E-3</v>
      </c>
      <c r="EO92" s="454">
        <v>0</v>
      </c>
      <c r="EP92" s="452"/>
      <c r="EQ92" s="458">
        <v>0</v>
      </c>
      <c r="ER92" s="458">
        <v>0</v>
      </c>
      <c r="ES92" s="458">
        <v>0</v>
      </c>
      <c r="ET92" s="54" t="e">
        <f>(LN(ES92)-LN(ER92))/(2*z)</f>
        <v>#NUM!</v>
      </c>
      <c r="EU92" s="458">
        <f t="shared" ref="EU92:EU102" ca="1" si="606">IFERROR(_xlfn.LOGNORM.INV(RAND(),LN(EQ92)-(ET92^2)/2,ET92),EQ92)</f>
        <v>0</v>
      </c>
      <c r="EV92" s="458">
        <f t="shared" ref="EV92:EV102" si="607">IF(psa,EU92,EQ92)</f>
        <v>0</v>
      </c>
      <c r="EW92" s="396">
        <f>1-EXP(-(EV92/1000))</f>
        <v>0</v>
      </c>
      <c r="EY92" s="363">
        <v>60</v>
      </c>
      <c r="EZ92" s="346">
        <v>3.5999999999999997E-2</v>
      </c>
      <c r="FA92" s="347">
        <f t="shared" si="562"/>
        <v>2.8799999999999999E-2</v>
      </c>
      <c r="FB92" s="347">
        <f t="shared" si="563"/>
        <v>4.3199999999999995E-2</v>
      </c>
      <c r="FC92" s="33">
        <f t="shared" si="564"/>
        <v>92.543157578728412</v>
      </c>
      <c r="FD92" s="33">
        <f t="shared" si="565"/>
        <v>2478.1001084970608</v>
      </c>
      <c r="FE92" s="308">
        <f t="shared" ca="1" si="569"/>
        <v>3.2717646350296101E-2</v>
      </c>
      <c r="FF92" s="364">
        <f t="shared" si="570"/>
        <v>0.92500000000000004</v>
      </c>
    </row>
    <row r="93" spans="2:162" ht="15" customHeight="1" x14ac:dyDescent="0.25">
      <c r="B93" s="78" t="s">
        <v>319</v>
      </c>
      <c r="Q93" s="10">
        <v>87</v>
      </c>
      <c r="R93" s="10">
        <f t="shared" si="431"/>
        <v>132</v>
      </c>
      <c r="S93" s="309" t="e">
        <f t="shared" si="459"/>
        <v>#N/A</v>
      </c>
      <c r="T93" s="309" t="e">
        <f t="shared" si="460"/>
        <v>#N/A</v>
      </c>
      <c r="U93" s="309" t="e">
        <f t="shared" si="461"/>
        <v>#N/A</v>
      </c>
      <c r="V93" s="235" t="e">
        <f t="shared" si="462"/>
        <v>#N/A</v>
      </c>
      <c r="W93" s="235" t="e">
        <f t="shared" si="463"/>
        <v>#N/A</v>
      </c>
      <c r="X93" s="309" t="e">
        <f t="shared" si="464"/>
        <v>#N/A</v>
      </c>
      <c r="Y93" s="235" t="e">
        <f t="shared" si="465"/>
        <v>#N/A</v>
      </c>
      <c r="Z93" s="235" t="e">
        <f t="shared" si="466"/>
        <v>#N/A</v>
      </c>
      <c r="AA93" s="235" t="e">
        <f t="shared" si="467"/>
        <v>#N/A</v>
      </c>
      <c r="AB93" s="235" t="e">
        <f t="shared" si="468"/>
        <v>#N/A</v>
      </c>
      <c r="AC93" s="235" t="e">
        <f t="shared" si="469"/>
        <v>#N/A</v>
      </c>
      <c r="AD93" s="235" t="e">
        <f t="shared" si="470"/>
        <v>#N/A</v>
      </c>
      <c r="AE93" s="235" t="e">
        <f t="shared" si="471"/>
        <v>#N/A</v>
      </c>
      <c r="AF93" s="101" t="e">
        <f t="shared" si="432"/>
        <v>#N/A</v>
      </c>
      <c r="AG93" s="101" t="e">
        <f t="shared" si="433"/>
        <v>#N/A</v>
      </c>
      <c r="AH93" s="101" t="e">
        <f t="shared" si="434"/>
        <v>#N/A</v>
      </c>
      <c r="AI93" s="101" t="e">
        <f t="shared" si="435"/>
        <v>#N/A</v>
      </c>
      <c r="AJ93" s="101" t="e">
        <f t="shared" si="436"/>
        <v>#N/A</v>
      </c>
      <c r="AK93" s="101" t="e">
        <f t="shared" si="472"/>
        <v>#N/A</v>
      </c>
      <c r="AL93" s="235" t="e">
        <f t="shared" si="473"/>
        <v>#N/A</v>
      </c>
      <c r="AM93" s="235" t="e">
        <f t="shared" si="437"/>
        <v>#N/A</v>
      </c>
      <c r="AN93" s="235" t="e">
        <f t="shared" si="438"/>
        <v>#N/A</v>
      </c>
      <c r="AO93" s="235" t="e">
        <f t="shared" si="439"/>
        <v>#N/A</v>
      </c>
      <c r="AP93" s="235" t="e">
        <f t="shared" si="440"/>
        <v>#N/A</v>
      </c>
      <c r="AQ93" s="235" t="e">
        <f t="shared" si="441"/>
        <v>#N/A</v>
      </c>
      <c r="AR93" s="101" t="e">
        <f t="shared" si="474"/>
        <v>#N/A</v>
      </c>
      <c r="AS93" s="235" t="e">
        <f t="shared" si="475"/>
        <v>#N/A</v>
      </c>
      <c r="AT93" s="235" t="e">
        <f t="shared" si="442"/>
        <v>#N/A</v>
      </c>
      <c r="AV93" s="10">
        <v>87</v>
      </c>
      <c r="AW93" s="10">
        <f t="shared" si="476"/>
        <v>132</v>
      </c>
      <c r="AX93" s="309" t="e">
        <f t="shared" si="477"/>
        <v>#N/A</v>
      </c>
      <c r="AY93" s="309" t="e">
        <f t="shared" si="478"/>
        <v>#N/A</v>
      </c>
      <c r="AZ93" s="309" t="e">
        <f t="shared" si="479"/>
        <v>#N/A</v>
      </c>
      <c r="BA93" s="235" t="e">
        <f t="shared" si="480"/>
        <v>#N/A</v>
      </c>
      <c r="BB93" s="235" t="e">
        <f t="shared" si="481"/>
        <v>#N/A</v>
      </c>
      <c r="BC93" s="309" t="e">
        <f t="shared" si="482"/>
        <v>#N/A</v>
      </c>
      <c r="BD93" s="235" t="e">
        <f t="shared" si="483"/>
        <v>#N/A</v>
      </c>
      <c r="BE93" s="235" t="e">
        <f t="shared" si="484"/>
        <v>#N/A</v>
      </c>
      <c r="BF93" s="235" t="e">
        <f t="shared" si="485"/>
        <v>#N/A</v>
      </c>
      <c r="BG93" s="235" t="e">
        <f t="shared" si="486"/>
        <v>#N/A</v>
      </c>
      <c r="BH93" s="235" t="e">
        <f t="shared" si="487"/>
        <v>#N/A</v>
      </c>
      <c r="BI93" s="235" t="e">
        <f t="shared" si="488"/>
        <v>#N/A</v>
      </c>
      <c r="BJ93" s="235" t="e">
        <f t="shared" si="489"/>
        <v>#N/A</v>
      </c>
      <c r="BK93" s="101" t="e">
        <f t="shared" si="443"/>
        <v>#N/A</v>
      </c>
      <c r="BL93" s="101" t="e">
        <f t="shared" si="444"/>
        <v>#N/A</v>
      </c>
      <c r="BM93" s="101" t="e">
        <f t="shared" si="445"/>
        <v>#N/A</v>
      </c>
      <c r="BN93" s="101" t="e">
        <f t="shared" si="446"/>
        <v>#N/A</v>
      </c>
      <c r="BO93" s="101" t="e">
        <f t="shared" si="447"/>
        <v>#N/A</v>
      </c>
      <c r="BP93" s="101" t="e">
        <f t="shared" si="490"/>
        <v>#N/A</v>
      </c>
      <c r="BQ93" s="235" t="e">
        <f t="shared" si="448"/>
        <v>#N/A</v>
      </c>
      <c r="BR93" s="235" t="e">
        <f t="shared" si="449"/>
        <v>#N/A</v>
      </c>
      <c r="BS93" s="235" t="e">
        <f t="shared" si="450"/>
        <v>#N/A</v>
      </c>
      <c r="BT93" s="235" t="e">
        <f t="shared" si="451"/>
        <v>#N/A</v>
      </c>
      <c r="BU93" s="235" t="e">
        <f t="shared" si="452"/>
        <v>#N/A</v>
      </c>
      <c r="BV93" s="235" t="e">
        <f t="shared" si="453"/>
        <v>#N/A</v>
      </c>
      <c r="BW93" s="101" t="e">
        <f t="shared" si="491"/>
        <v>#N/A</v>
      </c>
      <c r="BX93" s="235" t="e">
        <f t="shared" si="492"/>
        <v>#N/A</v>
      </c>
      <c r="BY93" s="235" t="e">
        <f t="shared" si="454"/>
        <v>#N/A</v>
      </c>
      <c r="CA93" s="23"/>
      <c r="CJ93" s="10">
        <v>85</v>
      </c>
      <c r="CK93" s="450">
        <v>0.47233810275490434</v>
      </c>
      <c r="CL93" s="450">
        <v>0.12062702755478408</v>
      </c>
      <c r="CM93" s="450">
        <v>0.47233810275490434</v>
      </c>
      <c r="CN93" s="450">
        <v>0.12062702755478408</v>
      </c>
      <c r="CO93" s="451">
        <v>2.7176134072018476E-2</v>
      </c>
      <c r="CP93" s="451">
        <v>2.7167043726225554E-2</v>
      </c>
      <c r="CQ93" s="451">
        <v>1.7583012183790884E-2</v>
      </c>
      <c r="CR93" s="451">
        <v>1.7584173527358402E-2</v>
      </c>
      <c r="CS93" s="451">
        <v>4.2995874469194018</v>
      </c>
      <c r="CT93" s="451">
        <v>4.3195792693106148</v>
      </c>
      <c r="CU93" s="234">
        <v>-1.9991822391212999E-2</v>
      </c>
      <c r="CX93" s="377">
        <v>85</v>
      </c>
      <c r="CY93" s="335">
        <f t="shared" si="496"/>
        <v>7.2706000000000007E-2</v>
      </c>
      <c r="CZ93" s="338">
        <v>7.2706000000000007E-2</v>
      </c>
      <c r="DA93" s="345">
        <f t="shared" si="497"/>
        <v>0.15580888691818484</v>
      </c>
      <c r="DB93" s="387">
        <f t="shared" si="498"/>
        <v>0.36544919092924966</v>
      </c>
      <c r="DC93" s="114">
        <f t="shared" si="522"/>
        <v>8.2160621432345593E-3</v>
      </c>
      <c r="DD93" s="378">
        <f t="shared" si="523"/>
        <v>2.1661936033920637E-2</v>
      </c>
      <c r="DE93" s="378">
        <f t="shared" si="499"/>
        <v>1.2233637450344238E-2</v>
      </c>
      <c r="DF93" s="340">
        <f t="shared" si="524"/>
        <v>5.6837858215668113E-3</v>
      </c>
      <c r="DG93" s="378">
        <f t="shared" si="525"/>
        <v>1.6856315365090357E-2</v>
      </c>
      <c r="DH93" s="378">
        <f t="shared" si="500"/>
        <v>9.0220945976967372E-3</v>
      </c>
      <c r="DI93" s="340">
        <f>DI92+(DI98-DI88)/10</f>
        <v>0.72</v>
      </c>
      <c r="DJ93" s="349">
        <f t="shared" ref="DJ93" si="608">DJ92+(DJ98-DJ88)/10</f>
        <v>0.69</v>
      </c>
      <c r="DK93" s="350">
        <f t="shared" si="502"/>
        <v>0.71103611559998492</v>
      </c>
      <c r="DL93" s="345">
        <f t="shared" ref="DL93" si="609">DL92+(DL98-DL88)/10</f>
        <v>0.44</v>
      </c>
      <c r="DM93" s="349">
        <f t="shared" ref="DM93" si="610">DM92+(DM98-DM88)/10</f>
        <v>0.17</v>
      </c>
      <c r="DN93" s="396">
        <f t="shared" si="505"/>
        <v>0.35932504039986474</v>
      </c>
      <c r="DO93" s="335">
        <f t="shared" si="534"/>
        <v>0</v>
      </c>
      <c r="DP93" s="350">
        <f t="shared" si="535"/>
        <v>0</v>
      </c>
      <c r="DQ93" s="349">
        <f t="shared" si="506"/>
        <v>0</v>
      </c>
      <c r="DR93" s="335">
        <f t="shared" si="536"/>
        <v>0</v>
      </c>
      <c r="DS93" s="350">
        <f t="shared" si="537"/>
        <v>7.7142857142875609E-4</v>
      </c>
      <c r="DT93" s="349">
        <f t="shared" si="507"/>
        <v>2.3049988457187029E-4</v>
      </c>
      <c r="DU93" s="335">
        <f>VLOOKUP($CX93,$EY$8:$FF$28,8,FALSE)</f>
        <v>0.46399999999999997</v>
      </c>
      <c r="DV93" s="350">
        <f>VLOOKUP($CX93,$EY$32:$FF$52,8,FALSE)</f>
        <v>0.46500000000000008</v>
      </c>
      <c r="DW93" s="350">
        <f t="shared" si="508"/>
        <v>0.46429879614666725</v>
      </c>
      <c r="DX93" s="335">
        <f>VLOOKUP($CX93,$EY$56:$FF$76,8,FALSE)</f>
        <v>1</v>
      </c>
      <c r="DY93" s="350">
        <f>VLOOKUP($CX93,$EY$80:$FF$100,8,FALSE)</f>
        <v>0.95714285714285718</v>
      </c>
      <c r="DZ93" s="396">
        <f t="shared" si="509"/>
        <v>0.98719445085712143</v>
      </c>
      <c r="EA93" s="350">
        <f t="shared" si="510"/>
        <v>0</v>
      </c>
      <c r="EB93" s="350">
        <f t="shared" si="511"/>
        <v>0</v>
      </c>
      <c r="EC93" s="349">
        <f t="shared" si="512"/>
        <v>0</v>
      </c>
      <c r="ED93" s="335">
        <f t="shared" si="513"/>
        <v>5.1840163673829709E-3</v>
      </c>
      <c r="EE93" s="350">
        <f t="shared" si="514"/>
        <v>7.8530027861695162E-3</v>
      </c>
      <c r="EF93" s="387">
        <f t="shared" si="515"/>
        <v>5.9814992248233946E-3</v>
      </c>
      <c r="EG93" s="335">
        <f t="shared" si="516"/>
        <v>5.6837858215668113E-3</v>
      </c>
      <c r="EH93" s="350">
        <f t="shared" si="517"/>
        <v>1.6856315365090357E-2</v>
      </c>
      <c r="EI93" s="387">
        <f t="shared" si="518"/>
        <v>9.0220945976967372E-3</v>
      </c>
      <c r="EJ93" s="335">
        <f t="shared" si="519"/>
        <v>1.7654397746080797E-3</v>
      </c>
      <c r="EK93" s="350">
        <f t="shared" si="520"/>
        <v>0</v>
      </c>
      <c r="EL93" s="387">
        <f t="shared" si="521"/>
        <v>1.2379331727822324E-3</v>
      </c>
      <c r="EO93" s="454">
        <v>10</v>
      </c>
      <c r="EP93" s="452"/>
      <c r="EQ93" s="458">
        <v>0</v>
      </c>
      <c r="ER93" s="458">
        <v>0</v>
      </c>
      <c r="ES93" s="458">
        <v>0</v>
      </c>
      <c r="ET93" s="347" t="e">
        <f t="shared" ref="ET93:ET102" si="611">(LN(ES93)-LN(ER93))/(2*z)</f>
        <v>#NUM!</v>
      </c>
      <c r="EU93" s="458">
        <f t="shared" ca="1" si="606"/>
        <v>0</v>
      </c>
      <c r="EV93" s="458">
        <f t="shared" si="607"/>
        <v>0</v>
      </c>
      <c r="EW93" s="396">
        <f t="shared" ref="EW93:EW102" si="612">1-EXP(-(EV93/1000))</f>
        <v>0</v>
      </c>
      <c r="EY93" s="363">
        <v>65</v>
      </c>
      <c r="EZ93" s="346">
        <v>8.9999999999999993E-3</v>
      </c>
      <c r="FA93" s="347">
        <f t="shared" si="562"/>
        <v>7.1999999999999998E-3</v>
      </c>
      <c r="FB93" s="347">
        <f t="shared" si="563"/>
        <v>1.0799999999999999E-2</v>
      </c>
      <c r="FC93" s="33">
        <f t="shared" si="564"/>
        <v>95.163142282696953</v>
      </c>
      <c r="FD93" s="33">
        <f t="shared" si="565"/>
        <v>10478.51933357252</v>
      </c>
      <c r="FE93" s="308">
        <f t="shared" ca="1" si="569"/>
        <v>8.1555098891942009E-3</v>
      </c>
      <c r="FF93" s="364">
        <f t="shared" si="570"/>
        <v>0.93400000000000005</v>
      </c>
    </row>
    <row r="94" spans="2:162" ht="15" customHeight="1" x14ac:dyDescent="0.2">
      <c r="B94" s="15" t="s">
        <v>320</v>
      </c>
      <c r="D94" s="255"/>
      <c r="Q94" s="10">
        <v>88</v>
      </c>
      <c r="R94" s="10">
        <f t="shared" si="431"/>
        <v>133</v>
      </c>
      <c r="S94" s="309" t="e">
        <f t="shared" si="459"/>
        <v>#N/A</v>
      </c>
      <c r="T94" s="309" t="e">
        <f t="shared" si="460"/>
        <v>#N/A</v>
      </c>
      <c r="U94" s="309" t="e">
        <f t="shared" si="461"/>
        <v>#N/A</v>
      </c>
      <c r="V94" s="235" t="e">
        <f t="shared" si="462"/>
        <v>#N/A</v>
      </c>
      <c r="W94" s="235" t="e">
        <f t="shared" si="463"/>
        <v>#N/A</v>
      </c>
      <c r="X94" s="309" t="e">
        <f t="shared" si="464"/>
        <v>#N/A</v>
      </c>
      <c r="Y94" s="235" t="e">
        <f t="shared" si="465"/>
        <v>#N/A</v>
      </c>
      <c r="Z94" s="235" t="e">
        <f t="shared" si="466"/>
        <v>#N/A</v>
      </c>
      <c r="AA94" s="235" t="e">
        <f t="shared" si="467"/>
        <v>#N/A</v>
      </c>
      <c r="AB94" s="235" t="e">
        <f t="shared" si="468"/>
        <v>#N/A</v>
      </c>
      <c r="AC94" s="235" t="e">
        <f t="shared" si="469"/>
        <v>#N/A</v>
      </c>
      <c r="AD94" s="235" t="e">
        <f t="shared" si="470"/>
        <v>#N/A</v>
      </c>
      <c r="AE94" s="235" t="e">
        <f t="shared" si="471"/>
        <v>#N/A</v>
      </c>
      <c r="AF94" s="101" t="e">
        <f t="shared" si="432"/>
        <v>#N/A</v>
      </c>
      <c r="AG94" s="101" t="e">
        <f t="shared" si="433"/>
        <v>#N/A</v>
      </c>
      <c r="AH94" s="101" t="e">
        <f t="shared" si="434"/>
        <v>#N/A</v>
      </c>
      <c r="AI94" s="101" t="e">
        <f t="shared" si="435"/>
        <v>#N/A</v>
      </c>
      <c r="AJ94" s="101" t="e">
        <f t="shared" si="436"/>
        <v>#N/A</v>
      </c>
      <c r="AK94" s="101" t="e">
        <f t="shared" si="472"/>
        <v>#N/A</v>
      </c>
      <c r="AL94" s="235" t="e">
        <f t="shared" si="473"/>
        <v>#N/A</v>
      </c>
      <c r="AM94" s="235" t="e">
        <f t="shared" si="437"/>
        <v>#N/A</v>
      </c>
      <c r="AN94" s="235" t="e">
        <f t="shared" si="438"/>
        <v>#N/A</v>
      </c>
      <c r="AO94" s="235" t="e">
        <f t="shared" si="439"/>
        <v>#N/A</v>
      </c>
      <c r="AP94" s="235" t="e">
        <f t="shared" si="440"/>
        <v>#N/A</v>
      </c>
      <c r="AQ94" s="235" t="e">
        <f t="shared" si="441"/>
        <v>#N/A</v>
      </c>
      <c r="AR94" s="101" t="e">
        <f t="shared" si="474"/>
        <v>#N/A</v>
      </c>
      <c r="AS94" s="235" t="e">
        <f t="shared" si="475"/>
        <v>#N/A</v>
      </c>
      <c r="AT94" s="235" t="e">
        <f t="shared" si="442"/>
        <v>#N/A</v>
      </c>
      <c r="AV94" s="10">
        <v>88</v>
      </c>
      <c r="AW94" s="10">
        <f t="shared" si="476"/>
        <v>133</v>
      </c>
      <c r="AX94" s="309" t="e">
        <f t="shared" si="477"/>
        <v>#N/A</v>
      </c>
      <c r="AY94" s="309" t="e">
        <f t="shared" si="478"/>
        <v>#N/A</v>
      </c>
      <c r="AZ94" s="309" t="e">
        <f t="shared" si="479"/>
        <v>#N/A</v>
      </c>
      <c r="BA94" s="235" t="e">
        <f t="shared" si="480"/>
        <v>#N/A</v>
      </c>
      <c r="BB94" s="235" t="e">
        <f t="shared" si="481"/>
        <v>#N/A</v>
      </c>
      <c r="BC94" s="309" t="e">
        <f t="shared" si="482"/>
        <v>#N/A</v>
      </c>
      <c r="BD94" s="235" t="e">
        <f t="shared" si="483"/>
        <v>#N/A</v>
      </c>
      <c r="BE94" s="235" t="e">
        <f t="shared" si="484"/>
        <v>#N/A</v>
      </c>
      <c r="BF94" s="235" t="e">
        <f t="shared" si="485"/>
        <v>#N/A</v>
      </c>
      <c r="BG94" s="235" t="e">
        <f t="shared" si="486"/>
        <v>#N/A</v>
      </c>
      <c r="BH94" s="235" t="e">
        <f t="shared" si="487"/>
        <v>#N/A</v>
      </c>
      <c r="BI94" s="235" t="e">
        <f t="shared" si="488"/>
        <v>#N/A</v>
      </c>
      <c r="BJ94" s="235" t="e">
        <f t="shared" si="489"/>
        <v>#N/A</v>
      </c>
      <c r="BK94" s="101" t="e">
        <f t="shared" si="443"/>
        <v>#N/A</v>
      </c>
      <c r="BL94" s="101" t="e">
        <f t="shared" si="444"/>
        <v>#N/A</v>
      </c>
      <c r="BM94" s="101" t="e">
        <f t="shared" si="445"/>
        <v>#N/A</v>
      </c>
      <c r="BN94" s="101" t="e">
        <f t="shared" si="446"/>
        <v>#N/A</v>
      </c>
      <c r="BO94" s="101" t="e">
        <f t="shared" si="447"/>
        <v>#N/A</v>
      </c>
      <c r="BP94" s="101" t="e">
        <f t="shared" si="490"/>
        <v>#N/A</v>
      </c>
      <c r="BQ94" s="235" t="e">
        <f t="shared" si="448"/>
        <v>#N/A</v>
      </c>
      <c r="BR94" s="235" t="e">
        <f t="shared" si="449"/>
        <v>#N/A</v>
      </c>
      <c r="BS94" s="235" t="e">
        <f t="shared" si="450"/>
        <v>#N/A</v>
      </c>
      <c r="BT94" s="235" t="e">
        <f t="shared" si="451"/>
        <v>#N/A</v>
      </c>
      <c r="BU94" s="235" t="e">
        <f t="shared" si="452"/>
        <v>#N/A</v>
      </c>
      <c r="BV94" s="235" t="e">
        <f t="shared" si="453"/>
        <v>#N/A</v>
      </c>
      <c r="BW94" s="101" t="e">
        <f t="shared" si="491"/>
        <v>#N/A</v>
      </c>
      <c r="BX94" s="235" t="e">
        <f t="shared" si="492"/>
        <v>#N/A</v>
      </c>
      <c r="BY94" s="235" t="e">
        <f t="shared" si="454"/>
        <v>#N/A</v>
      </c>
      <c r="CA94" s="23"/>
      <c r="CJ94" s="10">
        <v>86</v>
      </c>
      <c r="CK94" s="450">
        <v>0.47233810275490434</v>
      </c>
      <c r="CL94" s="450">
        <v>0.12062702755478408</v>
      </c>
      <c r="CM94" s="450">
        <v>0.47233810275490434</v>
      </c>
      <c r="CN94" s="450">
        <v>0.12062702755478408</v>
      </c>
      <c r="CO94" s="451">
        <v>2.4840203691947664E-2</v>
      </c>
      <c r="CP94" s="451">
        <v>2.4832061638632913E-2</v>
      </c>
      <c r="CQ94" s="451">
        <v>1.556951376333349E-2</v>
      </c>
      <c r="CR94" s="451">
        <v>1.5570179241651877E-2</v>
      </c>
      <c r="CS94" s="451">
        <v>4.0933743778860805</v>
      </c>
      <c r="CT94" s="451">
        <v>4.1133691821494374</v>
      </c>
      <c r="CU94" s="234">
        <v>-1.9994804263356869E-2</v>
      </c>
      <c r="CX94" s="377">
        <v>86</v>
      </c>
      <c r="CY94" s="335">
        <f t="shared" si="496"/>
        <v>8.1768999999999994E-2</v>
      </c>
      <c r="CZ94" s="338">
        <v>8.1768999999999994E-2</v>
      </c>
      <c r="DA94" s="345">
        <f t="shared" si="497"/>
        <v>0.15580888691818484</v>
      </c>
      <c r="DB94" s="387">
        <f t="shared" si="498"/>
        <v>0.36544919092924966</v>
      </c>
      <c r="DC94" s="114">
        <f t="shared" si="522"/>
        <v>8.2160621432345593E-3</v>
      </c>
      <c r="DD94" s="378">
        <f t="shared" si="523"/>
        <v>2.1661936033920637E-2</v>
      </c>
      <c r="DE94" s="378">
        <f t="shared" si="499"/>
        <v>1.2233637450344238E-2</v>
      </c>
      <c r="DF94" s="340">
        <f t="shared" si="524"/>
        <v>5.6837858215668113E-3</v>
      </c>
      <c r="DG94" s="378">
        <f t="shared" si="525"/>
        <v>1.6856315365090357E-2</v>
      </c>
      <c r="DH94" s="378">
        <f t="shared" si="500"/>
        <v>9.0220945976967372E-3</v>
      </c>
      <c r="DI94" s="340">
        <f>DI93+(DI98-DI88)/10</f>
        <v>0.72</v>
      </c>
      <c r="DJ94" s="349">
        <f t="shared" ref="DJ94" si="613">DJ93+(DJ98-DJ88)/10</f>
        <v>0.69</v>
      </c>
      <c r="DK94" s="350">
        <f t="shared" si="502"/>
        <v>0.71103611559998492</v>
      </c>
      <c r="DL94" s="345">
        <f t="shared" ref="DL94" si="614">DL93+(DL98-DL88)/10</f>
        <v>0.44</v>
      </c>
      <c r="DM94" s="349">
        <f t="shared" ref="DM94" si="615">DM93+(DM98-DM88)/10</f>
        <v>0.17</v>
      </c>
      <c r="DN94" s="396">
        <f t="shared" si="505"/>
        <v>0.35932504039986474</v>
      </c>
      <c r="DO94" s="335">
        <f t="shared" si="534"/>
        <v>0</v>
      </c>
      <c r="DP94" s="350">
        <f t="shared" si="535"/>
        <v>0</v>
      </c>
      <c r="DQ94" s="349">
        <f t="shared" si="506"/>
        <v>0</v>
      </c>
      <c r="DR94" s="335">
        <f t="shared" si="536"/>
        <v>0</v>
      </c>
      <c r="DS94" s="350">
        <f t="shared" si="537"/>
        <v>5.1428571428568937E-4</v>
      </c>
      <c r="DT94" s="349">
        <f t="shared" si="507"/>
        <v>1.5366658971453597E-4</v>
      </c>
      <c r="DU94" s="335">
        <f>DU93+(DU98-DU93)/5</f>
        <v>0.46399999999999997</v>
      </c>
      <c r="DV94" s="350">
        <f>DV93+(DV98-DV93)/5</f>
        <v>0.46500000000000008</v>
      </c>
      <c r="DW94" s="350">
        <f t="shared" si="508"/>
        <v>0.46429879614666725</v>
      </c>
      <c r="DX94" s="335">
        <f>DX93+(DX98-DX93)/5</f>
        <v>1</v>
      </c>
      <c r="DY94" s="350">
        <f>DY93+(DY98-DY93)/5</f>
        <v>0.95765714285714287</v>
      </c>
      <c r="DZ94" s="396">
        <f t="shared" si="509"/>
        <v>0.98734811744683593</v>
      </c>
      <c r="EA94" s="350">
        <f t="shared" si="510"/>
        <v>0</v>
      </c>
      <c r="EB94" s="350">
        <f t="shared" si="511"/>
        <v>0</v>
      </c>
      <c r="EC94" s="349">
        <f t="shared" si="512"/>
        <v>0</v>
      </c>
      <c r="ED94" s="335">
        <f t="shared" si="513"/>
        <v>5.1840163673829709E-3</v>
      </c>
      <c r="EE94" s="350">
        <f t="shared" si="514"/>
        <v>7.8530027861695162E-3</v>
      </c>
      <c r="EF94" s="387">
        <f t="shared" si="515"/>
        <v>5.9814992248233946E-3</v>
      </c>
      <c r="EG94" s="335">
        <f t="shared" si="516"/>
        <v>5.6837858215668113E-3</v>
      </c>
      <c r="EH94" s="350">
        <f t="shared" si="517"/>
        <v>1.6856315365090357E-2</v>
      </c>
      <c r="EI94" s="387">
        <f t="shared" si="518"/>
        <v>9.0220945976967372E-3</v>
      </c>
      <c r="EJ94" s="335">
        <f t="shared" si="519"/>
        <v>1.7654397746080797E-3</v>
      </c>
      <c r="EK94" s="350">
        <f t="shared" si="520"/>
        <v>0</v>
      </c>
      <c r="EL94" s="387">
        <f t="shared" si="521"/>
        <v>1.2379331727822324E-3</v>
      </c>
      <c r="EO94" s="454">
        <v>20</v>
      </c>
      <c r="EP94" s="452" t="s">
        <v>196</v>
      </c>
      <c r="EQ94" s="458">
        <v>0</v>
      </c>
      <c r="ER94" s="458">
        <v>0</v>
      </c>
      <c r="ES94" s="458">
        <v>0</v>
      </c>
      <c r="ET94" s="347" t="e">
        <f t="shared" si="611"/>
        <v>#NUM!</v>
      </c>
      <c r="EU94" s="458">
        <f t="shared" ca="1" si="606"/>
        <v>0</v>
      </c>
      <c r="EV94" s="458">
        <f t="shared" si="607"/>
        <v>0</v>
      </c>
      <c r="EW94" s="396">
        <f t="shared" si="612"/>
        <v>0</v>
      </c>
      <c r="EY94" s="363">
        <v>70</v>
      </c>
      <c r="EZ94" s="346">
        <f t="shared" ref="EZ94:EZ100" si="616">EZ93-$EZ$93/7</f>
        <v>7.7142857142857135E-3</v>
      </c>
      <c r="FA94" s="347">
        <f t="shared" si="562"/>
        <v>6.1714285714285708E-3</v>
      </c>
      <c r="FB94" s="347">
        <f t="shared" si="563"/>
        <v>9.2571428571428561E-3</v>
      </c>
      <c r="FC94" s="33">
        <f t="shared" si="564"/>
        <v>95.287903459076375</v>
      </c>
      <c r="FD94" s="33">
        <f t="shared" si="565"/>
        <v>12256.8477301249</v>
      </c>
      <c r="FE94" s="308">
        <f t="shared" ca="1" si="569"/>
        <v>8.3187787650880196E-3</v>
      </c>
      <c r="FF94" s="364">
        <f t="shared" si="570"/>
        <v>0.94171428571428573</v>
      </c>
    </row>
    <row r="95" spans="2:162" ht="15" customHeight="1" x14ac:dyDescent="0.2">
      <c r="B95" s="15" t="s">
        <v>321</v>
      </c>
      <c r="D95" s="255"/>
      <c r="Q95" s="10">
        <v>89</v>
      </c>
      <c r="R95" s="10">
        <f t="shared" si="431"/>
        <v>134</v>
      </c>
      <c r="S95" s="309" t="e">
        <f t="shared" si="459"/>
        <v>#N/A</v>
      </c>
      <c r="T95" s="309" t="e">
        <f t="shared" si="460"/>
        <v>#N/A</v>
      </c>
      <c r="U95" s="309" t="e">
        <f t="shared" si="461"/>
        <v>#N/A</v>
      </c>
      <c r="V95" s="235" t="e">
        <f t="shared" si="462"/>
        <v>#N/A</v>
      </c>
      <c r="W95" s="235" t="e">
        <f t="shared" si="463"/>
        <v>#N/A</v>
      </c>
      <c r="X95" s="309" t="e">
        <f t="shared" si="464"/>
        <v>#N/A</v>
      </c>
      <c r="Y95" s="235" t="e">
        <f t="shared" si="465"/>
        <v>#N/A</v>
      </c>
      <c r="Z95" s="235" t="e">
        <f t="shared" si="466"/>
        <v>#N/A</v>
      </c>
      <c r="AA95" s="235" t="e">
        <f t="shared" si="467"/>
        <v>#N/A</v>
      </c>
      <c r="AB95" s="235" t="e">
        <f t="shared" si="468"/>
        <v>#N/A</v>
      </c>
      <c r="AC95" s="235" t="e">
        <f t="shared" si="469"/>
        <v>#N/A</v>
      </c>
      <c r="AD95" s="235" t="e">
        <f t="shared" si="470"/>
        <v>#N/A</v>
      </c>
      <c r="AE95" s="235" t="e">
        <f t="shared" si="471"/>
        <v>#N/A</v>
      </c>
      <c r="AF95" s="101" t="e">
        <f t="shared" si="432"/>
        <v>#N/A</v>
      </c>
      <c r="AG95" s="101" t="e">
        <f t="shared" si="433"/>
        <v>#N/A</v>
      </c>
      <c r="AH95" s="101" t="e">
        <f t="shared" si="434"/>
        <v>#N/A</v>
      </c>
      <c r="AI95" s="101" t="e">
        <f t="shared" si="435"/>
        <v>#N/A</v>
      </c>
      <c r="AJ95" s="101" t="e">
        <f t="shared" si="436"/>
        <v>#N/A</v>
      </c>
      <c r="AK95" s="101" t="e">
        <f t="shared" si="472"/>
        <v>#N/A</v>
      </c>
      <c r="AL95" s="235" t="e">
        <f t="shared" si="473"/>
        <v>#N/A</v>
      </c>
      <c r="AM95" s="235" t="e">
        <f t="shared" si="437"/>
        <v>#N/A</v>
      </c>
      <c r="AN95" s="235" t="e">
        <f t="shared" si="438"/>
        <v>#N/A</v>
      </c>
      <c r="AO95" s="235" t="e">
        <f t="shared" si="439"/>
        <v>#N/A</v>
      </c>
      <c r="AP95" s="235" t="e">
        <f t="shared" si="440"/>
        <v>#N/A</v>
      </c>
      <c r="AQ95" s="235" t="e">
        <f t="shared" si="441"/>
        <v>#N/A</v>
      </c>
      <c r="AR95" s="101" t="e">
        <f t="shared" si="474"/>
        <v>#N/A</v>
      </c>
      <c r="AS95" s="235" t="e">
        <f t="shared" si="475"/>
        <v>#N/A</v>
      </c>
      <c r="AT95" s="235" t="e">
        <f t="shared" si="442"/>
        <v>#N/A</v>
      </c>
      <c r="AV95" s="10">
        <v>89</v>
      </c>
      <c r="AW95" s="10">
        <f t="shared" si="476"/>
        <v>134</v>
      </c>
      <c r="AX95" s="309" t="e">
        <f t="shared" si="477"/>
        <v>#N/A</v>
      </c>
      <c r="AY95" s="309" t="e">
        <f t="shared" si="478"/>
        <v>#N/A</v>
      </c>
      <c r="AZ95" s="309" t="e">
        <f t="shared" si="479"/>
        <v>#N/A</v>
      </c>
      <c r="BA95" s="235" t="e">
        <f t="shared" si="480"/>
        <v>#N/A</v>
      </c>
      <c r="BB95" s="235" t="e">
        <f t="shared" si="481"/>
        <v>#N/A</v>
      </c>
      <c r="BC95" s="309" t="e">
        <f t="shared" si="482"/>
        <v>#N/A</v>
      </c>
      <c r="BD95" s="235" t="e">
        <f t="shared" si="483"/>
        <v>#N/A</v>
      </c>
      <c r="BE95" s="235" t="e">
        <f t="shared" si="484"/>
        <v>#N/A</v>
      </c>
      <c r="BF95" s="235" t="e">
        <f t="shared" si="485"/>
        <v>#N/A</v>
      </c>
      <c r="BG95" s="235" t="e">
        <f t="shared" si="486"/>
        <v>#N/A</v>
      </c>
      <c r="BH95" s="235" t="e">
        <f t="shared" si="487"/>
        <v>#N/A</v>
      </c>
      <c r="BI95" s="235" t="e">
        <f t="shared" si="488"/>
        <v>#N/A</v>
      </c>
      <c r="BJ95" s="235" t="e">
        <f t="shared" si="489"/>
        <v>#N/A</v>
      </c>
      <c r="BK95" s="101" t="e">
        <f t="shared" si="443"/>
        <v>#N/A</v>
      </c>
      <c r="BL95" s="101" t="e">
        <f t="shared" si="444"/>
        <v>#N/A</v>
      </c>
      <c r="BM95" s="101" t="e">
        <f t="shared" si="445"/>
        <v>#N/A</v>
      </c>
      <c r="BN95" s="101" t="e">
        <f t="shared" si="446"/>
        <v>#N/A</v>
      </c>
      <c r="BO95" s="101" t="e">
        <f t="shared" si="447"/>
        <v>#N/A</v>
      </c>
      <c r="BP95" s="101" t="e">
        <f t="shared" si="490"/>
        <v>#N/A</v>
      </c>
      <c r="BQ95" s="235" t="e">
        <f t="shared" si="448"/>
        <v>#N/A</v>
      </c>
      <c r="BR95" s="235" t="e">
        <f t="shared" si="449"/>
        <v>#N/A</v>
      </c>
      <c r="BS95" s="235" t="e">
        <f t="shared" si="450"/>
        <v>#N/A</v>
      </c>
      <c r="BT95" s="235" t="e">
        <f t="shared" si="451"/>
        <v>#N/A</v>
      </c>
      <c r="BU95" s="235" t="e">
        <f t="shared" si="452"/>
        <v>#N/A</v>
      </c>
      <c r="BV95" s="235" t="e">
        <f t="shared" si="453"/>
        <v>#N/A</v>
      </c>
      <c r="BW95" s="101" t="e">
        <f t="shared" si="491"/>
        <v>#N/A</v>
      </c>
      <c r="BX95" s="235" t="e">
        <f t="shared" si="492"/>
        <v>#N/A</v>
      </c>
      <c r="BY95" s="235" t="e">
        <f t="shared" si="454"/>
        <v>#N/A</v>
      </c>
      <c r="CA95" s="23"/>
      <c r="CJ95" s="10">
        <v>87</v>
      </c>
      <c r="CK95" s="450">
        <v>0.47233810275490434</v>
      </c>
      <c r="CL95" s="450">
        <v>0.12062702755478408</v>
      </c>
      <c r="CM95" s="450">
        <v>0.47233810275490434</v>
      </c>
      <c r="CN95" s="450">
        <v>0.12062702755478408</v>
      </c>
      <c r="CO95" s="451">
        <v>2.2487128038671218E-2</v>
      </c>
      <c r="CP95" s="451">
        <v>2.2479768900261436E-2</v>
      </c>
      <c r="CQ95" s="451">
        <v>1.3475200752299602E-2</v>
      </c>
      <c r="CR95" s="451">
        <v>1.347544625106456E-2</v>
      </c>
      <c r="CS95" s="451">
        <v>3.8724183649867623</v>
      </c>
      <c r="CT95" s="451">
        <v>3.892417136276209</v>
      </c>
      <c r="CU95" s="234">
        <v>-1.9998771289446715E-2</v>
      </c>
      <c r="CX95" s="377">
        <v>87</v>
      </c>
      <c r="CY95" s="335">
        <f t="shared" si="496"/>
        <v>9.1786999999999994E-2</v>
      </c>
      <c r="CZ95" s="338">
        <v>9.1786999999999994E-2</v>
      </c>
      <c r="DA95" s="345">
        <f t="shared" si="497"/>
        <v>0.15580888691818484</v>
      </c>
      <c r="DB95" s="387">
        <f t="shared" si="498"/>
        <v>0.36544919092924966</v>
      </c>
      <c r="DC95" s="114">
        <f t="shared" si="522"/>
        <v>8.2160621432345593E-3</v>
      </c>
      <c r="DD95" s="378">
        <f t="shared" si="523"/>
        <v>2.1661936033920637E-2</v>
      </c>
      <c r="DE95" s="378">
        <f t="shared" si="499"/>
        <v>1.2233637450344238E-2</v>
      </c>
      <c r="DF95" s="340">
        <f t="shared" si="524"/>
        <v>5.6837858215668113E-3</v>
      </c>
      <c r="DG95" s="378">
        <f t="shared" si="525"/>
        <v>1.6856315365090357E-2</v>
      </c>
      <c r="DH95" s="378">
        <f t="shared" si="500"/>
        <v>9.0220945976967372E-3</v>
      </c>
      <c r="DI95" s="340">
        <f>DI94+(DI98-DI88)/10</f>
        <v>0.72</v>
      </c>
      <c r="DJ95" s="349">
        <f t="shared" ref="DJ95" si="617">DJ94+(DJ98-DJ88)/10</f>
        <v>0.69</v>
      </c>
      <c r="DK95" s="350">
        <f t="shared" si="502"/>
        <v>0.71103611559998492</v>
      </c>
      <c r="DL95" s="345">
        <f t="shared" ref="DL95" si="618">DL94+(DL98-DL88)/10</f>
        <v>0.44</v>
      </c>
      <c r="DM95" s="349">
        <f t="shared" ref="DM95" si="619">DM94+(DM98-DM88)/10</f>
        <v>0.17</v>
      </c>
      <c r="DN95" s="396">
        <f t="shared" si="505"/>
        <v>0.35932504039986474</v>
      </c>
      <c r="DO95" s="335">
        <f t="shared" si="534"/>
        <v>0</v>
      </c>
      <c r="DP95" s="350">
        <f t="shared" si="535"/>
        <v>0</v>
      </c>
      <c r="DQ95" s="349">
        <f t="shared" si="506"/>
        <v>0</v>
      </c>
      <c r="DR95" s="335">
        <f t="shared" si="536"/>
        <v>0</v>
      </c>
      <c r="DS95" s="350">
        <f t="shared" si="537"/>
        <v>5.1428571428568937E-4</v>
      </c>
      <c r="DT95" s="349">
        <f t="shared" si="507"/>
        <v>1.5366658971453597E-4</v>
      </c>
      <c r="DU95" s="335">
        <f>DU94+(DU98-DU93)/5</f>
        <v>0.46399999999999997</v>
      </c>
      <c r="DV95" s="350">
        <f>DV94+(DV98-DV93)/5</f>
        <v>0.46500000000000008</v>
      </c>
      <c r="DW95" s="350">
        <f t="shared" si="508"/>
        <v>0.46429879614666725</v>
      </c>
      <c r="DX95" s="335">
        <f>DX94+(DX98-DX93)/5</f>
        <v>1</v>
      </c>
      <c r="DY95" s="350">
        <f>DY94+(DY98-DY93)/5</f>
        <v>0.95817142857142856</v>
      </c>
      <c r="DZ95" s="396">
        <f t="shared" si="509"/>
        <v>0.98750178403655053</v>
      </c>
      <c r="EA95" s="350">
        <f t="shared" si="510"/>
        <v>0</v>
      </c>
      <c r="EB95" s="350">
        <f t="shared" si="511"/>
        <v>0</v>
      </c>
      <c r="EC95" s="349">
        <f t="shared" si="512"/>
        <v>0</v>
      </c>
      <c r="ED95" s="335">
        <f t="shared" si="513"/>
        <v>5.1840163673829709E-3</v>
      </c>
      <c r="EE95" s="350">
        <f t="shared" si="514"/>
        <v>7.8530027861695162E-3</v>
      </c>
      <c r="EF95" s="387">
        <f t="shared" si="515"/>
        <v>5.9814992248233946E-3</v>
      </c>
      <c r="EG95" s="335">
        <f t="shared" si="516"/>
        <v>5.6837858215668113E-3</v>
      </c>
      <c r="EH95" s="350">
        <f t="shared" si="517"/>
        <v>1.6856315365090357E-2</v>
      </c>
      <c r="EI95" s="387">
        <f t="shared" si="518"/>
        <v>9.0220945976967372E-3</v>
      </c>
      <c r="EJ95" s="335">
        <f t="shared" si="519"/>
        <v>1.7654397746080797E-3</v>
      </c>
      <c r="EK95" s="350">
        <f t="shared" si="520"/>
        <v>0</v>
      </c>
      <c r="EL95" s="387">
        <f t="shared" si="521"/>
        <v>1.2379331727822324E-3</v>
      </c>
      <c r="EO95" s="456">
        <v>30</v>
      </c>
      <c r="EP95" s="452" t="s">
        <v>197</v>
      </c>
      <c r="EQ95" s="458">
        <v>0</v>
      </c>
      <c r="ER95" s="458">
        <v>0</v>
      </c>
      <c r="ES95" s="458">
        <v>0</v>
      </c>
      <c r="ET95" s="347" t="e">
        <f t="shared" si="611"/>
        <v>#NUM!</v>
      </c>
      <c r="EU95" s="458">
        <f t="shared" ca="1" si="606"/>
        <v>0</v>
      </c>
      <c r="EV95" s="458">
        <f t="shared" si="607"/>
        <v>0</v>
      </c>
      <c r="EW95" s="396">
        <f t="shared" si="612"/>
        <v>0</v>
      </c>
      <c r="EY95" s="363">
        <v>75</v>
      </c>
      <c r="EZ95" s="346">
        <f t="shared" si="616"/>
        <v>6.4285714285714276E-3</v>
      </c>
      <c r="FA95" s="347">
        <f t="shared" si="562"/>
        <v>5.1428571428571426E-3</v>
      </c>
      <c r="FB95" s="347">
        <f t="shared" si="563"/>
        <v>7.7142857142857126E-3</v>
      </c>
      <c r="FC95" s="33">
        <f t="shared" si="564"/>
        <v>95.412664635455897</v>
      </c>
      <c r="FD95" s="33">
        <f t="shared" si="565"/>
        <v>14746.557389768797</v>
      </c>
      <c r="FE95" s="308">
        <f t="shared" ca="1" si="569"/>
        <v>5.9944429743718844E-3</v>
      </c>
      <c r="FF95" s="364">
        <f t="shared" si="570"/>
        <v>0.94814285714285718</v>
      </c>
    </row>
    <row r="96" spans="2:162" ht="15" customHeight="1" x14ac:dyDescent="0.2">
      <c r="Q96" s="10">
        <v>90</v>
      </c>
      <c r="R96" s="10">
        <f t="shared" si="431"/>
        <v>135</v>
      </c>
      <c r="S96" s="309" t="e">
        <f t="shared" si="459"/>
        <v>#N/A</v>
      </c>
      <c r="T96" s="309" t="e">
        <f t="shared" si="460"/>
        <v>#N/A</v>
      </c>
      <c r="U96" s="309" t="e">
        <f t="shared" si="461"/>
        <v>#N/A</v>
      </c>
      <c r="V96" s="235" t="e">
        <f t="shared" si="462"/>
        <v>#N/A</v>
      </c>
      <c r="W96" s="235" t="e">
        <f t="shared" si="463"/>
        <v>#N/A</v>
      </c>
      <c r="X96" s="309" t="e">
        <f t="shared" si="464"/>
        <v>#N/A</v>
      </c>
      <c r="Y96" s="235" t="e">
        <f t="shared" si="465"/>
        <v>#N/A</v>
      </c>
      <c r="Z96" s="235" t="e">
        <f t="shared" si="466"/>
        <v>#N/A</v>
      </c>
      <c r="AA96" s="235" t="e">
        <f t="shared" si="467"/>
        <v>#N/A</v>
      </c>
      <c r="AB96" s="235" t="e">
        <f t="shared" si="468"/>
        <v>#N/A</v>
      </c>
      <c r="AC96" s="235" t="e">
        <f t="shared" si="469"/>
        <v>#N/A</v>
      </c>
      <c r="AD96" s="235" t="e">
        <f t="shared" si="470"/>
        <v>#N/A</v>
      </c>
      <c r="AE96" s="235" t="e">
        <f t="shared" si="471"/>
        <v>#N/A</v>
      </c>
      <c r="AF96" s="101" t="e">
        <f t="shared" si="432"/>
        <v>#N/A</v>
      </c>
      <c r="AG96" s="101" t="e">
        <f t="shared" si="433"/>
        <v>#N/A</v>
      </c>
      <c r="AH96" s="101" t="e">
        <f t="shared" si="434"/>
        <v>#N/A</v>
      </c>
      <c r="AI96" s="101" t="e">
        <f t="shared" si="435"/>
        <v>#N/A</v>
      </c>
      <c r="AJ96" s="101" t="e">
        <f t="shared" si="436"/>
        <v>#N/A</v>
      </c>
      <c r="AK96" s="101" t="e">
        <f t="shared" si="472"/>
        <v>#N/A</v>
      </c>
      <c r="AL96" s="235" t="e">
        <f t="shared" si="473"/>
        <v>#N/A</v>
      </c>
      <c r="AM96" s="235" t="e">
        <f t="shared" si="437"/>
        <v>#N/A</v>
      </c>
      <c r="AN96" s="235" t="e">
        <f t="shared" si="438"/>
        <v>#N/A</v>
      </c>
      <c r="AO96" s="235" t="e">
        <f t="shared" si="439"/>
        <v>#N/A</v>
      </c>
      <c r="AP96" s="235" t="e">
        <f t="shared" si="440"/>
        <v>#N/A</v>
      </c>
      <c r="AQ96" s="235" t="e">
        <f t="shared" si="441"/>
        <v>#N/A</v>
      </c>
      <c r="AR96" s="101" t="e">
        <f t="shared" si="474"/>
        <v>#N/A</v>
      </c>
      <c r="AS96" s="235" t="e">
        <f t="shared" si="475"/>
        <v>#N/A</v>
      </c>
      <c r="AT96" s="235" t="e">
        <f t="shared" si="442"/>
        <v>#N/A</v>
      </c>
      <c r="AV96" s="10">
        <v>90</v>
      </c>
      <c r="AW96" s="10">
        <f t="shared" si="476"/>
        <v>135</v>
      </c>
      <c r="AX96" s="309" t="e">
        <f t="shared" si="477"/>
        <v>#N/A</v>
      </c>
      <c r="AY96" s="309" t="e">
        <f t="shared" si="478"/>
        <v>#N/A</v>
      </c>
      <c r="AZ96" s="309" t="e">
        <f t="shared" si="479"/>
        <v>#N/A</v>
      </c>
      <c r="BA96" s="235" t="e">
        <f t="shared" si="480"/>
        <v>#N/A</v>
      </c>
      <c r="BB96" s="235" t="e">
        <f t="shared" si="481"/>
        <v>#N/A</v>
      </c>
      <c r="BC96" s="309" t="e">
        <f t="shared" si="482"/>
        <v>#N/A</v>
      </c>
      <c r="BD96" s="235" t="e">
        <f t="shared" si="483"/>
        <v>#N/A</v>
      </c>
      <c r="BE96" s="235" t="e">
        <f t="shared" si="484"/>
        <v>#N/A</v>
      </c>
      <c r="BF96" s="235" t="e">
        <f t="shared" si="485"/>
        <v>#N/A</v>
      </c>
      <c r="BG96" s="235" t="e">
        <f t="shared" si="486"/>
        <v>#N/A</v>
      </c>
      <c r="BH96" s="235" t="e">
        <f t="shared" si="487"/>
        <v>#N/A</v>
      </c>
      <c r="BI96" s="235" t="e">
        <f t="shared" si="488"/>
        <v>#N/A</v>
      </c>
      <c r="BJ96" s="235" t="e">
        <f t="shared" si="489"/>
        <v>#N/A</v>
      </c>
      <c r="BK96" s="101" t="e">
        <f t="shared" si="443"/>
        <v>#N/A</v>
      </c>
      <c r="BL96" s="101" t="e">
        <f t="shared" si="444"/>
        <v>#N/A</v>
      </c>
      <c r="BM96" s="101" t="e">
        <f t="shared" si="445"/>
        <v>#N/A</v>
      </c>
      <c r="BN96" s="101" t="e">
        <f t="shared" si="446"/>
        <v>#N/A</v>
      </c>
      <c r="BO96" s="101" t="e">
        <f t="shared" si="447"/>
        <v>#N/A</v>
      </c>
      <c r="BP96" s="101" t="e">
        <f t="shared" si="490"/>
        <v>#N/A</v>
      </c>
      <c r="BQ96" s="235" t="e">
        <f t="shared" si="448"/>
        <v>#N/A</v>
      </c>
      <c r="BR96" s="235" t="e">
        <f t="shared" si="449"/>
        <v>#N/A</v>
      </c>
      <c r="BS96" s="235" t="e">
        <f t="shared" si="450"/>
        <v>#N/A</v>
      </c>
      <c r="BT96" s="235" t="e">
        <f t="shared" si="451"/>
        <v>#N/A</v>
      </c>
      <c r="BU96" s="235" t="e">
        <f t="shared" si="452"/>
        <v>#N/A</v>
      </c>
      <c r="BV96" s="235" t="e">
        <f t="shared" si="453"/>
        <v>#N/A</v>
      </c>
      <c r="BW96" s="101" t="e">
        <f t="shared" si="491"/>
        <v>#N/A</v>
      </c>
      <c r="BX96" s="235" t="e">
        <f t="shared" si="492"/>
        <v>#N/A</v>
      </c>
      <c r="BY96" s="235" t="e">
        <f t="shared" si="454"/>
        <v>#N/A</v>
      </c>
      <c r="CA96" s="23"/>
      <c r="CJ96" s="10">
        <v>88</v>
      </c>
      <c r="CK96" s="450">
        <v>0.47233810275490434</v>
      </c>
      <c r="CL96" s="450">
        <v>0.12062702755478408</v>
      </c>
      <c r="CM96" s="450">
        <v>0.47233810275490434</v>
      </c>
      <c r="CN96" s="450">
        <v>0.12062702755478408</v>
      </c>
      <c r="CO96" s="451">
        <v>2.0083910132489762E-2</v>
      </c>
      <c r="CP96" s="451">
        <v>2.007715167768729E-2</v>
      </c>
      <c r="CQ96" s="451">
        <v>1.1253862851126268E-2</v>
      </c>
      <c r="CR96" s="451">
        <v>1.1253776218418506E-2</v>
      </c>
      <c r="CS96" s="451">
        <v>3.6321602479914725</v>
      </c>
      <c r="CT96" s="451">
        <v>3.6521643543348645</v>
      </c>
      <c r="CU96" s="234">
        <v>-2.0004106343392003E-2</v>
      </c>
      <c r="CX96" s="377">
        <v>88</v>
      </c>
      <c r="CY96" s="335">
        <f t="shared" si="496"/>
        <v>0.10281700000000001</v>
      </c>
      <c r="CZ96" s="338">
        <v>0.10281700000000001</v>
      </c>
      <c r="DA96" s="345">
        <f t="shared" si="497"/>
        <v>0.15580888691818484</v>
      </c>
      <c r="DB96" s="387">
        <f t="shared" si="498"/>
        <v>0.36544919092924966</v>
      </c>
      <c r="DC96" s="114">
        <f t="shared" si="522"/>
        <v>8.2160621432345593E-3</v>
      </c>
      <c r="DD96" s="378">
        <f t="shared" si="523"/>
        <v>2.1661936033920637E-2</v>
      </c>
      <c r="DE96" s="378">
        <f t="shared" si="499"/>
        <v>1.2233637450344238E-2</v>
      </c>
      <c r="DF96" s="340">
        <f t="shared" si="524"/>
        <v>5.6837858215668113E-3</v>
      </c>
      <c r="DG96" s="378">
        <f t="shared" si="525"/>
        <v>1.6856315365090357E-2</v>
      </c>
      <c r="DH96" s="378">
        <f t="shared" si="500"/>
        <v>9.0220945976967372E-3</v>
      </c>
      <c r="DI96" s="340">
        <f>DI95+(DI98-DI88)/10</f>
        <v>0.72</v>
      </c>
      <c r="DJ96" s="349">
        <f t="shared" ref="DJ96" si="620">DJ95+(DJ98-DJ88)/10</f>
        <v>0.69</v>
      </c>
      <c r="DK96" s="350">
        <f t="shared" si="502"/>
        <v>0.71103611559998492</v>
      </c>
      <c r="DL96" s="345">
        <f t="shared" ref="DL96" si="621">DL95+(DL98-DL88)/10</f>
        <v>0.44</v>
      </c>
      <c r="DM96" s="349">
        <f t="shared" ref="DM96" si="622">DM95+(DM98-DM88)/10</f>
        <v>0.17</v>
      </c>
      <c r="DN96" s="396">
        <f t="shared" si="505"/>
        <v>0.35932504039986474</v>
      </c>
      <c r="DO96" s="335">
        <f t="shared" si="534"/>
        <v>0</v>
      </c>
      <c r="DP96" s="350">
        <f t="shared" si="535"/>
        <v>0</v>
      </c>
      <c r="DQ96" s="349">
        <f t="shared" si="506"/>
        <v>0</v>
      </c>
      <c r="DR96" s="335">
        <f t="shared" si="536"/>
        <v>0</v>
      </c>
      <c r="DS96" s="350">
        <f t="shared" si="537"/>
        <v>5.1428571428568937E-4</v>
      </c>
      <c r="DT96" s="349">
        <f t="shared" si="507"/>
        <v>1.5366658971453597E-4</v>
      </c>
      <c r="DU96" s="335">
        <f>DU95+(DU98-DU93)/5</f>
        <v>0.46399999999999997</v>
      </c>
      <c r="DV96" s="350">
        <f>DV95+(DV98-DV93)/5</f>
        <v>0.46500000000000008</v>
      </c>
      <c r="DW96" s="350">
        <f t="shared" si="508"/>
        <v>0.46429879614666725</v>
      </c>
      <c r="DX96" s="335">
        <f>DX95+(DX98-DX93)/5</f>
        <v>1</v>
      </c>
      <c r="DY96" s="350">
        <f>DY95+(DY98-DY93)/5</f>
        <v>0.95868571428571425</v>
      </c>
      <c r="DZ96" s="396">
        <f t="shared" si="509"/>
        <v>0.98765545062626503</v>
      </c>
      <c r="EA96" s="350">
        <f t="shared" si="510"/>
        <v>0</v>
      </c>
      <c r="EB96" s="350">
        <f t="shared" si="511"/>
        <v>0</v>
      </c>
      <c r="EC96" s="349">
        <f t="shared" si="512"/>
        <v>0</v>
      </c>
      <c r="ED96" s="335">
        <f t="shared" si="513"/>
        <v>5.1840163673829709E-3</v>
      </c>
      <c r="EE96" s="350">
        <f t="shared" si="514"/>
        <v>7.8530027861695162E-3</v>
      </c>
      <c r="EF96" s="387">
        <f t="shared" si="515"/>
        <v>5.9814992248233946E-3</v>
      </c>
      <c r="EG96" s="335">
        <f t="shared" si="516"/>
        <v>5.6837858215668113E-3</v>
      </c>
      <c r="EH96" s="350">
        <f t="shared" si="517"/>
        <v>1.6856315365090357E-2</v>
      </c>
      <c r="EI96" s="387">
        <f t="shared" si="518"/>
        <v>9.0220945976967372E-3</v>
      </c>
      <c r="EJ96" s="335">
        <f t="shared" si="519"/>
        <v>1.7654397746080797E-3</v>
      </c>
      <c r="EK96" s="350">
        <f t="shared" si="520"/>
        <v>0</v>
      </c>
      <c r="EL96" s="387">
        <f t="shared" si="521"/>
        <v>1.2379331727822324E-3</v>
      </c>
      <c r="EO96" s="456">
        <v>40</v>
      </c>
      <c r="EP96" s="452" t="s">
        <v>198</v>
      </c>
      <c r="EQ96" s="458">
        <v>1.8</v>
      </c>
      <c r="ER96" s="458">
        <v>1</v>
      </c>
      <c r="ES96" s="458">
        <v>3.4</v>
      </c>
      <c r="ET96" s="347">
        <f t="shared" si="611"/>
        <v>0.31219334673369015</v>
      </c>
      <c r="EU96" s="458">
        <f t="shared" ca="1" si="606"/>
        <v>1.8327537204808555</v>
      </c>
      <c r="EV96" s="458">
        <f t="shared" si="607"/>
        <v>1.8</v>
      </c>
      <c r="EW96" s="396">
        <f t="shared" si="612"/>
        <v>1.7983809715627075E-3</v>
      </c>
      <c r="EY96" s="363">
        <v>80</v>
      </c>
      <c r="EZ96" s="346">
        <f t="shared" si="616"/>
        <v>5.1428571428571417E-3</v>
      </c>
      <c r="FA96" s="347">
        <f t="shared" si="562"/>
        <v>4.1142857142857136E-3</v>
      </c>
      <c r="FB96" s="347">
        <f t="shared" si="563"/>
        <v>6.1714285714285699E-3</v>
      </c>
      <c r="FC96" s="33">
        <f t="shared" si="564"/>
        <v>95.537425811835305</v>
      </c>
      <c r="FD96" s="33">
        <f t="shared" si="565"/>
        <v>18481.184259822814</v>
      </c>
      <c r="FE96" s="308">
        <f t="shared" ca="1" si="569"/>
        <v>5.398627795943467E-3</v>
      </c>
      <c r="FF96" s="364">
        <f t="shared" si="570"/>
        <v>0.95328571428571429</v>
      </c>
    </row>
    <row r="97" spans="2:162" ht="15" customHeight="1" x14ac:dyDescent="0.2">
      <c r="B97" s="15" t="s">
        <v>362</v>
      </c>
      <c r="D97" s="255"/>
      <c r="E97" s="497" t="s">
        <v>364</v>
      </c>
      <c r="F97" s="497"/>
      <c r="G97" s="497"/>
      <c r="H97" s="497"/>
      <c r="I97" s="497"/>
      <c r="J97" s="497"/>
      <c r="K97" s="497"/>
      <c r="L97" s="497"/>
      <c r="M97" s="497"/>
      <c r="N97" s="497"/>
      <c r="Q97" s="10">
        <v>91</v>
      </c>
      <c r="R97" s="10">
        <f t="shared" si="431"/>
        <v>136</v>
      </c>
      <c r="S97" s="309" t="e">
        <f t="shared" si="459"/>
        <v>#N/A</v>
      </c>
      <c r="T97" s="309" t="e">
        <f t="shared" si="460"/>
        <v>#N/A</v>
      </c>
      <c r="U97" s="309" t="e">
        <f t="shared" si="461"/>
        <v>#N/A</v>
      </c>
      <c r="V97" s="235" t="e">
        <f t="shared" si="462"/>
        <v>#N/A</v>
      </c>
      <c r="W97" s="235" t="e">
        <f t="shared" si="463"/>
        <v>#N/A</v>
      </c>
      <c r="X97" s="309" t="e">
        <f t="shared" si="464"/>
        <v>#N/A</v>
      </c>
      <c r="Y97" s="235" t="e">
        <f t="shared" si="465"/>
        <v>#N/A</v>
      </c>
      <c r="Z97" s="235" t="e">
        <f t="shared" si="466"/>
        <v>#N/A</v>
      </c>
      <c r="AA97" s="235" t="e">
        <f t="shared" si="467"/>
        <v>#N/A</v>
      </c>
      <c r="AB97" s="235" t="e">
        <f t="shared" si="468"/>
        <v>#N/A</v>
      </c>
      <c r="AC97" s="235" t="e">
        <f t="shared" si="469"/>
        <v>#N/A</v>
      </c>
      <c r="AD97" s="235" t="e">
        <f t="shared" si="470"/>
        <v>#N/A</v>
      </c>
      <c r="AE97" s="235" t="e">
        <f t="shared" si="471"/>
        <v>#N/A</v>
      </c>
      <c r="AF97" s="101" t="e">
        <f t="shared" si="432"/>
        <v>#N/A</v>
      </c>
      <c r="AG97" s="101" t="e">
        <f t="shared" si="433"/>
        <v>#N/A</v>
      </c>
      <c r="AH97" s="101" t="e">
        <f t="shared" si="434"/>
        <v>#N/A</v>
      </c>
      <c r="AI97" s="101" t="e">
        <f t="shared" si="435"/>
        <v>#N/A</v>
      </c>
      <c r="AJ97" s="101" t="e">
        <f t="shared" si="436"/>
        <v>#N/A</v>
      </c>
      <c r="AK97" s="101" t="e">
        <f t="shared" si="472"/>
        <v>#N/A</v>
      </c>
      <c r="AL97" s="235" t="e">
        <f t="shared" si="473"/>
        <v>#N/A</v>
      </c>
      <c r="AM97" s="235" t="e">
        <f t="shared" si="437"/>
        <v>#N/A</v>
      </c>
      <c r="AN97" s="235" t="e">
        <f t="shared" si="438"/>
        <v>#N/A</v>
      </c>
      <c r="AO97" s="235" t="e">
        <f t="shared" si="439"/>
        <v>#N/A</v>
      </c>
      <c r="AP97" s="235" t="e">
        <f t="shared" si="440"/>
        <v>#N/A</v>
      </c>
      <c r="AQ97" s="235" t="e">
        <f t="shared" si="441"/>
        <v>#N/A</v>
      </c>
      <c r="AR97" s="101" t="e">
        <f t="shared" si="474"/>
        <v>#N/A</v>
      </c>
      <c r="AS97" s="235" t="e">
        <f t="shared" si="475"/>
        <v>#N/A</v>
      </c>
      <c r="AT97" s="235" t="e">
        <f t="shared" si="442"/>
        <v>#N/A</v>
      </c>
      <c r="AV97" s="10">
        <v>91</v>
      </c>
      <c r="AW97" s="10">
        <f t="shared" si="476"/>
        <v>136</v>
      </c>
      <c r="AX97" s="309" t="e">
        <f t="shared" si="477"/>
        <v>#N/A</v>
      </c>
      <c r="AY97" s="309" t="e">
        <f t="shared" si="478"/>
        <v>#N/A</v>
      </c>
      <c r="AZ97" s="309" t="e">
        <f t="shared" si="479"/>
        <v>#N/A</v>
      </c>
      <c r="BA97" s="235" t="e">
        <f t="shared" si="480"/>
        <v>#N/A</v>
      </c>
      <c r="BB97" s="235" t="e">
        <f t="shared" si="481"/>
        <v>#N/A</v>
      </c>
      <c r="BC97" s="309" t="e">
        <f t="shared" si="482"/>
        <v>#N/A</v>
      </c>
      <c r="BD97" s="235" t="e">
        <f t="shared" si="483"/>
        <v>#N/A</v>
      </c>
      <c r="BE97" s="235" t="e">
        <f t="shared" si="484"/>
        <v>#N/A</v>
      </c>
      <c r="BF97" s="235" t="e">
        <f t="shared" si="485"/>
        <v>#N/A</v>
      </c>
      <c r="BG97" s="235" t="e">
        <f t="shared" si="486"/>
        <v>#N/A</v>
      </c>
      <c r="BH97" s="235" t="e">
        <f t="shared" si="487"/>
        <v>#N/A</v>
      </c>
      <c r="BI97" s="235" t="e">
        <f t="shared" si="488"/>
        <v>#N/A</v>
      </c>
      <c r="BJ97" s="235" t="e">
        <f t="shared" si="489"/>
        <v>#N/A</v>
      </c>
      <c r="BK97" s="101" t="e">
        <f t="shared" si="443"/>
        <v>#N/A</v>
      </c>
      <c r="BL97" s="101" t="e">
        <f t="shared" si="444"/>
        <v>#N/A</v>
      </c>
      <c r="BM97" s="101" t="e">
        <f t="shared" si="445"/>
        <v>#N/A</v>
      </c>
      <c r="BN97" s="101" t="e">
        <f t="shared" si="446"/>
        <v>#N/A</v>
      </c>
      <c r="BO97" s="101" t="e">
        <f t="shared" si="447"/>
        <v>#N/A</v>
      </c>
      <c r="BP97" s="101" t="e">
        <f t="shared" si="490"/>
        <v>#N/A</v>
      </c>
      <c r="BQ97" s="235" t="e">
        <f t="shared" si="448"/>
        <v>#N/A</v>
      </c>
      <c r="BR97" s="235" t="e">
        <f t="shared" si="449"/>
        <v>#N/A</v>
      </c>
      <c r="BS97" s="235" t="e">
        <f t="shared" si="450"/>
        <v>#N/A</v>
      </c>
      <c r="BT97" s="235" t="e">
        <f t="shared" si="451"/>
        <v>#N/A</v>
      </c>
      <c r="BU97" s="235" t="e">
        <f t="shared" si="452"/>
        <v>#N/A</v>
      </c>
      <c r="BV97" s="235" t="e">
        <f t="shared" si="453"/>
        <v>#N/A</v>
      </c>
      <c r="BW97" s="101" t="e">
        <f t="shared" si="491"/>
        <v>#N/A</v>
      </c>
      <c r="BX97" s="235" t="e">
        <f t="shared" si="492"/>
        <v>#N/A</v>
      </c>
      <c r="BY97" s="235" t="e">
        <f t="shared" si="454"/>
        <v>#N/A</v>
      </c>
      <c r="CA97" s="23"/>
      <c r="CJ97" s="10">
        <v>89</v>
      </c>
      <c r="CK97" s="450">
        <v>0.47233810275490434</v>
      </c>
      <c r="CL97" s="450">
        <v>0.12062702755478408</v>
      </c>
      <c r="CM97" s="450">
        <v>0.47233810275490434</v>
      </c>
      <c r="CN97" s="450">
        <v>0.12062702755478408</v>
      </c>
      <c r="CO97" s="451">
        <v>1.7582871066982406E-2</v>
      </c>
      <c r="CP97" s="451">
        <v>1.7576534537985078E-2</v>
      </c>
      <c r="CQ97" s="451">
        <v>8.8397749416180092E-3</v>
      </c>
      <c r="CR97" s="451">
        <v>8.8392481891997367E-3</v>
      </c>
      <c r="CS97" s="451">
        <v>3.366517328559409</v>
      </c>
      <c r="CT97" s="451">
        <v>3.3865291703128273</v>
      </c>
      <c r="CU97" s="234">
        <v>-2.0011841753418302E-2</v>
      </c>
      <c r="CX97" s="377">
        <v>89</v>
      </c>
      <c r="CY97" s="335">
        <f t="shared" si="496"/>
        <v>0.114907</v>
      </c>
      <c r="CZ97" s="338">
        <v>0.114907</v>
      </c>
      <c r="DA97" s="345">
        <f t="shared" si="497"/>
        <v>0.15580888691818484</v>
      </c>
      <c r="DB97" s="387">
        <f t="shared" si="498"/>
        <v>0.36544919092924966</v>
      </c>
      <c r="DC97" s="114">
        <f t="shared" si="522"/>
        <v>8.2160621432345593E-3</v>
      </c>
      <c r="DD97" s="378">
        <f t="shared" si="523"/>
        <v>2.1661936033920637E-2</v>
      </c>
      <c r="DE97" s="378">
        <f t="shared" si="499"/>
        <v>1.2233637450344238E-2</v>
      </c>
      <c r="DF97" s="340">
        <f t="shared" si="524"/>
        <v>5.6837858215668113E-3</v>
      </c>
      <c r="DG97" s="378">
        <f t="shared" si="525"/>
        <v>1.6856315365090357E-2</v>
      </c>
      <c r="DH97" s="378">
        <f t="shared" si="500"/>
        <v>9.0220945976967372E-3</v>
      </c>
      <c r="DI97" s="340">
        <f>DI96+(DI98-DI88)/10</f>
        <v>0.72</v>
      </c>
      <c r="DJ97" s="349">
        <f t="shared" ref="DJ97" si="623">DJ96+(DJ98-DJ88)/10</f>
        <v>0.69</v>
      </c>
      <c r="DK97" s="350">
        <f t="shared" si="502"/>
        <v>0.71103611559998492</v>
      </c>
      <c r="DL97" s="345">
        <f t="shared" ref="DL97" si="624">DL96+(DL98-DL88)/10</f>
        <v>0.44</v>
      </c>
      <c r="DM97" s="349">
        <f t="shared" ref="DM97" si="625">DM96+(DM98-DM88)/10</f>
        <v>0.17</v>
      </c>
      <c r="DN97" s="396">
        <f t="shared" si="505"/>
        <v>0.35932504039986474</v>
      </c>
      <c r="DO97" s="335">
        <f t="shared" si="534"/>
        <v>0</v>
      </c>
      <c r="DP97" s="350">
        <f t="shared" si="535"/>
        <v>0</v>
      </c>
      <c r="DQ97" s="349">
        <f t="shared" si="506"/>
        <v>0</v>
      </c>
      <c r="DR97" s="335">
        <f t="shared" si="536"/>
        <v>0</v>
      </c>
      <c r="DS97" s="350">
        <f t="shared" si="537"/>
        <v>5.1428571428568937E-4</v>
      </c>
      <c r="DT97" s="349">
        <f t="shared" si="507"/>
        <v>1.5366658971453597E-4</v>
      </c>
      <c r="DU97" s="335">
        <f>DU96+(DU98-DU93)/5</f>
        <v>0.46399999999999997</v>
      </c>
      <c r="DV97" s="350">
        <f>DV96+(DV98-DV93)/5</f>
        <v>0.46500000000000008</v>
      </c>
      <c r="DW97" s="350">
        <f t="shared" si="508"/>
        <v>0.46429879614666725</v>
      </c>
      <c r="DX97" s="335">
        <f>DX96+(DX98-DX93)/5</f>
        <v>1</v>
      </c>
      <c r="DY97" s="350">
        <f>DY96+(DY98-DY93)/5</f>
        <v>0.95919999999999994</v>
      </c>
      <c r="DZ97" s="396">
        <f t="shared" si="509"/>
        <v>0.98780911721597953</v>
      </c>
      <c r="EA97" s="350">
        <f t="shared" si="510"/>
        <v>0</v>
      </c>
      <c r="EB97" s="350">
        <f t="shared" si="511"/>
        <v>0</v>
      </c>
      <c r="EC97" s="349">
        <f t="shared" si="512"/>
        <v>0</v>
      </c>
      <c r="ED97" s="335">
        <f t="shared" si="513"/>
        <v>5.1840163673829709E-3</v>
      </c>
      <c r="EE97" s="350">
        <f t="shared" si="514"/>
        <v>7.8530027861695162E-3</v>
      </c>
      <c r="EF97" s="387">
        <f t="shared" si="515"/>
        <v>5.9814992248233946E-3</v>
      </c>
      <c r="EG97" s="335">
        <f t="shared" si="516"/>
        <v>5.6837858215668113E-3</v>
      </c>
      <c r="EH97" s="350">
        <f t="shared" si="517"/>
        <v>1.6856315365090357E-2</v>
      </c>
      <c r="EI97" s="387">
        <f t="shared" si="518"/>
        <v>9.0220945976967372E-3</v>
      </c>
      <c r="EJ97" s="335">
        <f t="shared" si="519"/>
        <v>1.7654397746080797E-3</v>
      </c>
      <c r="EK97" s="350">
        <f t="shared" si="520"/>
        <v>0</v>
      </c>
      <c r="EL97" s="387">
        <f t="shared" si="521"/>
        <v>1.2379331727822324E-3</v>
      </c>
      <c r="EO97" s="456">
        <v>50</v>
      </c>
      <c r="EP97" s="452" t="s">
        <v>199</v>
      </c>
      <c r="EQ97" s="458">
        <v>7</v>
      </c>
      <c r="ER97" s="458">
        <v>4.7</v>
      </c>
      <c r="ES97" s="458">
        <v>10.4</v>
      </c>
      <c r="ET97" s="347">
        <f t="shared" si="611"/>
        <v>0.20261680921083347</v>
      </c>
      <c r="EU97" s="458">
        <f t="shared" ca="1" si="606"/>
        <v>7.3700478551718103</v>
      </c>
      <c r="EV97" s="458">
        <f t="shared" si="607"/>
        <v>7</v>
      </c>
      <c r="EW97" s="396">
        <f t="shared" si="612"/>
        <v>6.9755570667648925E-3</v>
      </c>
      <c r="EY97" s="363">
        <v>85</v>
      </c>
      <c r="EZ97" s="346">
        <f t="shared" si="616"/>
        <v>3.8571428571428559E-3</v>
      </c>
      <c r="FA97" s="347">
        <f t="shared" si="562"/>
        <v>3.0857142857142849E-3</v>
      </c>
      <c r="FB97" s="347">
        <f t="shared" si="563"/>
        <v>4.6285714285714272E-3</v>
      </c>
      <c r="FC97" s="33">
        <f t="shared" si="564"/>
        <v>95.662186988214742</v>
      </c>
      <c r="FD97" s="33">
        <f t="shared" si="565"/>
        <v>24705.645550697096</v>
      </c>
      <c r="FE97" s="308">
        <f t="shared" ca="1" si="569"/>
        <v>3.5007620951894459E-3</v>
      </c>
      <c r="FF97" s="364">
        <f t="shared" si="570"/>
        <v>0.95714285714285718</v>
      </c>
    </row>
    <row r="98" spans="2:162" ht="15" customHeight="1" x14ac:dyDescent="0.2">
      <c r="B98" s="15" t="s">
        <v>363</v>
      </c>
      <c r="D98" s="255"/>
      <c r="E98" s="497"/>
      <c r="F98" s="497"/>
      <c r="G98" s="497"/>
      <c r="H98" s="497"/>
      <c r="I98" s="497"/>
      <c r="J98" s="497"/>
      <c r="K98" s="497"/>
      <c r="L98" s="497"/>
      <c r="M98" s="497"/>
      <c r="N98" s="497"/>
      <c r="Q98" s="10">
        <v>92</v>
      </c>
      <c r="R98" s="10">
        <f t="shared" si="431"/>
        <v>137</v>
      </c>
      <c r="S98" s="309" t="e">
        <f t="shared" si="459"/>
        <v>#N/A</v>
      </c>
      <c r="T98" s="309" t="e">
        <f t="shared" si="460"/>
        <v>#N/A</v>
      </c>
      <c r="U98" s="309" t="e">
        <f t="shared" si="461"/>
        <v>#N/A</v>
      </c>
      <c r="V98" s="235" t="e">
        <f t="shared" si="462"/>
        <v>#N/A</v>
      </c>
      <c r="W98" s="235" t="e">
        <f t="shared" si="463"/>
        <v>#N/A</v>
      </c>
      <c r="X98" s="309" t="e">
        <f t="shared" si="464"/>
        <v>#N/A</v>
      </c>
      <c r="Y98" s="235" t="e">
        <f t="shared" si="465"/>
        <v>#N/A</v>
      </c>
      <c r="Z98" s="235" t="e">
        <f t="shared" si="466"/>
        <v>#N/A</v>
      </c>
      <c r="AA98" s="235" t="e">
        <f t="shared" si="467"/>
        <v>#N/A</v>
      </c>
      <c r="AB98" s="235" t="e">
        <f t="shared" si="468"/>
        <v>#N/A</v>
      </c>
      <c r="AC98" s="235" t="e">
        <f t="shared" si="469"/>
        <v>#N/A</v>
      </c>
      <c r="AD98" s="235" t="e">
        <f t="shared" si="470"/>
        <v>#N/A</v>
      </c>
      <c r="AE98" s="235" t="e">
        <f t="shared" si="471"/>
        <v>#N/A</v>
      </c>
      <c r="AF98" s="101" t="e">
        <f t="shared" si="432"/>
        <v>#N/A</v>
      </c>
      <c r="AG98" s="101" t="e">
        <f t="shared" si="433"/>
        <v>#N/A</v>
      </c>
      <c r="AH98" s="101" t="e">
        <f t="shared" si="434"/>
        <v>#N/A</v>
      </c>
      <c r="AI98" s="101" t="e">
        <f t="shared" si="435"/>
        <v>#N/A</v>
      </c>
      <c r="AJ98" s="101" t="e">
        <f t="shared" si="436"/>
        <v>#N/A</v>
      </c>
      <c r="AK98" s="101" t="e">
        <f t="shared" si="472"/>
        <v>#N/A</v>
      </c>
      <c r="AL98" s="235" t="e">
        <f t="shared" si="473"/>
        <v>#N/A</v>
      </c>
      <c r="AM98" s="235" t="e">
        <f t="shared" si="437"/>
        <v>#N/A</v>
      </c>
      <c r="AN98" s="235" t="e">
        <f t="shared" si="438"/>
        <v>#N/A</v>
      </c>
      <c r="AO98" s="235" t="e">
        <f t="shared" si="439"/>
        <v>#N/A</v>
      </c>
      <c r="AP98" s="235" t="e">
        <f t="shared" si="440"/>
        <v>#N/A</v>
      </c>
      <c r="AQ98" s="235" t="e">
        <f t="shared" si="441"/>
        <v>#N/A</v>
      </c>
      <c r="AR98" s="101" t="e">
        <f t="shared" si="474"/>
        <v>#N/A</v>
      </c>
      <c r="AS98" s="235" t="e">
        <f t="shared" si="475"/>
        <v>#N/A</v>
      </c>
      <c r="AT98" s="235" t="e">
        <f t="shared" si="442"/>
        <v>#N/A</v>
      </c>
      <c r="AV98" s="10">
        <v>92</v>
      </c>
      <c r="AW98" s="10">
        <f t="shared" si="476"/>
        <v>137</v>
      </c>
      <c r="AX98" s="309" t="e">
        <f t="shared" si="477"/>
        <v>#N/A</v>
      </c>
      <c r="AY98" s="309" t="e">
        <f t="shared" si="478"/>
        <v>#N/A</v>
      </c>
      <c r="AZ98" s="309" t="e">
        <f t="shared" si="479"/>
        <v>#N/A</v>
      </c>
      <c r="BA98" s="235" t="e">
        <f t="shared" si="480"/>
        <v>#N/A</v>
      </c>
      <c r="BB98" s="235" t="e">
        <f t="shared" si="481"/>
        <v>#N/A</v>
      </c>
      <c r="BC98" s="309" t="e">
        <f t="shared" si="482"/>
        <v>#N/A</v>
      </c>
      <c r="BD98" s="235" t="e">
        <f t="shared" si="483"/>
        <v>#N/A</v>
      </c>
      <c r="BE98" s="235" t="e">
        <f t="shared" si="484"/>
        <v>#N/A</v>
      </c>
      <c r="BF98" s="235" t="e">
        <f t="shared" si="485"/>
        <v>#N/A</v>
      </c>
      <c r="BG98" s="235" t="e">
        <f t="shared" si="486"/>
        <v>#N/A</v>
      </c>
      <c r="BH98" s="235" t="e">
        <f t="shared" si="487"/>
        <v>#N/A</v>
      </c>
      <c r="BI98" s="235" t="e">
        <f t="shared" si="488"/>
        <v>#N/A</v>
      </c>
      <c r="BJ98" s="235" t="e">
        <f t="shared" si="489"/>
        <v>#N/A</v>
      </c>
      <c r="BK98" s="101" t="e">
        <f t="shared" si="443"/>
        <v>#N/A</v>
      </c>
      <c r="BL98" s="101" t="e">
        <f t="shared" si="444"/>
        <v>#N/A</v>
      </c>
      <c r="BM98" s="101" t="e">
        <f t="shared" si="445"/>
        <v>#N/A</v>
      </c>
      <c r="BN98" s="101" t="e">
        <f t="shared" si="446"/>
        <v>#N/A</v>
      </c>
      <c r="BO98" s="101" t="e">
        <f t="shared" si="447"/>
        <v>#N/A</v>
      </c>
      <c r="BP98" s="101" t="e">
        <f t="shared" si="490"/>
        <v>#N/A</v>
      </c>
      <c r="BQ98" s="235" t="e">
        <f t="shared" si="448"/>
        <v>#N/A</v>
      </c>
      <c r="BR98" s="235" t="e">
        <f t="shared" si="449"/>
        <v>#N/A</v>
      </c>
      <c r="BS98" s="235" t="e">
        <f t="shared" si="450"/>
        <v>#N/A</v>
      </c>
      <c r="BT98" s="235" t="e">
        <f t="shared" si="451"/>
        <v>#N/A</v>
      </c>
      <c r="BU98" s="235" t="e">
        <f t="shared" si="452"/>
        <v>#N/A</v>
      </c>
      <c r="BV98" s="235" t="e">
        <f t="shared" si="453"/>
        <v>#N/A</v>
      </c>
      <c r="BW98" s="101" t="e">
        <f t="shared" si="491"/>
        <v>#N/A</v>
      </c>
      <c r="BX98" s="235" t="e">
        <f t="shared" si="492"/>
        <v>#N/A</v>
      </c>
      <c r="BY98" s="235" t="e">
        <f t="shared" si="454"/>
        <v>#N/A</v>
      </c>
      <c r="CA98" s="23"/>
      <c r="CJ98" s="10">
        <v>90</v>
      </c>
      <c r="CK98" s="450">
        <v>0.47233810275490434</v>
      </c>
      <c r="CL98" s="450">
        <v>0.12062702755478408</v>
      </c>
      <c r="CM98" s="450">
        <v>0.47233810275490434</v>
      </c>
      <c r="CN98" s="450">
        <v>0.12062702755478408</v>
      </c>
      <c r="CO98" s="451">
        <v>1.6280362292173313E-2</v>
      </c>
      <c r="CP98" s="451">
        <v>1.6274362705051542E-2</v>
      </c>
      <c r="CQ98" s="451">
        <v>8.1851831847436045E-3</v>
      </c>
      <c r="CR98" s="451">
        <v>8.1841776312871397E-3</v>
      </c>
      <c r="CS98" s="451">
        <v>3.209251576301988</v>
      </c>
      <c r="CT98" s="451">
        <v>3.2292730894605621</v>
      </c>
      <c r="CU98" s="234">
        <v>-2.0021513158574145E-2</v>
      </c>
      <c r="CX98" s="377">
        <v>90</v>
      </c>
      <c r="CY98" s="335">
        <f t="shared" si="496"/>
        <v>0.12809599999999999</v>
      </c>
      <c r="CZ98" s="338">
        <v>0.12809599999999999</v>
      </c>
      <c r="DA98" s="345">
        <f t="shared" si="497"/>
        <v>0.23425263028746202</v>
      </c>
      <c r="DB98" s="387">
        <f t="shared" si="498"/>
        <v>0.4244127834738316</v>
      </c>
      <c r="DC98" s="114">
        <f t="shared" si="522"/>
        <v>8.2160621432345593E-3</v>
      </c>
      <c r="DD98" s="378">
        <f t="shared" si="523"/>
        <v>1.0890266974346585E-2</v>
      </c>
      <c r="DE98" s="378">
        <f t="shared" si="499"/>
        <v>9.0151042421695565E-3</v>
      </c>
      <c r="DF98" s="340">
        <f t="shared" si="524"/>
        <v>2.8459426054401327E-3</v>
      </c>
      <c r="DG98" s="378">
        <f t="shared" si="525"/>
        <v>8.463977137033285E-3</v>
      </c>
      <c r="DH98" s="378">
        <f t="shared" si="500"/>
        <v>4.5245896753232538E-3</v>
      </c>
      <c r="DI98" s="340">
        <f>VLOOKUP($CX98,$EO$8:$EW$18,9,FALSE)</f>
        <v>0.72</v>
      </c>
      <c r="DJ98" s="349">
        <f>VLOOKUP($CX98,$EO$22:$EW$32,9,FALSE)</f>
        <v>0.69</v>
      </c>
      <c r="DK98" s="350">
        <f t="shared" si="502"/>
        <v>0.71103611559998492</v>
      </c>
      <c r="DL98" s="345">
        <f>VLOOKUP($CX98,$EO$36:$EW$46,9,FALSE)</f>
        <v>0.44</v>
      </c>
      <c r="DM98" s="349">
        <f>VLOOKUP($CX98,$EO$50:$EW$60,9,FALSE)</f>
        <v>0.17</v>
      </c>
      <c r="DN98" s="396">
        <f t="shared" si="505"/>
        <v>0.35932504039986474</v>
      </c>
      <c r="DO98" s="335">
        <f t="shared" si="534"/>
        <v>0</v>
      </c>
      <c r="DP98" s="350">
        <f t="shared" si="535"/>
        <v>0</v>
      </c>
      <c r="DQ98" s="349">
        <f t="shared" si="506"/>
        <v>0</v>
      </c>
      <c r="DR98" s="335">
        <f t="shared" si="536"/>
        <v>0</v>
      </c>
      <c r="DS98" s="350">
        <f t="shared" si="537"/>
        <v>5.1428571428580039E-4</v>
      </c>
      <c r="DT98" s="349">
        <f t="shared" si="507"/>
        <v>1.5366658971456914E-4</v>
      </c>
      <c r="DU98" s="335">
        <f>VLOOKUP($CX98,$EY$8:$FF$28,8,FALSE)</f>
        <v>0.46399999999999997</v>
      </c>
      <c r="DV98" s="350">
        <f>VLOOKUP($CX98,$EY$32:$FF$52,8,FALSE)</f>
        <v>0.46500000000000008</v>
      </c>
      <c r="DW98" s="350">
        <f t="shared" si="508"/>
        <v>0.46429879614666725</v>
      </c>
      <c r="DX98" s="335">
        <f>VLOOKUP($CX98,$EY$56:$FF$76,8,FALSE)</f>
        <v>1</v>
      </c>
      <c r="DY98" s="350">
        <f>VLOOKUP($CX98,$EY$80:$FF$100,8,FALSE)</f>
        <v>0.95971428571428574</v>
      </c>
      <c r="DZ98" s="396">
        <f t="shared" si="509"/>
        <v>0.98796278380569413</v>
      </c>
      <c r="EA98" s="350">
        <f t="shared" si="510"/>
        <v>0</v>
      </c>
      <c r="EB98" s="350">
        <f t="shared" si="511"/>
        <v>0</v>
      </c>
      <c r="EC98" s="349">
        <f t="shared" si="512"/>
        <v>0</v>
      </c>
      <c r="ED98" s="335">
        <f t="shared" si="513"/>
        <v>5.1840163673829709E-3</v>
      </c>
      <c r="EE98" s="350">
        <f t="shared" si="514"/>
        <v>3.9342405173087291E-3</v>
      </c>
      <c r="EF98" s="387">
        <f t="shared" si="515"/>
        <v>4.8105881591831035E-3</v>
      </c>
      <c r="EG98" s="335">
        <f t="shared" si="516"/>
        <v>2.8459426054401327E-3</v>
      </c>
      <c r="EH98" s="350">
        <f t="shared" si="517"/>
        <v>8.463977137033285E-3</v>
      </c>
      <c r="EI98" s="387">
        <f t="shared" si="518"/>
        <v>4.5245896753232538E-3</v>
      </c>
      <c r="EJ98" s="335">
        <f t="shared" si="519"/>
        <v>8.8310982878891942E-4</v>
      </c>
      <c r="EK98" s="350">
        <f t="shared" si="520"/>
        <v>0</v>
      </c>
      <c r="EL98" s="387">
        <f t="shared" si="521"/>
        <v>6.1924001486288812E-4</v>
      </c>
      <c r="EO98" s="456">
        <v>60</v>
      </c>
      <c r="EP98" s="452" t="s">
        <v>200</v>
      </c>
      <c r="EQ98" s="458">
        <v>13.8</v>
      </c>
      <c r="ER98" s="458">
        <v>9.1999999999999993</v>
      </c>
      <c r="ES98" s="458">
        <v>20.5</v>
      </c>
      <c r="ET98" s="347">
        <f t="shared" si="611"/>
        <v>0.20439697066101734</v>
      </c>
      <c r="EU98" s="458">
        <f t="shared" ca="1" si="606"/>
        <v>17.178276667436123</v>
      </c>
      <c r="EV98" s="458">
        <f t="shared" si="607"/>
        <v>13.8</v>
      </c>
      <c r="EW98" s="396">
        <f t="shared" si="612"/>
        <v>1.3705216505019768E-2</v>
      </c>
      <c r="EY98" s="363">
        <v>90</v>
      </c>
      <c r="EZ98" s="346">
        <f t="shared" si="616"/>
        <v>2.57142857142857E-3</v>
      </c>
      <c r="FA98" s="347">
        <f t="shared" si="562"/>
        <v>2.0571428571428559E-3</v>
      </c>
      <c r="FB98" s="347">
        <f t="shared" si="563"/>
        <v>3.0857142857142841E-3</v>
      </c>
      <c r="FC98" s="33">
        <f t="shared" si="564"/>
        <v>95.786948164594151</v>
      </c>
      <c r="FD98" s="33">
        <f t="shared" si="565"/>
        <v>37154.692893622043</v>
      </c>
      <c r="FE98" s="308">
        <f t="shared" ca="1" si="569"/>
        <v>2.4669392263743785E-3</v>
      </c>
      <c r="FF98" s="364">
        <f t="shared" si="570"/>
        <v>0.95971428571428574</v>
      </c>
    </row>
    <row r="99" spans="2:162" ht="15" customHeight="1" x14ac:dyDescent="0.2">
      <c r="Q99" s="10">
        <v>93</v>
      </c>
      <c r="R99" s="10">
        <f t="shared" si="431"/>
        <v>138</v>
      </c>
      <c r="S99" s="309" t="e">
        <f t="shared" si="459"/>
        <v>#N/A</v>
      </c>
      <c r="T99" s="309" t="e">
        <f t="shared" si="460"/>
        <v>#N/A</v>
      </c>
      <c r="U99" s="309" t="e">
        <f t="shared" si="461"/>
        <v>#N/A</v>
      </c>
      <c r="V99" s="235" t="e">
        <f t="shared" si="462"/>
        <v>#N/A</v>
      </c>
      <c r="W99" s="235" t="e">
        <f t="shared" si="463"/>
        <v>#N/A</v>
      </c>
      <c r="X99" s="309" t="e">
        <f t="shared" si="464"/>
        <v>#N/A</v>
      </c>
      <c r="Y99" s="235" t="e">
        <f t="shared" si="465"/>
        <v>#N/A</v>
      </c>
      <c r="Z99" s="235" t="e">
        <f t="shared" si="466"/>
        <v>#N/A</v>
      </c>
      <c r="AA99" s="235" t="e">
        <f t="shared" si="467"/>
        <v>#N/A</v>
      </c>
      <c r="AB99" s="235" t="e">
        <f t="shared" si="468"/>
        <v>#N/A</v>
      </c>
      <c r="AC99" s="235" t="e">
        <f t="shared" si="469"/>
        <v>#N/A</v>
      </c>
      <c r="AD99" s="235" t="e">
        <f t="shared" si="470"/>
        <v>#N/A</v>
      </c>
      <c r="AE99" s="235" t="e">
        <f t="shared" si="471"/>
        <v>#N/A</v>
      </c>
      <c r="AF99" s="101" t="e">
        <f t="shared" si="432"/>
        <v>#N/A</v>
      </c>
      <c r="AG99" s="101" t="e">
        <f t="shared" si="433"/>
        <v>#N/A</v>
      </c>
      <c r="AH99" s="101" t="e">
        <f t="shared" si="434"/>
        <v>#N/A</v>
      </c>
      <c r="AI99" s="101" t="e">
        <f t="shared" si="435"/>
        <v>#N/A</v>
      </c>
      <c r="AJ99" s="101" t="e">
        <f t="shared" si="436"/>
        <v>#N/A</v>
      </c>
      <c r="AK99" s="101" t="e">
        <f t="shared" si="472"/>
        <v>#N/A</v>
      </c>
      <c r="AL99" s="235" t="e">
        <f t="shared" si="473"/>
        <v>#N/A</v>
      </c>
      <c r="AM99" s="235" t="e">
        <f t="shared" si="437"/>
        <v>#N/A</v>
      </c>
      <c r="AN99" s="235" t="e">
        <f t="shared" si="438"/>
        <v>#N/A</v>
      </c>
      <c r="AO99" s="235" t="e">
        <f t="shared" si="439"/>
        <v>#N/A</v>
      </c>
      <c r="AP99" s="235" t="e">
        <f t="shared" si="440"/>
        <v>#N/A</v>
      </c>
      <c r="AQ99" s="235" t="e">
        <f t="shared" si="441"/>
        <v>#N/A</v>
      </c>
      <c r="AR99" s="101" t="e">
        <f t="shared" si="474"/>
        <v>#N/A</v>
      </c>
      <c r="AS99" s="235" t="e">
        <f t="shared" si="475"/>
        <v>#N/A</v>
      </c>
      <c r="AT99" s="235" t="e">
        <f t="shared" si="442"/>
        <v>#N/A</v>
      </c>
      <c r="AV99" s="10">
        <v>93</v>
      </c>
      <c r="AW99" s="10">
        <f t="shared" si="476"/>
        <v>138</v>
      </c>
      <c r="AX99" s="309" t="e">
        <f t="shared" si="477"/>
        <v>#N/A</v>
      </c>
      <c r="AY99" s="309" t="e">
        <f t="shared" si="478"/>
        <v>#N/A</v>
      </c>
      <c r="AZ99" s="309" t="e">
        <f t="shared" si="479"/>
        <v>#N/A</v>
      </c>
      <c r="BA99" s="235" t="e">
        <f t="shared" si="480"/>
        <v>#N/A</v>
      </c>
      <c r="BB99" s="235" t="e">
        <f t="shared" si="481"/>
        <v>#N/A</v>
      </c>
      <c r="BC99" s="309" t="e">
        <f t="shared" si="482"/>
        <v>#N/A</v>
      </c>
      <c r="BD99" s="235" t="e">
        <f t="shared" si="483"/>
        <v>#N/A</v>
      </c>
      <c r="BE99" s="235" t="e">
        <f t="shared" si="484"/>
        <v>#N/A</v>
      </c>
      <c r="BF99" s="235" t="e">
        <f t="shared" si="485"/>
        <v>#N/A</v>
      </c>
      <c r="BG99" s="235" t="e">
        <f t="shared" si="486"/>
        <v>#N/A</v>
      </c>
      <c r="BH99" s="235" t="e">
        <f t="shared" si="487"/>
        <v>#N/A</v>
      </c>
      <c r="BI99" s="235" t="e">
        <f t="shared" si="488"/>
        <v>#N/A</v>
      </c>
      <c r="BJ99" s="235" t="e">
        <f t="shared" si="489"/>
        <v>#N/A</v>
      </c>
      <c r="BK99" s="101" t="e">
        <f t="shared" si="443"/>
        <v>#N/A</v>
      </c>
      <c r="BL99" s="101" t="e">
        <f t="shared" si="444"/>
        <v>#N/A</v>
      </c>
      <c r="BM99" s="101" t="e">
        <f t="shared" si="445"/>
        <v>#N/A</v>
      </c>
      <c r="BN99" s="101" t="e">
        <f t="shared" si="446"/>
        <v>#N/A</v>
      </c>
      <c r="BO99" s="101" t="e">
        <f t="shared" si="447"/>
        <v>#N/A</v>
      </c>
      <c r="BP99" s="101" t="e">
        <f t="shared" si="490"/>
        <v>#N/A</v>
      </c>
      <c r="BQ99" s="235" t="e">
        <f t="shared" si="448"/>
        <v>#N/A</v>
      </c>
      <c r="BR99" s="235" t="e">
        <f t="shared" si="449"/>
        <v>#N/A</v>
      </c>
      <c r="BS99" s="235" t="e">
        <f t="shared" si="450"/>
        <v>#N/A</v>
      </c>
      <c r="BT99" s="235" t="e">
        <f t="shared" si="451"/>
        <v>#N/A</v>
      </c>
      <c r="BU99" s="235" t="e">
        <f t="shared" si="452"/>
        <v>#N/A</v>
      </c>
      <c r="BV99" s="235" t="e">
        <f t="shared" si="453"/>
        <v>#N/A</v>
      </c>
      <c r="BW99" s="101" t="e">
        <f t="shared" si="491"/>
        <v>#N/A</v>
      </c>
      <c r="BX99" s="235" t="e">
        <f t="shared" si="492"/>
        <v>#N/A</v>
      </c>
      <c r="BY99" s="235" t="e">
        <f t="shared" si="454"/>
        <v>#N/A</v>
      </c>
      <c r="CA99" s="23"/>
      <c r="CJ99" s="10">
        <v>91</v>
      </c>
      <c r="CK99" s="450">
        <v>0.47233810275490434</v>
      </c>
      <c r="CL99" s="450">
        <v>0.12062702755478408</v>
      </c>
      <c r="CM99" s="450">
        <v>0.47233810275490434</v>
      </c>
      <c r="CN99" s="450">
        <v>0.12062702755478408</v>
      </c>
      <c r="CO99" s="451">
        <v>1.5012561697945929E-2</v>
      </c>
      <c r="CP99" s="451">
        <v>1.5007426361454038E-2</v>
      </c>
      <c r="CQ99" s="451">
        <v>7.5478091393410699E-3</v>
      </c>
      <c r="CR99" s="451">
        <v>7.5468516521335393E-3</v>
      </c>
      <c r="CS99" s="451">
        <v>3.0387491235819657</v>
      </c>
      <c r="CT99" s="451">
        <v>3.0587645653804443</v>
      </c>
      <c r="CU99" s="234">
        <v>-2.0015441798478584E-2</v>
      </c>
      <c r="CX99" s="377">
        <v>91</v>
      </c>
      <c r="CY99" s="335">
        <f t="shared" si="496"/>
        <v>0.14240800000000001</v>
      </c>
      <c r="CZ99" s="338">
        <v>0.14240800000000001</v>
      </c>
      <c r="DA99" s="345">
        <f t="shared" si="497"/>
        <v>0.23425263028746202</v>
      </c>
      <c r="DB99" s="387">
        <f t="shared" si="498"/>
        <v>0.4244127834738316</v>
      </c>
      <c r="DC99" s="114">
        <f t="shared" si="522"/>
        <v>8.2160621432345593E-3</v>
      </c>
      <c r="DD99" s="378">
        <f t="shared" si="523"/>
        <v>1.0890266974346585E-2</v>
      </c>
      <c r="DE99" s="378">
        <f t="shared" si="499"/>
        <v>9.0151042421695565E-3</v>
      </c>
      <c r="DF99" s="340">
        <f t="shared" si="524"/>
        <v>2.8459426054401327E-3</v>
      </c>
      <c r="DG99" s="378">
        <f t="shared" si="525"/>
        <v>8.463977137033285E-3</v>
      </c>
      <c r="DH99" s="378">
        <f t="shared" si="500"/>
        <v>4.5245896753232538E-3</v>
      </c>
      <c r="DI99" s="340">
        <f>DI98+(DI108-DI98)/10</f>
        <v>0.72</v>
      </c>
      <c r="DJ99" s="349">
        <f t="shared" ref="DJ99" si="626">DJ98+(DJ108-DJ98)/10</f>
        <v>0.69</v>
      </c>
      <c r="DK99" s="350">
        <f t="shared" si="502"/>
        <v>0.71103611559998492</v>
      </c>
      <c r="DL99" s="345">
        <f t="shared" ref="DL99" si="627">DL98+(DL108-DL98)/10</f>
        <v>0.44</v>
      </c>
      <c r="DM99" s="349">
        <f t="shared" ref="DM99" si="628">DM98+(DM108-DM98)/10</f>
        <v>0.17</v>
      </c>
      <c r="DN99" s="396">
        <f t="shared" si="505"/>
        <v>0.35932504039986474</v>
      </c>
      <c r="DO99" s="335">
        <f t="shared" si="534"/>
        <v>0</v>
      </c>
      <c r="DP99" s="350">
        <f t="shared" si="535"/>
        <v>0</v>
      </c>
      <c r="DQ99" s="349">
        <f t="shared" si="506"/>
        <v>0</v>
      </c>
      <c r="DR99" s="335">
        <f t="shared" si="536"/>
        <v>0</v>
      </c>
      <c r="DS99" s="350">
        <f t="shared" si="537"/>
        <v>2.5714285714284468E-4</v>
      </c>
      <c r="DT99" s="349">
        <f t="shared" si="507"/>
        <v>7.6833294857267984E-5</v>
      </c>
      <c r="DU99" s="335">
        <f>DU98+(DU103-DU98)/5</f>
        <v>0.46399999999999997</v>
      </c>
      <c r="DV99" s="350">
        <f>DV98+(DV103-DV98)/5</f>
        <v>0.46500000000000008</v>
      </c>
      <c r="DW99" s="350">
        <f t="shared" si="508"/>
        <v>0.46429879614666725</v>
      </c>
      <c r="DX99" s="335">
        <f>DX98+(DX103-DX98)/5</f>
        <v>1</v>
      </c>
      <c r="DY99" s="350">
        <f>DY98+(DY103-DY98)/5</f>
        <v>0.95997142857142859</v>
      </c>
      <c r="DZ99" s="396">
        <f t="shared" si="509"/>
        <v>0.98803961710055144</v>
      </c>
      <c r="EA99" s="350">
        <f t="shared" si="510"/>
        <v>0</v>
      </c>
      <c r="EB99" s="350">
        <f t="shared" si="511"/>
        <v>0</v>
      </c>
      <c r="EC99" s="349">
        <f t="shared" si="512"/>
        <v>0</v>
      </c>
      <c r="ED99" s="335">
        <f t="shared" si="513"/>
        <v>5.1840163673829709E-3</v>
      </c>
      <c r="EE99" s="350">
        <f t="shared" si="514"/>
        <v>3.9342405173087291E-3</v>
      </c>
      <c r="EF99" s="387">
        <f t="shared" si="515"/>
        <v>4.8105881591831035E-3</v>
      </c>
      <c r="EG99" s="335">
        <f t="shared" si="516"/>
        <v>2.8459426054401327E-3</v>
      </c>
      <c r="EH99" s="350">
        <f t="shared" si="517"/>
        <v>8.463977137033285E-3</v>
      </c>
      <c r="EI99" s="387">
        <f t="shared" si="518"/>
        <v>4.5245896753232538E-3</v>
      </c>
      <c r="EJ99" s="335">
        <f t="shared" si="519"/>
        <v>8.8310982878891942E-4</v>
      </c>
      <c r="EK99" s="350">
        <f t="shared" si="520"/>
        <v>0</v>
      </c>
      <c r="EL99" s="387">
        <f t="shared" si="521"/>
        <v>6.1924001486288812E-4</v>
      </c>
      <c r="EO99" s="456">
        <v>70</v>
      </c>
      <c r="EP99" s="452" t="s">
        <v>201</v>
      </c>
      <c r="EQ99" s="458">
        <v>29.4</v>
      </c>
      <c r="ER99" s="458">
        <v>19.7</v>
      </c>
      <c r="ES99" s="458">
        <v>43.8</v>
      </c>
      <c r="ET99" s="347">
        <f t="shared" si="611"/>
        <v>0.20383414897951899</v>
      </c>
      <c r="EU99" s="458">
        <f t="shared" ca="1" si="606"/>
        <v>29.717155477883445</v>
      </c>
      <c r="EV99" s="458">
        <f t="shared" si="607"/>
        <v>29.4</v>
      </c>
      <c r="EW99" s="396">
        <f t="shared" si="612"/>
        <v>2.8972024416225373E-2</v>
      </c>
      <c r="EY99" s="363">
        <v>95</v>
      </c>
      <c r="EZ99" s="346">
        <f t="shared" si="616"/>
        <v>1.2857142857142843E-3</v>
      </c>
      <c r="FA99" s="347">
        <f t="shared" si="562"/>
        <v>1.0285714285714275E-3</v>
      </c>
      <c r="FB99" s="347">
        <f t="shared" si="563"/>
        <v>1.5428571428571412E-3</v>
      </c>
      <c r="FC99" s="33">
        <f t="shared" si="564"/>
        <v>95.911709340973658</v>
      </c>
      <c r="FD99" s="33">
        <f t="shared" si="565"/>
        <v>74502.084444749737</v>
      </c>
      <c r="FE99" s="308">
        <f t="shared" ca="1" si="569"/>
        <v>1.1760969820709434E-3</v>
      </c>
      <c r="FF99" s="364">
        <f t="shared" si="570"/>
        <v>0.96100000000000008</v>
      </c>
    </row>
    <row r="100" spans="2:162" ht="15" customHeight="1" x14ac:dyDescent="0.2">
      <c r="B100" s="15" t="s">
        <v>322</v>
      </c>
      <c r="D100" s="255"/>
      <c r="Q100" s="10">
        <v>94</v>
      </c>
      <c r="R100" s="10">
        <f t="shared" si="431"/>
        <v>139</v>
      </c>
      <c r="S100" s="309" t="e">
        <f t="shared" si="459"/>
        <v>#N/A</v>
      </c>
      <c r="T100" s="309" t="e">
        <f t="shared" si="460"/>
        <v>#N/A</v>
      </c>
      <c r="U100" s="309" t="e">
        <f t="shared" si="461"/>
        <v>#N/A</v>
      </c>
      <c r="V100" s="235" t="e">
        <f t="shared" si="462"/>
        <v>#N/A</v>
      </c>
      <c r="W100" s="235" t="e">
        <f t="shared" si="463"/>
        <v>#N/A</v>
      </c>
      <c r="X100" s="309" t="e">
        <f t="shared" si="464"/>
        <v>#N/A</v>
      </c>
      <c r="Y100" s="235" t="e">
        <f t="shared" si="465"/>
        <v>#N/A</v>
      </c>
      <c r="Z100" s="235" t="e">
        <f t="shared" si="466"/>
        <v>#N/A</v>
      </c>
      <c r="AA100" s="235" t="e">
        <f t="shared" si="467"/>
        <v>#N/A</v>
      </c>
      <c r="AB100" s="235" t="e">
        <f t="shared" si="468"/>
        <v>#N/A</v>
      </c>
      <c r="AC100" s="235" t="e">
        <f t="shared" si="469"/>
        <v>#N/A</v>
      </c>
      <c r="AD100" s="235" t="e">
        <f t="shared" si="470"/>
        <v>#N/A</v>
      </c>
      <c r="AE100" s="235" t="e">
        <f t="shared" si="471"/>
        <v>#N/A</v>
      </c>
      <c r="AF100" s="101" t="e">
        <f t="shared" si="432"/>
        <v>#N/A</v>
      </c>
      <c r="AG100" s="101" t="e">
        <f t="shared" si="433"/>
        <v>#N/A</v>
      </c>
      <c r="AH100" s="101" t="e">
        <f t="shared" si="434"/>
        <v>#N/A</v>
      </c>
      <c r="AI100" s="101" t="e">
        <f t="shared" si="435"/>
        <v>#N/A</v>
      </c>
      <c r="AJ100" s="101" t="e">
        <f t="shared" si="436"/>
        <v>#N/A</v>
      </c>
      <c r="AK100" s="101" t="e">
        <f t="shared" si="472"/>
        <v>#N/A</v>
      </c>
      <c r="AL100" s="235" t="e">
        <f t="shared" si="473"/>
        <v>#N/A</v>
      </c>
      <c r="AM100" s="235" t="e">
        <f t="shared" si="437"/>
        <v>#N/A</v>
      </c>
      <c r="AN100" s="235" t="e">
        <f t="shared" si="438"/>
        <v>#N/A</v>
      </c>
      <c r="AO100" s="235" t="e">
        <f t="shared" si="439"/>
        <v>#N/A</v>
      </c>
      <c r="AP100" s="235" t="e">
        <f t="shared" si="440"/>
        <v>#N/A</v>
      </c>
      <c r="AQ100" s="235" t="e">
        <f t="shared" si="441"/>
        <v>#N/A</v>
      </c>
      <c r="AR100" s="101" t="e">
        <f t="shared" si="474"/>
        <v>#N/A</v>
      </c>
      <c r="AS100" s="235" t="e">
        <f t="shared" si="475"/>
        <v>#N/A</v>
      </c>
      <c r="AT100" s="235" t="e">
        <f t="shared" si="442"/>
        <v>#N/A</v>
      </c>
      <c r="AV100" s="10">
        <v>94</v>
      </c>
      <c r="AW100" s="10">
        <f t="shared" si="476"/>
        <v>139</v>
      </c>
      <c r="AX100" s="309" t="e">
        <f t="shared" si="477"/>
        <v>#N/A</v>
      </c>
      <c r="AY100" s="309" t="e">
        <f t="shared" si="478"/>
        <v>#N/A</v>
      </c>
      <c r="AZ100" s="309" t="e">
        <f t="shared" si="479"/>
        <v>#N/A</v>
      </c>
      <c r="BA100" s="235" t="e">
        <f t="shared" si="480"/>
        <v>#N/A</v>
      </c>
      <c r="BB100" s="235" t="e">
        <f t="shared" si="481"/>
        <v>#N/A</v>
      </c>
      <c r="BC100" s="309" t="e">
        <f t="shared" si="482"/>
        <v>#N/A</v>
      </c>
      <c r="BD100" s="235" t="e">
        <f t="shared" si="483"/>
        <v>#N/A</v>
      </c>
      <c r="BE100" s="235" t="e">
        <f t="shared" si="484"/>
        <v>#N/A</v>
      </c>
      <c r="BF100" s="235" t="e">
        <f t="shared" si="485"/>
        <v>#N/A</v>
      </c>
      <c r="BG100" s="235" t="e">
        <f t="shared" si="486"/>
        <v>#N/A</v>
      </c>
      <c r="BH100" s="235" t="e">
        <f t="shared" si="487"/>
        <v>#N/A</v>
      </c>
      <c r="BI100" s="235" t="e">
        <f t="shared" si="488"/>
        <v>#N/A</v>
      </c>
      <c r="BJ100" s="235" t="e">
        <f t="shared" si="489"/>
        <v>#N/A</v>
      </c>
      <c r="BK100" s="101" t="e">
        <f t="shared" si="443"/>
        <v>#N/A</v>
      </c>
      <c r="BL100" s="101" t="e">
        <f t="shared" si="444"/>
        <v>#N/A</v>
      </c>
      <c r="BM100" s="101" t="e">
        <f t="shared" si="445"/>
        <v>#N/A</v>
      </c>
      <c r="BN100" s="101" t="e">
        <f t="shared" si="446"/>
        <v>#N/A</v>
      </c>
      <c r="BO100" s="101" t="e">
        <f t="shared" si="447"/>
        <v>#N/A</v>
      </c>
      <c r="BP100" s="101" t="e">
        <f t="shared" si="490"/>
        <v>#N/A</v>
      </c>
      <c r="BQ100" s="235" t="e">
        <f t="shared" si="448"/>
        <v>#N/A</v>
      </c>
      <c r="BR100" s="235" t="e">
        <f t="shared" si="449"/>
        <v>#N/A</v>
      </c>
      <c r="BS100" s="235" t="e">
        <f t="shared" si="450"/>
        <v>#N/A</v>
      </c>
      <c r="BT100" s="235" t="e">
        <f t="shared" si="451"/>
        <v>#N/A</v>
      </c>
      <c r="BU100" s="235" t="e">
        <f t="shared" si="452"/>
        <v>#N/A</v>
      </c>
      <c r="BV100" s="235" t="e">
        <f t="shared" si="453"/>
        <v>#N/A</v>
      </c>
      <c r="BW100" s="101" t="e">
        <f t="shared" si="491"/>
        <v>#N/A</v>
      </c>
      <c r="BX100" s="235" t="e">
        <f t="shared" si="492"/>
        <v>#N/A</v>
      </c>
      <c r="BY100" s="235" t="e">
        <f t="shared" si="454"/>
        <v>#N/A</v>
      </c>
      <c r="CA100" s="23"/>
      <c r="CJ100" s="10">
        <v>92</v>
      </c>
      <c r="CK100" s="450">
        <v>0.47233810275490434</v>
      </c>
      <c r="CL100" s="450">
        <v>0.12062702755478408</v>
      </c>
      <c r="CM100" s="450">
        <v>0.47233810275490434</v>
      </c>
      <c r="CN100" s="450">
        <v>0.12062702755478408</v>
      </c>
      <c r="CO100" s="451">
        <v>1.3762326700546111E-2</v>
      </c>
      <c r="CP100" s="451">
        <v>1.3757973640785633E-2</v>
      </c>
      <c r="CQ100" s="451">
        <v>6.9192687017111155E-3</v>
      </c>
      <c r="CR100" s="451">
        <v>6.9183410109039476E-3</v>
      </c>
      <c r="CS100" s="451">
        <v>2.8478485603703012</v>
      </c>
      <c r="CT100" s="451">
        <v>2.8678580888391729</v>
      </c>
      <c r="CU100" s="234">
        <v>-2.0009528468871718E-2</v>
      </c>
      <c r="CX100" s="377">
        <v>92</v>
      </c>
      <c r="CY100" s="335">
        <f t="shared" si="496"/>
        <v>0.15784999999999999</v>
      </c>
      <c r="CZ100" s="338">
        <v>0.15784999999999999</v>
      </c>
      <c r="DA100" s="345">
        <f t="shared" si="497"/>
        <v>0.23425263028746202</v>
      </c>
      <c r="DB100" s="387">
        <f t="shared" si="498"/>
        <v>0.4244127834738316</v>
      </c>
      <c r="DC100" s="114">
        <f t="shared" si="522"/>
        <v>8.2160621432345593E-3</v>
      </c>
      <c r="DD100" s="378">
        <f t="shared" si="523"/>
        <v>1.0890266974346585E-2</v>
      </c>
      <c r="DE100" s="378">
        <f t="shared" si="499"/>
        <v>9.0151042421695565E-3</v>
      </c>
      <c r="DF100" s="340">
        <f t="shared" si="524"/>
        <v>2.8459426054401327E-3</v>
      </c>
      <c r="DG100" s="378">
        <f t="shared" si="525"/>
        <v>8.463977137033285E-3</v>
      </c>
      <c r="DH100" s="378">
        <f t="shared" si="500"/>
        <v>4.5245896753232538E-3</v>
      </c>
      <c r="DI100" s="340">
        <f>DI99+(DI108-DI98)/10</f>
        <v>0.72</v>
      </c>
      <c r="DJ100" s="349">
        <f t="shared" ref="DJ100" si="629">DJ99+(DJ108-DJ98)/10</f>
        <v>0.69</v>
      </c>
      <c r="DK100" s="350">
        <f t="shared" si="502"/>
        <v>0.71103611559998492</v>
      </c>
      <c r="DL100" s="345">
        <f t="shared" ref="DL100" si="630">DL99+(DL108-DL98)/10</f>
        <v>0.44</v>
      </c>
      <c r="DM100" s="349">
        <f t="shared" ref="DM100" si="631">DM99+(DM108-DM98)/10</f>
        <v>0.17</v>
      </c>
      <c r="DN100" s="396">
        <f t="shared" si="505"/>
        <v>0.35932504039986474</v>
      </c>
      <c r="DO100" s="335">
        <f t="shared" si="534"/>
        <v>0</v>
      </c>
      <c r="DP100" s="350">
        <f t="shared" si="535"/>
        <v>0</v>
      </c>
      <c r="DQ100" s="349">
        <f t="shared" si="506"/>
        <v>0</v>
      </c>
      <c r="DR100" s="335">
        <f t="shared" si="536"/>
        <v>0</v>
      </c>
      <c r="DS100" s="350">
        <f t="shared" si="537"/>
        <v>2.5714285714284468E-4</v>
      </c>
      <c r="DT100" s="349">
        <f t="shared" si="507"/>
        <v>7.6833294857267984E-5</v>
      </c>
      <c r="DU100" s="335">
        <f>DU99+(DU103-DU98)/5</f>
        <v>0.46399999999999997</v>
      </c>
      <c r="DV100" s="350">
        <f>DV99+(DV103-DV98)/5</f>
        <v>0.46500000000000008</v>
      </c>
      <c r="DW100" s="350">
        <f t="shared" si="508"/>
        <v>0.46429879614666725</v>
      </c>
      <c r="DX100" s="335">
        <f>DX99+(DX103-DX98)/5</f>
        <v>1</v>
      </c>
      <c r="DY100" s="350">
        <f>DY99+(DY103-DY98)/5</f>
        <v>0.96022857142857143</v>
      </c>
      <c r="DZ100" s="396">
        <f t="shared" si="509"/>
        <v>0.98811645039540874</v>
      </c>
      <c r="EA100" s="350">
        <f t="shared" si="510"/>
        <v>0</v>
      </c>
      <c r="EB100" s="350">
        <f t="shared" si="511"/>
        <v>0</v>
      </c>
      <c r="EC100" s="349">
        <f t="shared" si="512"/>
        <v>0</v>
      </c>
      <c r="ED100" s="335">
        <f t="shared" si="513"/>
        <v>5.1840163673829709E-3</v>
      </c>
      <c r="EE100" s="350">
        <f t="shared" si="514"/>
        <v>3.9342405173087291E-3</v>
      </c>
      <c r="EF100" s="387">
        <f t="shared" si="515"/>
        <v>4.8105881591831035E-3</v>
      </c>
      <c r="EG100" s="335">
        <f t="shared" si="516"/>
        <v>2.8459426054401327E-3</v>
      </c>
      <c r="EH100" s="350">
        <f t="shared" si="517"/>
        <v>8.463977137033285E-3</v>
      </c>
      <c r="EI100" s="387">
        <f t="shared" si="518"/>
        <v>4.5245896753232538E-3</v>
      </c>
      <c r="EJ100" s="335">
        <f t="shared" si="519"/>
        <v>8.8310982878891942E-4</v>
      </c>
      <c r="EK100" s="350">
        <f t="shared" si="520"/>
        <v>0</v>
      </c>
      <c r="EL100" s="387">
        <f t="shared" si="521"/>
        <v>6.1924001486288812E-4</v>
      </c>
      <c r="EO100" s="456">
        <v>80</v>
      </c>
      <c r="EP100" s="452" t="s">
        <v>202</v>
      </c>
      <c r="EQ100" s="458">
        <v>5.7</v>
      </c>
      <c r="ER100" s="458">
        <v>1.4</v>
      </c>
      <c r="ES100" s="458">
        <v>22.8</v>
      </c>
      <c r="ET100" s="347">
        <f t="shared" si="611"/>
        <v>0.71182131951112904</v>
      </c>
      <c r="EU100" s="458">
        <f t="shared" ca="1" si="606"/>
        <v>4.2462572974314856</v>
      </c>
      <c r="EV100" s="458">
        <f t="shared" si="607"/>
        <v>5.7</v>
      </c>
      <c r="EW100" s="396">
        <f t="shared" si="612"/>
        <v>5.6837858215668113E-3</v>
      </c>
      <c r="EY100" s="365">
        <v>100</v>
      </c>
      <c r="EZ100" s="366">
        <f t="shared" si="616"/>
        <v>0</v>
      </c>
      <c r="FA100" s="355">
        <f t="shared" si="562"/>
        <v>0</v>
      </c>
      <c r="FB100" s="355">
        <f t="shared" si="563"/>
        <v>0</v>
      </c>
      <c r="FC100" s="367" t="e">
        <f t="shared" si="564"/>
        <v>#DIV/0!</v>
      </c>
      <c r="FD100" s="367" t="e">
        <f t="shared" si="565"/>
        <v>#DIV/0!</v>
      </c>
      <c r="FE100" s="354">
        <f t="shared" ca="1" si="569"/>
        <v>0</v>
      </c>
      <c r="FF100" s="368">
        <f t="shared" si="570"/>
        <v>0.96100000000000008</v>
      </c>
    </row>
    <row r="101" spans="2:162" ht="15" customHeight="1" x14ac:dyDescent="0.2">
      <c r="B101" s="15" t="s">
        <v>323</v>
      </c>
      <c r="D101" s="255"/>
      <c r="Q101" s="10">
        <v>95</v>
      </c>
      <c r="R101" s="10">
        <f t="shared" si="431"/>
        <v>140</v>
      </c>
      <c r="S101" s="309" t="e">
        <f t="shared" si="459"/>
        <v>#N/A</v>
      </c>
      <c r="T101" s="309" t="e">
        <f t="shared" si="460"/>
        <v>#N/A</v>
      </c>
      <c r="U101" s="309" t="e">
        <f t="shared" si="461"/>
        <v>#N/A</v>
      </c>
      <c r="V101" s="235" t="e">
        <f t="shared" si="462"/>
        <v>#N/A</v>
      </c>
      <c r="W101" s="235" t="e">
        <f t="shared" si="463"/>
        <v>#N/A</v>
      </c>
      <c r="X101" s="309" t="e">
        <f t="shared" si="464"/>
        <v>#N/A</v>
      </c>
      <c r="Y101" s="235" t="e">
        <f t="shared" si="465"/>
        <v>#N/A</v>
      </c>
      <c r="Z101" s="235" t="e">
        <f t="shared" si="466"/>
        <v>#N/A</v>
      </c>
      <c r="AA101" s="235" t="e">
        <f t="shared" si="467"/>
        <v>#N/A</v>
      </c>
      <c r="AB101" s="235" t="e">
        <f t="shared" si="468"/>
        <v>#N/A</v>
      </c>
      <c r="AC101" s="235" t="e">
        <f t="shared" si="469"/>
        <v>#N/A</v>
      </c>
      <c r="AD101" s="235" t="e">
        <f t="shared" si="470"/>
        <v>#N/A</v>
      </c>
      <c r="AE101" s="235" t="e">
        <f t="shared" si="471"/>
        <v>#N/A</v>
      </c>
      <c r="AF101" s="101" t="e">
        <f t="shared" si="432"/>
        <v>#N/A</v>
      </c>
      <c r="AG101" s="101" t="e">
        <f t="shared" si="433"/>
        <v>#N/A</v>
      </c>
      <c r="AH101" s="101" t="e">
        <f t="shared" si="434"/>
        <v>#N/A</v>
      </c>
      <c r="AI101" s="101" t="e">
        <f t="shared" si="435"/>
        <v>#N/A</v>
      </c>
      <c r="AJ101" s="101" t="e">
        <f t="shared" si="436"/>
        <v>#N/A</v>
      </c>
      <c r="AK101" s="101" t="e">
        <f t="shared" si="472"/>
        <v>#N/A</v>
      </c>
      <c r="AL101" s="235" t="e">
        <f t="shared" si="473"/>
        <v>#N/A</v>
      </c>
      <c r="AM101" s="235" t="e">
        <f t="shared" si="437"/>
        <v>#N/A</v>
      </c>
      <c r="AN101" s="235" t="e">
        <f t="shared" si="438"/>
        <v>#N/A</v>
      </c>
      <c r="AO101" s="235" t="e">
        <f t="shared" si="439"/>
        <v>#N/A</v>
      </c>
      <c r="AP101" s="235" t="e">
        <f t="shared" si="440"/>
        <v>#N/A</v>
      </c>
      <c r="AQ101" s="235" t="e">
        <f t="shared" si="441"/>
        <v>#N/A</v>
      </c>
      <c r="AR101" s="101" t="e">
        <f t="shared" si="474"/>
        <v>#N/A</v>
      </c>
      <c r="AS101" s="235" t="e">
        <f t="shared" si="475"/>
        <v>#N/A</v>
      </c>
      <c r="AT101" s="235" t="e">
        <f t="shared" si="442"/>
        <v>#N/A</v>
      </c>
      <c r="AV101" s="10">
        <v>95</v>
      </c>
      <c r="AW101" s="10">
        <f t="shared" si="476"/>
        <v>140</v>
      </c>
      <c r="AX101" s="309" t="e">
        <f t="shared" si="477"/>
        <v>#N/A</v>
      </c>
      <c r="AY101" s="309" t="e">
        <f t="shared" si="478"/>
        <v>#N/A</v>
      </c>
      <c r="AZ101" s="309" t="e">
        <f t="shared" si="479"/>
        <v>#N/A</v>
      </c>
      <c r="BA101" s="235" t="e">
        <f t="shared" si="480"/>
        <v>#N/A</v>
      </c>
      <c r="BB101" s="235" t="e">
        <f t="shared" si="481"/>
        <v>#N/A</v>
      </c>
      <c r="BC101" s="309" t="e">
        <f t="shared" si="482"/>
        <v>#N/A</v>
      </c>
      <c r="BD101" s="235" t="e">
        <f t="shared" si="483"/>
        <v>#N/A</v>
      </c>
      <c r="BE101" s="235" t="e">
        <f t="shared" si="484"/>
        <v>#N/A</v>
      </c>
      <c r="BF101" s="235" t="e">
        <f t="shared" si="485"/>
        <v>#N/A</v>
      </c>
      <c r="BG101" s="235" t="e">
        <f t="shared" si="486"/>
        <v>#N/A</v>
      </c>
      <c r="BH101" s="235" t="e">
        <f t="shared" si="487"/>
        <v>#N/A</v>
      </c>
      <c r="BI101" s="235" t="e">
        <f t="shared" si="488"/>
        <v>#N/A</v>
      </c>
      <c r="BJ101" s="235" t="e">
        <f t="shared" si="489"/>
        <v>#N/A</v>
      </c>
      <c r="BK101" s="101" t="e">
        <f t="shared" si="443"/>
        <v>#N/A</v>
      </c>
      <c r="BL101" s="101" t="e">
        <f t="shared" si="444"/>
        <v>#N/A</v>
      </c>
      <c r="BM101" s="101" t="e">
        <f t="shared" si="445"/>
        <v>#N/A</v>
      </c>
      <c r="BN101" s="101" t="e">
        <f t="shared" si="446"/>
        <v>#N/A</v>
      </c>
      <c r="BO101" s="101" t="e">
        <f t="shared" si="447"/>
        <v>#N/A</v>
      </c>
      <c r="BP101" s="101" t="e">
        <f t="shared" si="490"/>
        <v>#N/A</v>
      </c>
      <c r="BQ101" s="235" t="e">
        <f t="shared" si="448"/>
        <v>#N/A</v>
      </c>
      <c r="BR101" s="235" t="e">
        <f t="shared" si="449"/>
        <v>#N/A</v>
      </c>
      <c r="BS101" s="235" t="e">
        <f t="shared" si="450"/>
        <v>#N/A</v>
      </c>
      <c r="BT101" s="235" t="e">
        <f t="shared" si="451"/>
        <v>#N/A</v>
      </c>
      <c r="BU101" s="235" t="e">
        <f t="shared" si="452"/>
        <v>#N/A</v>
      </c>
      <c r="BV101" s="235" t="e">
        <f t="shared" si="453"/>
        <v>#N/A</v>
      </c>
      <c r="BW101" s="101" t="e">
        <f t="shared" si="491"/>
        <v>#N/A</v>
      </c>
      <c r="BX101" s="235" t="e">
        <f t="shared" si="492"/>
        <v>#N/A</v>
      </c>
      <c r="BY101" s="235" t="e">
        <f t="shared" si="454"/>
        <v>#N/A</v>
      </c>
      <c r="CA101" s="23"/>
      <c r="CJ101" s="10">
        <v>93</v>
      </c>
      <c r="CK101" s="450">
        <v>0.47233810275490434</v>
      </c>
      <c r="CL101" s="450">
        <v>0.12062702755478408</v>
      </c>
      <c r="CM101" s="450">
        <v>0.47233810275490434</v>
      </c>
      <c r="CN101" s="450">
        <v>0.12062702755478408</v>
      </c>
      <c r="CO101" s="451">
        <v>1.2503401606002705E-2</v>
      </c>
      <c r="CP101" s="451">
        <v>1.2499754054314362E-2</v>
      </c>
      <c r="CQ101" s="451">
        <v>6.286362541527527E-3</v>
      </c>
      <c r="CR101" s="451">
        <v>6.2854441835331716E-3</v>
      </c>
      <c r="CS101" s="451">
        <v>2.6262904812414827</v>
      </c>
      <c r="CT101" s="451">
        <v>2.6462945505787823</v>
      </c>
      <c r="CU101" s="234">
        <v>-2.000406933729959E-2</v>
      </c>
      <c r="CX101" s="377">
        <v>93</v>
      </c>
      <c r="CY101" s="335">
        <f t="shared" si="496"/>
        <v>0.17441000000000001</v>
      </c>
      <c r="CZ101" s="338">
        <v>0.17441000000000001</v>
      </c>
      <c r="DA101" s="345">
        <f t="shared" si="497"/>
        <v>0.23425263028746202</v>
      </c>
      <c r="DB101" s="387">
        <f t="shared" si="498"/>
        <v>0.4244127834738316</v>
      </c>
      <c r="DC101" s="114">
        <f t="shared" si="522"/>
        <v>8.2160621432345593E-3</v>
      </c>
      <c r="DD101" s="378">
        <f t="shared" si="523"/>
        <v>1.0890266974346585E-2</v>
      </c>
      <c r="DE101" s="378">
        <f t="shared" si="499"/>
        <v>9.0151042421695565E-3</v>
      </c>
      <c r="DF101" s="340">
        <f t="shared" si="524"/>
        <v>2.8459426054401327E-3</v>
      </c>
      <c r="DG101" s="378">
        <f t="shared" si="525"/>
        <v>8.463977137033285E-3</v>
      </c>
      <c r="DH101" s="378">
        <f t="shared" si="500"/>
        <v>4.5245896753232538E-3</v>
      </c>
      <c r="DI101" s="340">
        <f>DI100+(DI108-DI98)/10</f>
        <v>0.72</v>
      </c>
      <c r="DJ101" s="349">
        <f t="shared" ref="DJ101" si="632">DJ100+(DJ108-DJ98)/10</f>
        <v>0.69</v>
      </c>
      <c r="DK101" s="350">
        <f t="shared" si="502"/>
        <v>0.71103611559998492</v>
      </c>
      <c r="DL101" s="345">
        <f t="shared" ref="DL101" si="633">DL100+(DL108-DL98)/10</f>
        <v>0.44</v>
      </c>
      <c r="DM101" s="349">
        <f t="shared" ref="DM101" si="634">DM100+(DM108-DM98)/10</f>
        <v>0.17</v>
      </c>
      <c r="DN101" s="396">
        <f t="shared" si="505"/>
        <v>0.35932504039986474</v>
      </c>
      <c r="DO101" s="335">
        <f t="shared" si="534"/>
        <v>0</v>
      </c>
      <c r="DP101" s="350">
        <f t="shared" si="535"/>
        <v>0</v>
      </c>
      <c r="DQ101" s="349">
        <f t="shared" si="506"/>
        <v>0</v>
      </c>
      <c r="DR101" s="335">
        <f t="shared" si="536"/>
        <v>0</v>
      </c>
      <c r="DS101" s="350">
        <f t="shared" si="537"/>
        <v>2.5714285714284468E-4</v>
      </c>
      <c r="DT101" s="349">
        <f t="shared" si="507"/>
        <v>7.6833294857267984E-5</v>
      </c>
      <c r="DU101" s="335">
        <f>DU100+(DU103-DU98)/5</f>
        <v>0.46399999999999997</v>
      </c>
      <c r="DV101" s="350">
        <f>DV100+(DV103-DV98)/5</f>
        <v>0.46500000000000008</v>
      </c>
      <c r="DW101" s="350">
        <f t="shared" si="508"/>
        <v>0.46429879614666725</v>
      </c>
      <c r="DX101" s="335">
        <f>DX100+(DX103-DX98)/5</f>
        <v>1</v>
      </c>
      <c r="DY101" s="350">
        <f>DY100+(DY103-DY98)/5</f>
        <v>0.96048571428571428</v>
      </c>
      <c r="DZ101" s="396">
        <f t="shared" si="509"/>
        <v>0.98819328369026604</v>
      </c>
      <c r="EA101" s="350">
        <f t="shared" si="510"/>
        <v>0</v>
      </c>
      <c r="EB101" s="350">
        <f t="shared" si="511"/>
        <v>0</v>
      </c>
      <c r="EC101" s="349">
        <f t="shared" si="512"/>
        <v>0</v>
      </c>
      <c r="ED101" s="335">
        <f t="shared" si="513"/>
        <v>5.1840163673829709E-3</v>
      </c>
      <c r="EE101" s="350">
        <f t="shared" si="514"/>
        <v>3.9342405173087291E-3</v>
      </c>
      <c r="EF101" s="387">
        <f t="shared" si="515"/>
        <v>4.8105881591831035E-3</v>
      </c>
      <c r="EG101" s="335">
        <f t="shared" si="516"/>
        <v>2.8459426054401327E-3</v>
      </c>
      <c r="EH101" s="350">
        <f t="shared" si="517"/>
        <v>8.463977137033285E-3</v>
      </c>
      <c r="EI101" s="387">
        <f t="shared" si="518"/>
        <v>4.5245896753232538E-3</v>
      </c>
      <c r="EJ101" s="335">
        <f t="shared" si="519"/>
        <v>8.8310982878891942E-4</v>
      </c>
      <c r="EK101" s="350">
        <f t="shared" si="520"/>
        <v>0</v>
      </c>
      <c r="EL101" s="387">
        <f t="shared" si="521"/>
        <v>6.1924001486288812E-4</v>
      </c>
      <c r="EO101" s="456">
        <v>90</v>
      </c>
      <c r="EP101" s="452"/>
      <c r="EQ101" s="458">
        <f>EQ100/2</f>
        <v>2.85</v>
      </c>
      <c r="ER101" s="458">
        <f t="shared" ref="ER101:ES101" si="635">ER100/2</f>
        <v>0.7</v>
      </c>
      <c r="ES101" s="458">
        <f t="shared" si="635"/>
        <v>11.4</v>
      </c>
      <c r="ET101" s="347">
        <f t="shared" si="611"/>
        <v>0.71182131951112904</v>
      </c>
      <c r="EU101" s="458">
        <f t="shared" ca="1" si="606"/>
        <v>0.80530031983698847</v>
      </c>
      <c r="EV101" s="458">
        <f t="shared" si="607"/>
        <v>2.85</v>
      </c>
      <c r="EW101" s="396">
        <f t="shared" si="612"/>
        <v>2.8459426054401327E-3</v>
      </c>
    </row>
    <row r="102" spans="2:162" ht="15" customHeight="1" x14ac:dyDescent="0.2">
      <c r="B102" s="15" t="s">
        <v>324</v>
      </c>
      <c r="D102" s="255"/>
      <c r="Q102" s="10">
        <v>96</v>
      </c>
      <c r="R102" s="10">
        <f t="shared" ref="R102:R106" si="636">age+Q102</f>
        <v>141</v>
      </c>
      <c r="S102" s="309" t="e">
        <f t="shared" si="459"/>
        <v>#N/A</v>
      </c>
      <c r="T102" s="309" t="e">
        <f t="shared" si="460"/>
        <v>#N/A</v>
      </c>
      <c r="U102" s="309" t="e">
        <f t="shared" si="461"/>
        <v>#N/A</v>
      </c>
      <c r="V102" s="235" t="e">
        <f t="shared" si="462"/>
        <v>#N/A</v>
      </c>
      <c r="W102" s="235" t="e">
        <f t="shared" si="463"/>
        <v>#N/A</v>
      </c>
      <c r="X102" s="309" t="e">
        <f t="shared" si="464"/>
        <v>#N/A</v>
      </c>
      <c r="Y102" s="235" t="e">
        <f t="shared" si="465"/>
        <v>#N/A</v>
      </c>
      <c r="Z102" s="235" t="e">
        <f t="shared" si="466"/>
        <v>#N/A</v>
      </c>
      <c r="AA102" s="235" t="e">
        <f t="shared" si="467"/>
        <v>#N/A</v>
      </c>
      <c r="AB102" s="235" t="e">
        <f t="shared" si="468"/>
        <v>#N/A</v>
      </c>
      <c r="AC102" s="235" t="e">
        <f t="shared" si="469"/>
        <v>#N/A</v>
      </c>
      <c r="AD102" s="235" t="e">
        <f t="shared" si="470"/>
        <v>#N/A</v>
      </c>
      <c r="AE102" s="235" t="e">
        <f t="shared" si="471"/>
        <v>#N/A</v>
      </c>
      <c r="AF102" s="101" t="e">
        <f t="shared" si="432"/>
        <v>#N/A</v>
      </c>
      <c r="AG102" s="101" t="e">
        <f t="shared" si="433"/>
        <v>#N/A</v>
      </c>
      <c r="AH102" s="101" t="e">
        <f t="shared" si="434"/>
        <v>#N/A</v>
      </c>
      <c r="AI102" s="101" t="e">
        <f t="shared" si="435"/>
        <v>#N/A</v>
      </c>
      <c r="AJ102" s="101" t="e">
        <f t="shared" si="436"/>
        <v>#N/A</v>
      </c>
      <c r="AK102" s="101" t="e">
        <f t="shared" si="472"/>
        <v>#N/A</v>
      </c>
      <c r="AL102" s="235" t="e">
        <f t="shared" si="473"/>
        <v>#N/A</v>
      </c>
      <c r="AM102" s="235" t="e">
        <f t="shared" si="437"/>
        <v>#N/A</v>
      </c>
      <c r="AN102" s="235" t="e">
        <f t="shared" si="438"/>
        <v>#N/A</v>
      </c>
      <c r="AO102" s="235" t="e">
        <f t="shared" si="439"/>
        <v>#N/A</v>
      </c>
      <c r="AP102" s="235" t="e">
        <f t="shared" si="440"/>
        <v>#N/A</v>
      </c>
      <c r="AQ102" s="235" t="e">
        <f t="shared" si="441"/>
        <v>#N/A</v>
      </c>
      <c r="AR102" s="101" t="e">
        <f t="shared" si="474"/>
        <v>#N/A</v>
      </c>
      <c r="AS102" s="235" t="e">
        <f t="shared" si="475"/>
        <v>#N/A</v>
      </c>
      <c r="AT102" s="235" t="e">
        <f t="shared" ref="AT102:AT107" si="637">SUM(S102:AC102)/((1+discount)^Q102)</f>
        <v>#N/A</v>
      </c>
      <c r="AV102" s="10">
        <v>96</v>
      </c>
      <c r="AW102" s="10">
        <f t="shared" si="476"/>
        <v>141</v>
      </c>
      <c r="AX102" s="309" t="e">
        <f t="shared" si="477"/>
        <v>#N/A</v>
      </c>
      <c r="AY102" s="309" t="e">
        <f t="shared" si="478"/>
        <v>#N/A</v>
      </c>
      <c r="AZ102" s="309" t="e">
        <f t="shared" si="479"/>
        <v>#N/A</v>
      </c>
      <c r="BA102" s="235" t="e">
        <f t="shared" si="480"/>
        <v>#N/A</v>
      </c>
      <c r="BB102" s="235" t="e">
        <f t="shared" si="481"/>
        <v>#N/A</v>
      </c>
      <c r="BC102" s="309" t="e">
        <f t="shared" si="482"/>
        <v>#N/A</v>
      </c>
      <c r="BD102" s="235" t="e">
        <f t="shared" si="483"/>
        <v>#N/A</v>
      </c>
      <c r="BE102" s="235" t="e">
        <f t="shared" si="484"/>
        <v>#N/A</v>
      </c>
      <c r="BF102" s="235" t="e">
        <f t="shared" si="485"/>
        <v>#N/A</v>
      </c>
      <c r="BG102" s="235" t="e">
        <f t="shared" si="486"/>
        <v>#N/A</v>
      </c>
      <c r="BH102" s="235" t="e">
        <f t="shared" si="487"/>
        <v>#N/A</v>
      </c>
      <c r="BI102" s="235" t="e">
        <f t="shared" si="488"/>
        <v>#N/A</v>
      </c>
      <c r="BJ102" s="235" t="e">
        <f t="shared" si="489"/>
        <v>#N/A</v>
      </c>
      <c r="BK102" s="101" t="e">
        <f t="shared" si="443"/>
        <v>#N/A</v>
      </c>
      <c r="BL102" s="101" t="e">
        <f t="shared" si="444"/>
        <v>#N/A</v>
      </c>
      <c r="BM102" s="101" t="e">
        <f t="shared" si="445"/>
        <v>#N/A</v>
      </c>
      <c r="BN102" s="101" t="e">
        <f t="shared" si="446"/>
        <v>#N/A</v>
      </c>
      <c r="BO102" s="101" t="e">
        <f t="shared" si="447"/>
        <v>#N/A</v>
      </c>
      <c r="BP102" s="101" t="e">
        <f t="shared" si="490"/>
        <v>#N/A</v>
      </c>
      <c r="BQ102" s="235" t="e">
        <f t="shared" si="448"/>
        <v>#N/A</v>
      </c>
      <c r="BR102" s="235" t="e">
        <f t="shared" si="449"/>
        <v>#N/A</v>
      </c>
      <c r="BS102" s="235" t="e">
        <f t="shared" si="450"/>
        <v>#N/A</v>
      </c>
      <c r="BT102" s="235" t="e">
        <f t="shared" si="451"/>
        <v>#N/A</v>
      </c>
      <c r="BU102" s="235" t="e">
        <f t="shared" si="452"/>
        <v>#N/A</v>
      </c>
      <c r="BV102" s="235" t="e">
        <f t="shared" si="453"/>
        <v>#N/A</v>
      </c>
      <c r="BW102" s="101" t="e">
        <f t="shared" si="491"/>
        <v>#N/A</v>
      </c>
      <c r="BX102" s="235" t="e">
        <f t="shared" si="492"/>
        <v>#N/A</v>
      </c>
      <c r="BY102" s="235" t="e">
        <f t="shared" ref="BY102:BY107" si="638">SUM(AX102:BH102)/((1+discount)^AV102)</f>
        <v>#N/A</v>
      </c>
      <c r="CA102" s="23"/>
      <c r="CJ102" s="10">
        <v>94</v>
      </c>
      <c r="CK102" s="450">
        <v>0.47233810275490434</v>
      </c>
      <c r="CL102" s="450">
        <v>0.12062702755478408</v>
      </c>
      <c r="CM102" s="450">
        <v>0.47233810275490434</v>
      </c>
      <c r="CN102" s="450">
        <v>0.12062702755478408</v>
      </c>
      <c r="CO102" s="451">
        <v>1.119635541683669E-2</v>
      </c>
      <c r="CP102" s="451">
        <v>1.1193336333747557E-2</v>
      </c>
      <c r="CQ102" s="451">
        <v>5.629267326675332E-3</v>
      </c>
      <c r="CR102" s="451">
        <v>5.6283347594699717E-3</v>
      </c>
      <c r="CS102" s="451">
        <v>2.3591908190167912</v>
      </c>
      <c r="CT102" s="451">
        <v>2.3791905967681815</v>
      </c>
      <c r="CU102" s="234">
        <v>-1.999977775139028E-2</v>
      </c>
      <c r="CX102" s="377">
        <v>94</v>
      </c>
      <c r="CY102" s="335">
        <f t="shared" si="496"/>
        <v>0.192051</v>
      </c>
      <c r="CZ102" s="338">
        <v>0.192051</v>
      </c>
      <c r="DA102" s="345">
        <f t="shared" si="497"/>
        <v>0.23425263028746202</v>
      </c>
      <c r="DB102" s="387">
        <f t="shared" si="498"/>
        <v>0.4244127834738316</v>
      </c>
      <c r="DC102" s="114">
        <f t="shared" si="522"/>
        <v>8.2160621432345593E-3</v>
      </c>
      <c r="DD102" s="378">
        <f t="shared" si="523"/>
        <v>1.0890266974346585E-2</v>
      </c>
      <c r="DE102" s="378">
        <f t="shared" si="499"/>
        <v>9.0151042421695565E-3</v>
      </c>
      <c r="DF102" s="340">
        <f t="shared" si="524"/>
        <v>2.8459426054401327E-3</v>
      </c>
      <c r="DG102" s="378">
        <f t="shared" si="525"/>
        <v>8.463977137033285E-3</v>
      </c>
      <c r="DH102" s="378">
        <f t="shared" si="500"/>
        <v>4.5245896753232538E-3</v>
      </c>
      <c r="DI102" s="340">
        <f>DI101+(DI108-DI98)/10</f>
        <v>0.72</v>
      </c>
      <c r="DJ102" s="349">
        <f t="shared" ref="DJ102" si="639">DJ101+(DJ108-DJ98)/10</f>
        <v>0.69</v>
      </c>
      <c r="DK102" s="350">
        <f t="shared" si="502"/>
        <v>0.71103611559998492</v>
      </c>
      <c r="DL102" s="345">
        <f t="shared" ref="DL102" si="640">DL101+(DL108-DL98)/10</f>
        <v>0.44</v>
      </c>
      <c r="DM102" s="349">
        <f t="shared" ref="DM102" si="641">DM101+(DM108-DM98)/10</f>
        <v>0.17</v>
      </c>
      <c r="DN102" s="396">
        <f t="shared" si="505"/>
        <v>0.35932504039986474</v>
      </c>
      <c r="DO102" s="335">
        <f t="shared" si="534"/>
        <v>0</v>
      </c>
      <c r="DP102" s="350">
        <f t="shared" si="535"/>
        <v>0</v>
      </c>
      <c r="DQ102" s="349">
        <f t="shared" si="506"/>
        <v>0</v>
      </c>
      <c r="DR102" s="335">
        <f t="shared" si="536"/>
        <v>0</v>
      </c>
      <c r="DS102" s="350">
        <f t="shared" si="537"/>
        <v>2.5714285714284468E-4</v>
      </c>
      <c r="DT102" s="349">
        <f t="shared" si="507"/>
        <v>7.6833294857267984E-5</v>
      </c>
      <c r="DU102" s="335">
        <f>DU101+(DU103-DU98)/5</f>
        <v>0.46399999999999997</v>
      </c>
      <c r="DV102" s="350">
        <f>DV101+(DV103-DV98)/5</f>
        <v>0.46500000000000008</v>
      </c>
      <c r="DW102" s="350">
        <f t="shared" si="508"/>
        <v>0.46429879614666725</v>
      </c>
      <c r="DX102" s="335">
        <f>DX101+(DX103-DX98)/5</f>
        <v>1</v>
      </c>
      <c r="DY102" s="350">
        <f>DY101+(DY103-DY98)/5</f>
        <v>0.96074285714285712</v>
      </c>
      <c r="DZ102" s="396">
        <f t="shared" si="509"/>
        <v>0.98827011698512324</v>
      </c>
      <c r="EA102" s="350">
        <f t="shared" si="510"/>
        <v>0</v>
      </c>
      <c r="EB102" s="350">
        <f t="shared" si="511"/>
        <v>0</v>
      </c>
      <c r="EC102" s="349">
        <f t="shared" si="512"/>
        <v>0</v>
      </c>
      <c r="ED102" s="335">
        <f t="shared" si="513"/>
        <v>5.1840163673829709E-3</v>
      </c>
      <c r="EE102" s="350">
        <f t="shared" si="514"/>
        <v>3.9342405173087291E-3</v>
      </c>
      <c r="EF102" s="387">
        <f t="shared" si="515"/>
        <v>4.8105881591831035E-3</v>
      </c>
      <c r="EG102" s="335">
        <f t="shared" si="516"/>
        <v>2.8459426054401327E-3</v>
      </c>
      <c r="EH102" s="350">
        <f t="shared" si="517"/>
        <v>8.463977137033285E-3</v>
      </c>
      <c r="EI102" s="387">
        <f t="shared" si="518"/>
        <v>4.5245896753232538E-3</v>
      </c>
      <c r="EJ102" s="335">
        <f t="shared" si="519"/>
        <v>8.8310982878891942E-4</v>
      </c>
      <c r="EK102" s="350">
        <f t="shared" si="520"/>
        <v>0</v>
      </c>
      <c r="EL102" s="387">
        <f t="shared" si="521"/>
        <v>6.1924001486288812E-4</v>
      </c>
      <c r="EO102" s="456">
        <v>100</v>
      </c>
      <c r="EP102" s="452"/>
      <c r="EQ102" s="458">
        <v>0</v>
      </c>
      <c r="ER102" s="458">
        <v>0</v>
      </c>
      <c r="ES102" s="458">
        <v>0</v>
      </c>
      <c r="ET102" s="347" t="e">
        <f t="shared" si="611"/>
        <v>#NUM!</v>
      </c>
      <c r="EU102" s="458">
        <f t="shared" ca="1" si="606"/>
        <v>0</v>
      </c>
      <c r="EV102" s="458">
        <f t="shared" si="607"/>
        <v>0</v>
      </c>
      <c r="EW102" s="396">
        <f t="shared" si="612"/>
        <v>0</v>
      </c>
    </row>
    <row r="103" spans="2:162" ht="15" customHeight="1" x14ac:dyDescent="0.2">
      <c r="Q103" s="10">
        <v>97</v>
      </c>
      <c r="R103" s="10">
        <f t="shared" si="636"/>
        <v>142</v>
      </c>
      <c r="S103" s="309" t="e">
        <f t="shared" ref="S103:S106" si="642">S102*(1-VLOOKUP(R103,boc_inc,$DE$1,FALSE)-VLOOKUP(R103,boc_inc,$DH$1,FALSE)-VLOOKUP(R103,boc_uptake,$DQ$1,FALSE)-VLOOKUP(R103,boc_uptake,$DT$1,FALSE)-VLOOKUP(R103,boc_mort,$CY$1,FALSE))</f>
        <v>#N/A</v>
      </c>
      <c r="T103" s="309" t="e">
        <f t="shared" si="460"/>
        <v>#N/A</v>
      </c>
      <c r="U103" s="309" t="e">
        <f t="shared" si="461"/>
        <v>#N/A</v>
      </c>
      <c r="V103" s="235" t="e">
        <f t="shared" si="462"/>
        <v>#N/A</v>
      </c>
      <c r="W103" s="235" t="e">
        <f t="shared" si="463"/>
        <v>#N/A</v>
      </c>
      <c r="X103" s="309" t="e">
        <f t="shared" si="464"/>
        <v>#N/A</v>
      </c>
      <c r="Y103" s="235" t="e">
        <f t="shared" si="465"/>
        <v>#N/A</v>
      </c>
      <c r="Z103" s="235" t="e">
        <f t="shared" si="466"/>
        <v>#N/A</v>
      </c>
      <c r="AA103" s="235" t="e">
        <f t="shared" si="467"/>
        <v>#N/A</v>
      </c>
      <c r="AB103" s="235" t="e">
        <f t="shared" si="468"/>
        <v>#N/A</v>
      </c>
      <c r="AC103" s="235" t="e">
        <f t="shared" si="469"/>
        <v>#N/A</v>
      </c>
      <c r="AD103" s="235" t="e">
        <f t="shared" si="470"/>
        <v>#N/A</v>
      </c>
      <c r="AE103" s="235" t="e">
        <f t="shared" si="471"/>
        <v>#N/A</v>
      </c>
      <c r="AF103" s="101" t="e">
        <f t="shared" si="432"/>
        <v>#N/A</v>
      </c>
      <c r="AG103" s="101" t="e">
        <f t="shared" si="433"/>
        <v>#N/A</v>
      </c>
      <c r="AH103" s="101" t="e">
        <f t="shared" si="434"/>
        <v>#N/A</v>
      </c>
      <c r="AI103" s="101" t="e">
        <f t="shared" si="435"/>
        <v>#N/A</v>
      </c>
      <c r="AJ103" s="101" t="e">
        <f t="shared" si="436"/>
        <v>#N/A</v>
      </c>
      <c r="AK103" s="101" t="e">
        <f t="shared" si="472"/>
        <v>#N/A</v>
      </c>
      <c r="AL103" s="235" t="e">
        <f t="shared" si="473"/>
        <v>#N/A</v>
      </c>
      <c r="AM103" s="235" t="e">
        <f t="shared" si="437"/>
        <v>#N/A</v>
      </c>
      <c r="AN103" s="235" t="e">
        <f t="shared" si="438"/>
        <v>#N/A</v>
      </c>
      <c r="AO103" s="235" t="e">
        <f t="shared" si="439"/>
        <v>#N/A</v>
      </c>
      <c r="AP103" s="235" t="e">
        <f t="shared" si="440"/>
        <v>#N/A</v>
      </c>
      <c r="AQ103" s="235" t="e">
        <f t="shared" si="441"/>
        <v>#N/A</v>
      </c>
      <c r="AR103" s="101" t="e">
        <f t="shared" si="474"/>
        <v>#N/A</v>
      </c>
      <c r="AS103" s="235" t="e">
        <f t="shared" si="475"/>
        <v>#N/A</v>
      </c>
      <c r="AT103" s="235" t="e">
        <f t="shared" si="637"/>
        <v>#N/A</v>
      </c>
      <c r="AV103" s="10">
        <v>97</v>
      </c>
      <c r="AW103" s="10">
        <f t="shared" si="476"/>
        <v>142</v>
      </c>
      <c r="AX103" s="309" t="e">
        <f t="shared" ref="AX103:AX106" si="643">AX102*(1-VLOOKUP(AW103,boc_inc,$DE$1,FALSE)-VLOOKUP(AW103,boc_inc,$DH$1,FALSE)-boc_unkn_mast-boc_unkn_ooph-VLOOKUP(AW103,boc_mort,$CY$1,FALSE))</f>
        <v>#N/A</v>
      </c>
      <c r="AY103" s="309" t="e">
        <f t="shared" si="478"/>
        <v>#N/A</v>
      </c>
      <c r="AZ103" s="309" t="e">
        <f t="shared" si="479"/>
        <v>#N/A</v>
      </c>
      <c r="BA103" s="235" t="e">
        <f t="shared" si="480"/>
        <v>#N/A</v>
      </c>
      <c r="BB103" s="235" t="e">
        <f t="shared" si="481"/>
        <v>#N/A</v>
      </c>
      <c r="BC103" s="309" t="e">
        <f t="shared" si="482"/>
        <v>#N/A</v>
      </c>
      <c r="BD103" s="235" t="e">
        <f t="shared" si="483"/>
        <v>#N/A</v>
      </c>
      <c r="BE103" s="235" t="e">
        <f t="shared" si="484"/>
        <v>#N/A</v>
      </c>
      <c r="BF103" s="235" t="e">
        <f t="shared" si="485"/>
        <v>#N/A</v>
      </c>
      <c r="BG103" s="235" t="e">
        <f t="shared" si="486"/>
        <v>#N/A</v>
      </c>
      <c r="BH103" s="235" t="e">
        <f t="shared" si="487"/>
        <v>#N/A</v>
      </c>
      <c r="BI103" s="235" t="e">
        <f t="shared" si="488"/>
        <v>#N/A</v>
      </c>
      <c r="BJ103" s="235" t="e">
        <f t="shared" si="489"/>
        <v>#N/A</v>
      </c>
      <c r="BK103" s="101" t="e">
        <f t="shared" si="443"/>
        <v>#N/A</v>
      </c>
      <c r="BL103" s="101" t="e">
        <f t="shared" si="444"/>
        <v>#N/A</v>
      </c>
      <c r="BM103" s="101" t="e">
        <f t="shared" si="445"/>
        <v>#N/A</v>
      </c>
      <c r="BN103" s="101" t="e">
        <f t="shared" si="446"/>
        <v>#N/A</v>
      </c>
      <c r="BO103" s="101" t="e">
        <f t="shared" si="447"/>
        <v>#N/A</v>
      </c>
      <c r="BP103" s="101" t="e">
        <f t="shared" si="490"/>
        <v>#N/A</v>
      </c>
      <c r="BQ103" s="235" t="e">
        <f t="shared" si="448"/>
        <v>#N/A</v>
      </c>
      <c r="BR103" s="235" t="e">
        <f t="shared" si="449"/>
        <v>#N/A</v>
      </c>
      <c r="BS103" s="235" t="e">
        <f t="shared" si="450"/>
        <v>#N/A</v>
      </c>
      <c r="BT103" s="235" t="e">
        <f t="shared" si="451"/>
        <v>#N/A</v>
      </c>
      <c r="BU103" s="235" t="e">
        <f t="shared" si="452"/>
        <v>#N/A</v>
      </c>
      <c r="BV103" s="235" t="e">
        <f t="shared" si="453"/>
        <v>#N/A</v>
      </c>
      <c r="BW103" s="101" t="e">
        <f t="shared" si="491"/>
        <v>#N/A</v>
      </c>
      <c r="BX103" s="235" t="e">
        <f t="shared" si="492"/>
        <v>#N/A</v>
      </c>
      <c r="BY103" s="235" t="e">
        <f t="shared" si="638"/>
        <v>#N/A</v>
      </c>
      <c r="CA103" s="23"/>
      <c r="CJ103" s="10">
        <v>95</v>
      </c>
      <c r="CK103" s="450">
        <v>0.47233810275490434</v>
      </c>
      <c r="CL103" s="450">
        <v>0.12062702755478408</v>
      </c>
      <c r="CM103" s="450">
        <v>0.47233810275490434</v>
      </c>
      <c r="CN103" s="450">
        <v>0.12062702755478408</v>
      </c>
      <c r="CO103" s="451">
        <v>9.7808527041388718E-3</v>
      </c>
      <c r="CP103" s="451">
        <v>9.7783742211542349E-3</v>
      </c>
      <c r="CQ103" s="451">
        <v>4.9176495914137995E-3</v>
      </c>
      <c r="CR103" s="451">
        <v>4.9166752069364139E-3</v>
      </c>
      <c r="CS103" s="451">
        <v>2.2069202358831692</v>
      </c>
      <c r="CT103" s="451">
        <v>2.2269180488591029</v>
      </c>
      <c r="CU103" s="234">
        <v>-1.9997812975933726E-2</v>
      </c>
      <c r="CX103" s="377">
        <v>95</v>
      </c>
      <c r="CY103" s="335">
        <f t="shared" si="496"/>
        <v>0.21071300000000001</v>
      </c>
      <c r="CZ103" s="338">
        <v>0.21071300000000001</v>
      </c>
      <c r="DA103" s="345">
        <f t="shared" si="497"/>
        <v>0.35621055082249475</v>
      </c>
      <c r="DB103" s="387">
        <f t="shared" si="498"/>
        <v>0.51608455773070072</v>
      </c>
      <c r="DC103" s="114">
        <f t="shared" si="522"/>
        <v>8.2160621432345593E-3</v>
      </c>
      <c r="DD103" s="378">
        <f t="shared" si="523"/>
        <v>1.0890266974346585E-2</v>
      </c>
      <c r="DE103" s="378">
        <f t="shared" si="499"/>
        <v>9.0151042421695565E-3</v>
      </c>
      <c r="DF103" s="340">
        <f t="shared" si="524"/>
        <v>2.8459426054401327E-3</v>
      </c>
      <c r="DG103" s="378">
        <f t="shared" si="525"/>
        <v>8.463977137033285E-3</v>
      </c>
      <c r="DH103" s="378">
        <f t="shared" si="500"/>
        <v>4.5245896753232538E-3</v>
      </c>
      <c r="DI103" s="340">
        <f>DI102+(DI108-DI98)/10</f>
        <v>0.72</v>
      </c>
      <c r="DJ103" s="349">
        <f t="shared" ref="DJ103" si="644">DJ102+(DJ108-DJ98)/10</f>
        <v>0.69</v>
      </c>
      <c r="DK103" s="350">
        <f t="shared" si="502"/>
        <v>0.71103611559998492</v>
      </c>
      <c r="DL103" s="345">
        <f t="shared" ref="DL103" si="645">DL102+(DL108-DL98)/10</f>
        <v>0.44</v>
      </c>
      <c r="DM103" s="349">
        <f t="shared" ref="DM103" si="646">DM102+(DM108-DM98)/10</f>
        <v>0.17</v>
      </c>
      <c r="DN103" s="396">
        <f t="shared" si="505"/>
        <v>0.35932504039986474</v>
      </c>
      <c r="DO103" s="335">
        <f t="shared" si="534"/>
        <v>0</v>
      </c>
      <c r="DP103" s="350">
        <f t="shared" si="535"/>
        <v>0</v>
      </c>
      <c r="DQ103" s="349">
        <f t="shared" si="506"/>
        <v>0</v>
      </c>
      <c r="DR103" s="335">
        <f t="shared" si="536"/>
        <v>0</v>
      </c>
      <c r="DS103" s="350">
        <f t="shared" si="537"/>
        <v>2.5714285714295571E-4</v>
      </c>
      <c r="DT103" s="349">
        <f t="shared" si="507"/>
        <v>7.683329485730116E-5</v>
      </c>
      <c r="DU103" s="335">
        <f>VLOOKUP($CX103,$EY$8:$FF$28,8,FALSE)</f>
        <v>0.46399999999999997</v>
      </c>
      <c r="DV103" s="350">
        <f>VLOOKUP($CX103,$EY$32:$FF$52,8,FALSE)</f>
        <v>0.46500000000000008</v>
      </c>
      <c r="DW103" s="350">
        <f t="shared" si="508"/>
        <v>0.46429879614666725</v>
      </c>
      <c r="DX103" s="335">
        <f>VLOOKUP($CX103,$EY$56:$FF$76,8,FALSE)</f>
        <v>1</v>
      </c>
      <c r="DY103" s="350">
        <f>VLOOKUP($CX103,$EY$80:$FF$100,8,FALSE)</f>
        <v>0.96100000000000008</v>
      </c>
      <c r="DZ103" s="396">
        <f t="shared" si="509"/>
        <v>0.98834695027998054</v>
      </c>
      <c r="EA103" s="350">
        <f t="shared" si="510"/>
        <v>0</v>
      </c>
      <c r="EB103" s="350">
        <f t="shared" si="511"/>
        <v>0</v>
      </c>
      <c r="EC103" s="349">
        <f t="shared" si="512"/>
        <v>0</v>
      </c>
      <c r="ED103" s="335">
        <f t="shared" si="513"/>
        <v>5.1840163673829709E-3</v>
      </c>
      <c r="EE103" s="350">
        <f t="shared" si="514"/>
        <v>3.9342405173087291E-3</v>
      </c>
      <c r="EF103" s="387">
        <f t="shared" si="515"/>
        <v>4.8105881591831035E-3</v>
      </c>
      <c r="EG103" s="335">
        <f t="shared" si="516"/>
        <v>2.8459426054401327E-3</v>
      </c>
      <c r="EH103" s="350">
        <f t="shared" si="517"/>
        <v>8.463977137033285E-3</v>
      </c>
      <c r="EI103" s="387">
        <f t="shared" si="518"/>
        <v>4.5245896753232538E-3</v>
      </c>
      <c r="EJ103" s="335">
        <f t="shared" si="519"/>
        <v>8.8310982878891942E-4</v>
      </c>
      <c r="EK103" s="350">
        <f t="shared" si="520"/>
        <v>0</v>
      </c>
      <c r="EL103" s="387">
        <f t="shared" si="521"/>
        <v>6.1924001486288812E-4</v>
      </c>
      <c r="EO103" s="267"/>
      <c r="EP103" s="47"/>
      <c r="EQ103" s="47"/>
      <c r="ER103" s="47"/>
      <c r="ES103" s="47"/>
      <c r="ET103" s="47"/>
      <c r="EU103" s="47"/>
      <c r="EV103" s="47"/>
      <c r="EW103" s="352"/>
    </row>
    <row r="104" spans="2:162" ht="15" customHeight="1" x14ac:dyDescent="0.2">
      <c r="B104" s="15" t="s">
        <v>388</v>
      </c>
      <c r="D104" s="255"/>
      <c r="H104" t="s">
        <v>397</v>
      </c>
      <c r="Q104" s="10">
        <v>98</v>
      </c>
      <c r="R104" s="10">
        <f t="shared" si="636"/>
        <v>143</v>
      </c>
      <c r="S104" s="309" t="e">
        <f t="shared" si="642"/>
        <v>#N/A</v>
      </c>
      <c r="T104" s="309" t="e">
        <f t="shared" si="460"/>
        <v>#N/A</v>
      </c>
      <c r="U104" s="309" t="e">
        <f t="shared" si="461"/>
        <v>#N/A</v>
      </c>
      <c r="V104" s="235" t="e">
        <f t="shared" si="462"/>
        <v>#N/A</v>
      </c>
      <c r="W104" s="235" t="e">
        <f t="shared" si="463"/>
        <v>#N/A</v>
      </c>
      <c r="X104" s="309" t="e">
        <f t="shared" si="464"/>
        <v>#N/A</v>
      </c>
      <c r="Y104" s="235" t="e">
        <f t="shared" si="465"/>
        <v>#N/A</v>
      </c>
      <c r="Z104" s="235" t="e">
        <f t="shared" si="466"/>
        <v>#N/A</v>
      </c>
      <c r="AA104" s="235" t="e">
        <f t="shared" si="467"/>
        <v>#N/A</v>
      </c>
      <c r="AB104" s="235" t="e">
        <f t="shared" si="468"/>
        <v>#N/A</v>
      </c>
      <c r="AC104" s="235" t="e">
        <f t="shared" si="469"/>
        <v>#N/A</v>
      </c>
      <c r="AD104" s="235" t="e">
        <f t="shared" si="470"/>
        <v>#N/A</v>
      </c>
      <c r="AE104" s="235" t="e">
        <f t="shared" si="471"/>
        <v>#N/A</v>
      </c>
      <c r="AF104" s="101" t="e">
        <f t="shared" si="432"/>
        <v>#N/A</v>
      </c>
      <c r="AG104" s="101" t="e">
        <f t="shared" si="433"/>
        <v>#N/A</v>
      </c>
      <c r="AH104" s="101" t="e">
        <f t="shared" si="434"/>
        <v>#N/A</v>
      </c>
      <c r="AI104" s="101" t="e">
        <f t="shared" si="435"/>
        <v>#N/A</v>
      </c>
      <c r="AJ104" s="101" t="e">
        <f t="shared" si="436"/>
        <v>#N/A</v>
      </c>
      <c r="AK104" s="101" t="e">
        <f t="shared" si="472"/>
        <v>#N/A</v>
      </c>
      <c r="AL104" s="235" t="e">
        <f t="shared" si="473"/>
        <v>#N/A</v>
      </c>
      <c r="AM104" s="235" t="e">
        <f t="shared" si="437"/>
        <v>#N/A</v>
      </c>
      <c r="AN104" s="235" t="e">
        <f t="shared" si="438"/>
        <v>#N/A</v>
      </c>
      <c r="AO104" s="235" t="e">
        <f t="shared" si="439"/>
        <v>#N/A</v>
      </c>
      <c r="AP104" s="235" t="e">
        <f t="shared" si="440"/>
        <v>#N/A</v>
      </c>
      <c r="AQ104" s="235" t="e">
        <f t="shared" si="441"/>
        <v>#N/A</v>
      </c>
      <c r="AR104" s="101" t="e">
        <f t="shared" si="474"/>
        <v>#N/A</v>
      </c>
      <c r="AS104" s="235" t="e">
        <f t="shared" si="475"/>
        <v>#N/A</v>
      </c>
      <c r="AT104" s="235" t="e">
        <f t="shared" si="637"/>
        <v>#N/A</v>
      </c>
      <c r="AV104" s="10">
        <v>98</v>
      </c>
      <c r="AW104" s="10">
        <f t="shared" si="476"/>
        <v>143</v>
      </c>
      <c r="AX104" s="309" t="e">
        <f t="shared" si="643"/>
        <v>#N/A</v>
      </c>
      <c r="AY104" s="309" t="e">
        <f t="shared" si="478"/>
        <v>#N/A</v>
      </c>
      <c r="AZ104" s="309" t="e">
        <f t="shared" si="479"/>
        <v>#N/A</v>
      </c>
      <c r="BA104" s="235" t="e">
        <f t="shared" si="480"/>
        <v>#N/A</v>
      </c>
      <c r="BB104" s="235" t="e">
        <f t="shared" si="481"/>
        <v>#N/A</v>
      </c>
      <c r="BC104" s="309" t="e">
        <f t="shared" si="482"/>
        <v>#N/A</v>
      </c>
      <c r="BD104" s="235" t="e">
        <f t="shared" si="483"/>
        <v>#N/A</v>
      </c>
      <c r="BE104" s="235" t="e">
        <f t="shared" si="484"/>
        <v>#N/A</v>
      </c>
      <c r="BF104" s="235" t="e">
        <f t="shared" si="485"/>
        <v>#N/A</v>
      </c>
      <c r="BG104" s="235" t="e">
        <f t="shared" si="486"/>
        <v>#N/A</v>
      </c>
      <c r="BH104" s="235" t="e">
        <f t="shared" si="487"/>
        <v>#N/A</v>
      </c>
      <c r="BI104" s="235" t="e">
        <f t="shared" si="488"/>
        <v>#N/A</v>
      </c>
      <c r="BJ104" s="235" t="e">
        <f t="shared" si="489"/>
        <v>#N/A</v>
      </c>
      <c r="BK104" s="101" t="e">
        <f t="shared" si="443"/>
        <v>#N/A</v>
      </c>
      <c r="BL104" s="101" t="e">
        <f t="shared" si="444"/>
        <v>#N/A</v>
      </c>
      <c r="BM104" s="101" t="e">
        <f t="shared" si="445"/>
        <v>#N/A</v>
      </c>
      <c r="BN104" s="101" t="e">
        <f t="shared" si="446"/>
        <v>#N/A</v>
      </c>
      <c r="BO104" s="101" t="e">
        <f t="shared" si="447"/>
        <v>#N/A</v>
      </c>
      <c r="BP104" s="101" t="e">
        <f t="shared" si="490"/>
        <v>#N/A</v>
      </c>
      <c r="BQ104" s="235" t="e">
        <f t="shared" si="448"/>
        <v>#N/A</v>
      </c>
      <c r="BR104" s="235" t="e">
        <f t="shared" si="449"/>
        <v>#N/A</v>
      </c>
      <c r="BS104" s="235" t="e">
        <f t="shared" si="450"/>
        <v>#N/A</v>
      </c>
      <c r="BT104" s="235" t="e">
        <f t="shared" si="451"/>
        <v>#N/A</v>
      </c>
      <c r="BU104" s="235" t="e">
        <f t="shared" si="452"/>
        <v>#N/A</v>
      </c>
      <c r="BV104" s="235" t="e">
        <f t="shared" si="453"/>
        <v>#N/A</v>
      </c>
      <c r="BW104" s="101" t="e">
        <f t="shared" si="491"/>
        <v>#N/A</v>
      </c>
      <c r="BX104" s="235" t="e">
        <f t="shared" si="492"/>
        <v>#N/A</v>
      </c>
      <c r="BY104" s="235" t="e">
        <f t="shared" si="638"/>
        <v>#N/A</v>
      </c>
      <c r="CA104" s="23"/>
      <c r="CJ104" s="10">
        <v>96</v>
      </c>
      <c r="CK104" s="450">
        <v>0.47233810275490434</v>
      </c>
      <c r="CL104" s="450">
        <v>0.12062702755478408</v>
      </c>
      <c r="CM104" s="450">
        <v>0.47233810275490434</v>
      </c>
      <c r="CN104" s="450">
        <v>0.12062702755478408</v>
      </c>
      <c r="CO104" s="451">
        <v>8.1618962622542982E-3</v>
      </c>
      <c r="CP104" s="451">
        <v>8.160328820397602E-3</v>
      </c>
      <c r="CQ104" s="451">
        <v>4.1036230928271902E-3</v>
      </c>
      <c r="CR104" s="451">
        <v>4.1029450867116355E-3</v>
      </c>
      <c r="CS104" s="451">
        <v>2.0170830456209914</v>
      </c>
      <c r="CT104" s="451">
        <v>2.0370648081673366</v>
      </c>
      <c r="CU104" s="234">
        <v>-1.9981762546345205E-2</v>
      </c>
      <c r="CX104" s="377">
        <v>96</v>
      </c>
      <c r="CY104" s="335">
        <f t="shared" ref="CY104:CY108" si="647">IF($CZ$7,CZ104,0)</f>
        <v>0.23030800000000001</v>
      </c>
      <c r="CZ104" s="338">
        <v>0.23030800000000001</v>
      </c>
      <c r="DA104" s="345">
        <f t="shared" si="497"/>
        <v>0.35621055082249475</v>
      </c>
      <c r="DB104" s="387">
        <f t="shared" si="498"/>
        <v>0.51608455773070072</v>
      </c>
      <c r="DC104" s="114">
        <f t="shared" si="522"/>
        <v>8.2160621432345593E-3</v>
      </c>
      <c r="DD104" s="378">
        <f t="shared" si="523"/>
        <v>1.0890266974346585E-2</v>
      </c>
      <c r="DE104" s="378">
        <f t="shared" ref="DE104:DE108" si="648">IF($DE$6,boc_mut_brca1*DC104+boc_mut_brca2*DD104,0)</f>
        <v>9.0151042421695565E-3</v>
      </c>
      <c r="DF104" s="340">
        <f t="shared" si="524"/>
        <v>2.8459426054401327E-3</v>
      </c>
      <c r="DG104" s="378">
        <f t="shared" si="525"/>
        <v>8.463977137033285E-3</v>
      </c>
      <c r="DH104" s="378">
        <f t="shared" ref="DH104:DH108" si="649">IF($DH$6,boc_mut_brca1*DF104+boc_mut_brca2*DG104,0)</f>
        <v>4.5245896753232538E-3</v>
      </c>
      <c r="DI104" s="340">
        <f>DI103+(DI108-DI98)/10</f>
        <v>0.72</v>
      </c>
      <c r="DJ104" s="349">
        <f t="shared" ref="DJ104" si="650">DJ103+(DJ108-DJ98)/10</f>
        <v>0.69</v>
      </c>
      <c r="DK104" s="350">
        <f t="shared" ref="DK104:DK108" si="651">IF($DK$4,boc_mut_brca1*DI104+boc_mut_brca2*DJ104,0)</f>
        <v>0.71103611559998492</v>
      </c>
      <c r="DL104" s="345">
        <f t="shared" ref="DL104" si="652">DL103+(DL108-DL98)/10</f>
        <v>0.44</v>
      </c>
      <c r="DM104" s="349">
        <f t="shared" ref="DM104" si="653">DM103+(DM108-DM98)/10</f>
        <v>0.17</v>
      </c>
      <c r="DN104" s="396">
        <f t="shared" ref="DN104:DN108" si="654">IF($DN$4,boc_mut_brca1*DL104+boc_mut_brca2*DM104,0)</f>
        <v>0.35932504039986474</v>
      </c>
      <c r="DO104" s="335">
        <f t="shared" si="534"/>
        <v>0</v>
      </c>
      <c r="DP104" s="350">
        <f t="shared" si="535"/>
        <v>0</v>
      </c>
      <c r="DQ104" s="349">
        <f t="shared" ref="DQ104:DQ108" si="655">boc_mut_brca1*DO104+boc_mut_brca2*DP104</f>
        <v>0</v>
      </c>
      <c r="DR104" s="335">
        <f t="shared" si="536"/>
        <v>0</v>
      </c>
      <c r="DS104" s="350">
        <f t="shared" si="537"/>
        <v>0</v>
      </c>
      <c r="DT104" s="349">
        <f t="shared" ref="DT104:DT108" si="656">boc_mut_brca1*DR104+boc_mut_brca2*DS104</f>
        <v>0</v>
      </c>
      <c r="DU104" s="335">
        <f>DU103+(DU108-DU103)/5</f>
        <v>0.46399999999999997</v>
      </c>
      <c r="DV104" s="350">
        <f>DV103+(DV108-DV103)/5</f>
        <v>0.46500000000000008</v>
      </c>
      <c r="DW104" s="350">
        <f t="shared" ref="DW104:DW108" si="657">IF($DW$4,boc_mut_brca1*DU104+boc_mut_brca2*DV104,0)</f>
        <v>0.46429879614666725</v>
      </c>
      <c r="DX104" s="335">
        <f>DX103+(DX108-DX103)/5</f>
        <v>1</v>
      </c>
      <c r="DY104" s="350">
        <f>DY103+(DY108-DY103)/5</f>
        <v>0.96100000000000008</v>
      </c>
      <c r="DZ104" s="396">
        <f t="shared" ref="DZ104:DZ108" si="658">IF($DZ$4,boc_mut_brca1*DX104+boc_mut_brca2*DY104,0)</f>
        <v>0.98834695027998054</v>
      </c>
      <c r="EA104" s="350">
        <f t="shared" si="510"/>
        <v>0</v>
      </c>
      <c r="EB104" s="350">
        <f t="shared" si="511"/>
        <v>0</v>
      </c>
      <c r="EC104" s="349">
        <f t="shared" ref="EC104:EC108" si="659">boc_mut_brca1*EA104+boc_mut_brca2*EB104</f>
        <v>0</v>
      </c>
      <c r="ED104" s="335">
        <f t="shared" si="513"/>
        <v>5.1840163673829709E-3</v>
      </c>
      <c r="EE104" s="350">
        <f t="shared" si="514"/>
        <v>3.9342405173087291E-3</v>
      </c>
      <c r="EF104" s="387">
        <f t="shared" ref="EF104:EF108" si="660">boc_mut_brca1*ED104+boc_mut_brca2*EE104</f>
        <v>4.8105881591831035E-3</v>
      </c>
      <c r="EG104" s="335">
        <f t="shared" si="516"/>
        <v>2.8459426054401327E-3</v>
      </c>
      <c r="EH104" s="350">
        <f t="shared" si="517"/>
        <v>8.463977137033285E-3</v>
      </c>
      <c r="EI104" s="387">
        <f t="shared" ref="EI104:EI108" si="661">boc_mut_brca1*EG104+boc_mut_brca2*EH104</f>
        <v>4.5245896753232538E-3</v>
      </c>
      <c r="EJ104" s="335">
        <f t="shared" si="519"/>
        <v>8.8310982878891942E-4</v>
      </c>
      <c r="EK104" s="350">
        <f t="shared" si="520"/>
        <v>0</v>
      </c>
      <c r="EL104" s="387">
        <f t="shared" ref="EL104:EL108" si="662">boc_mut_brca1*EJ104+boc_mut_brca2*EK104</f>
        <v>6.1924001486288812E-4</v>
      </c>
      <c r="EO104" s="351" t="s">
        <v>385</v>
      </c>
      <c r="EP104" s="20"/>
      <c r="EQ104" s="19"/>
      <c r="ER104" s="19"/>
      <c r="ES104" s="19"/>
      <c r="ET104" s="19"/>
      <c r="EU104" s="19"/>
      <c r="EV104" s="19"/>
      <c r="EW104" s="334"/>
    </row>
    <row r="105" spans="2:162" ht="15" customHeight="1" x14ac:dyDescent="0.2">
      <c r="B105" s="15" t="s">
        <v>389</v>
      </c>
      <c r="D105" s="255"/>
      <c r="H105" t="s">
        <v>398</v>
      </c>
      <c r="Q105" s="10">
        <v>99</v>
      </c>
      <c r="R105" s="10">
        <f t="shared" si="636"/>
        <v>144</v>
      </c>
      <c r="S105" s="309" t="e">
        <f t="shared" si="642"/>
        <v>#N/A</v>
      </c>
      <c r="T105" s="309" t="e">
        <f t="shared" si="460"/>
        <v>#N/A</v>
      </c>
      <c r="U105" s="309" t="e">
        <f t="shared" si="461"/>
        <v>#N/A</v>
      </c>
      <c r="V105" s="235" t="e">
        <f t="shared" si="462"/>
        <v>#N/A</v>
      </c>
      <c r="W105" s="235" t="e">
        <f t="shared" si="463"/>
        <v>#N/A</v>
      </c>
      <c r="X105" s="309" t="e">
        <f t="shared" si="464"/>
        <v>#N/A</v>
      </c>
      <c r="Y105" s="235" t="e">
        <f t="shared" si="465"/>
        <v>#N/A</v>
      </c>
      <c r="Z105" s="235" t="e">
        <f t="shared" si="466"/>
        <v>#N/A</v>
      </c>
      <c r="AA105" s="235" t="e">
        <f t="shared" si="467"/>
        <v>#N/A</v>
      </c>
      <c r="AB105" s="235" t="e">
        <f t="shared" si="468"/>
        <v>#N/A</v>
      </c>
      <c r="AC105" s="235" t="e">
        <f t="shared" si="469"/>
        <v>#N/A</v>
      </c>
      <c r="AD105" s="235" t="e">
        <f t="shared" si="470"/>
        <v>#N/A</v>
      </c>
      <c r="AE105" s="235" t="e">
        <f t="shared" si="471"/>
        <v>#N/A</v>
      </c>
      <c r="AF105" s="101" t="e">
        <f t="shared" si="432"/>
        <v>#N/A</v>
      </c>
      <c r="AG105" s="101" t="e">
        <f t="shared" si="433"/>
        <v>#N/A</v>
      </c>
      <c r="AH105" s="101" t="e">
        <f t="shared" si="434"/>
        <v>#N/A</v>
      </c>
      <c r="AI105" s="101" t="e">
        <f t="shared" si="435"/>
        <v>#N/A</v>
      </c>
      <c r="AJ105" s="101" t="e">
        <f t="shared" si="436"/>
        <v>#N/A</v>
      </c>
      <c r="AK105" s="101" t="e">
        <f t="shared" si="472"/>
        <v>#N/A</v>
      </c>
      <c r="AL105" s="235" t="e">
        <f t="shared" si="473"/>
        <v>#N/A</v>
      </c>
      <c r="AM105" s="235" t="e">
        <f t="shared" si="437"/>
        <v>#N/A</v>
      </c>
      <c r="AN105" s="235" t="e">
        <f t="shared" si="438"/>
        <v>#N/A</v>
      </c>
      <c r="AO105" s="235" t="e">
        <f t="shared" si="439"/>
        <v>#N/A</v>
      </c>
      <c r="AP105" s="235" t="e">
        <f t="shared" si="440"/>
        <v>#N/A</v>
      </c>
      <c r="AQ105" s="235" t="e">
        <f t="shared" si="441"/>
        <v>#N/A</v>
      </c>
      <c r="AR105" s="101" t="e">
        <f t="shared" si="474"/>
        <v>#N/A</v>
      </c>
      <c r="AS105" s="235" t="e">
        <f t="shared" si="475"/>
        <v>#N/A</v>
      </c>
      <c r="AT105" s="235" t="e">
        <f t="shared" si="637"/>
        <v>#N/A</v>
      </c>
      <c r="AV105" s="10">
        <v>99</v>
      </c>
      <c r="AW105" s="10">
        <f t="shared" si="476"/>
        <v>144</v>
      </c>
      <c r="AX105" s="309" t="e">
        <f t="shared" si="643"/>
        <v>#N/A</v>
      </c>
      <c r="AY105" s="309" t="e">
        <f t="shared" si="478"/>
        <v>#N/A</v>
      </c>
      <c r="AZ105" s="309" t="e">
        <f t="shared" si="479"/>
        <v>#N/A</v>
      </c>
      <c r="BA105" s="235" t="e">
        <f t="shared" si="480"/>
        <v>#N/A</v>
      </c>
      <c r="BB105" s="235" t="e">
        <f t="shared" si="481"/>
        <v>#N/A</v>
      </c>
      <c r="BC105" s="309" t="e">
        <f t="shared" si="482"/>
        <v>#N/A</v>
      </c>
      <c r="BD105" s="235" t="e">
        <f t="shared" si="483"/>
        <v>#N/A</v>
      </c>
      <c r="BE105" s="235" t="e">
        <f t="shared" si="484"/>
        <v>#N/A</v>
      </c>
      <c r="BF105" s="235" t="e">
        <f t="shared" si="485"/>
        <v>#N/A</v>
      </c>
      <c r="BG105" s="235" t="e">
        <f t="shared" si="486"/>
        <v>#N/A</v>
      </c>
      <c r="BH105" s="235" t="e">
        <f t="shared" si="487"/>
        <v>#N/A</v>
      </c>
      <c r="BI105" s="235" t="e">
        <f t="shared" si="488"/>
        <v>#N/A</v>
      </c>
      <c r="BJ105" s="235" t="e">
        <f t="shared" si="489"/>
        <v>#N/A</v>
      </c>
      <c r="BK105" s="101" t="e">
        <f t="shared" si="443"/>
        <v>#N/A</v>
      </c>
      <c r="BL105" s="101" t="e">
        <f t="shared" si="444"/>
        <v>#N/A</v>
      </c>
      <c r="BM105" s="101" t="e">
        <f t="shared" si="445"/>
        <v>#N/A</v>
      </c>
      <c r="BN105" s="101" t="e">
        <f t="shared" si="446"/>
        <v>#N/A</v>
      </c>
      <c r="BO105" s="101" t="e">
        <f t="shared" si="447"/>
        <v>#N/A</v>
      </c>
      <c r="BP105" s="101" t="e">
        <f t="shared" si="490"/>
        <v>#N/A</v>
      </c>
      <c r="BQ105" s="235" t="e">
        <f t="shared" si="448"/>
        <v>#N/A</v>
      </c>
      <c r="BR105" s="235" t="e">
        <f t="shared" si="449"/>
        <v>#N/A</v>
      </c>
      <c r="BS105" s="235" t="e">
        <f t="shared" si="450"/>
        <v>#N/A</v>
      </c>
      <c r="BT105" s="235" t="e">
        <f t="shared" si="451"/>
        <v>#N/A</v>
      </c>
      <c r="BU105" s="235" t="e">
        <f t="shared" si="452"/>
        <v>#N/A</v>
      </c>
      <c r="BV105" s="235" t="e">
        <f t="shared" si="453"/>
        <v>#N/A</v>
      </c>
      <c r="BW105" s="101" t="e">
        <f t="shared" si="491"/>
        <v>#N/A</v>
      </c>
      <c r="BX105" s="235" t="e">
        <f t="shared" si="492"/>
        <v>#N/A</v>
      </c>
      <c r="BY105" s="235" t="e">
        <f t="shared" si="638"/>
        <v>#N/A</v>
      </c>
      <c r="CA105" s="23"/>
      <c r="CJ105" s="10">
        <v>97</v>
      </c>
      <c r="CK105" s="450">
        <v>0.47233810275490434</v>
      </c>
      <c r="CL105" s="450">
        <v>0.12062702755478408</v>
      </c>
      <c r="CM105" s="450">
        <v>0.47233810275490434</v>
      </c>
      <c r="CN105" s="450">
        <v>0.12062702755478408</v>
      </c>
      <c r="CO105" s="451">
        <v>6.1880430383100798E-3</v>
      </c>
      <c r="CP105" s="451">
        <v>6.1873251372381293E-3</v>
      </c>
      <c r="CQ105" s="451">
        <v>3.1111763679505166E-3</v>
      </c>
      <c r="CR105" s="451">
        <v>3.1108160606605735E-3</v>
      </c>
      <c r="CS105" s="451">
        <v>1.7629484611932056</v>
      </c>
      <c r="CT105" s="451">
        <v>1.7829188041085726</v>
      </c>
      <c r="CU105" s="234">
        <v>-1.9970342915367034E-2</v>
      </c>
      <c r="CX105" s="377">
        <v>97</v>
      </c>
      <c r="CY105" s="335">
        <f t="shared" si="647"/>
        <v>0.250724</v>
      </c>
      <c r="CZ105" s="338">
        <v>0.250724</v>
      </c>
      <c r="DA105" s="345">
        <f t="shared" si="497"/>
        <v>0.35621055082249475</v>
      </c>
      <c r="DB105" s="387">
        <f t="shared" si="498"/>
        <v>0.51608455773070072</v>
      </c>
      <c r="DC105" s="114">
        <f t="shared" si="522"/>
        <v>8.2160621432345593E-3</v>
      </c>
      <c r="DD105" s="378">
        <f t="shared" si="523"/>
        <v>1.0890266974346585E-2</v>
      </c>
      <c r="DE105" s="378">
        <f t="shared" si="648"/>
        <v>9.0151042421695565E-3</v>
      </c>
      <c r="DF105" s="340">
        <f t="shared" si="524"/>
        <v>2.8459426054401327E-3</v>
      </c>
      <c r="DG105" s="378">
        <f t="shared" si="525"/>
        <v>8.463977137033285E-3</v>
      </c>
      <c r="DH105" s="378">
        <f t="shared" si="649"/>
        <v>4.5245896753232538E-3</v>
      </c>
      <c r="DI105" s="340">
        <f>DI104+(DI108-DI98)/10</f>
        <v>0.72</v>
      </c>
      <c r="DJ105" s="349">
        <f t="shared" ref="DJ105" si="663">DJ104+(DJ108-DJ98)/10</f>
        <v>0.69</v>
      </c>
      <c r="DK105" s="350">
        <f t="shared" si="651"/>
        <v>0.71103611559998492</v>
      </c>
      <c r="DL105" s="345">
        <f t="shared" ref="DL105" si="664">DL104+(DL108-DL98)/10</f>
        <v>0.44</v>
      </c>
      <c r="DM105" s="349">
        <f t="shared" ref="DM105" si="665">DM104+(DM108-DM98)/10</f>
        <v>0.17</v>
      </c>
      <c r="DN105" s="396">
        <f t="shared" si="654"/>
        <v>0.35932504039986474</v>
      </c>
      <c r="DO105" s="335">
        <f t="shared" si="534"/>
        <v>0</v>
      </c>
      <c r="DP105" s="350">
        <f t="shared" si="535"/>
        <v>0</v>
      </c>
      <c r="DQ105" s="349">
        <f t="shared" si="655"/>
        <v>0</v>
      </c>
      <c r="DR105" s="335">
        <f t="shared" si="536"/>
        <v>0</v>
      </c>
      <c r="DS105" s="350">
        <f t="shared" si="537"/>
        <v>0</v>
      </c>
      <c r="DT105" s="349">
        <f t="shared" si="656"/>
        <v>0</v>
      </c>
      <c r="DU105" s="335">
        <f>DU104+(DU108-DU103)/5</f>
        <v>0.46399999999999997</v>
      </c>
      <c r="DV105" s="350">
        <f>DV104+(DV108-DV103)/5</f>
        <v>0.46500000000000008</v>
      </c>
      <c r="DW105" s="350">
        <f t="shared" si="657"/>
        <v>0.46429879614666725</v>
      </c>
      <c r="DX105" s="335">
        <f>DX104+(DX108-DX103)/5</f>
        <v>1</v>
      </c>
      <c r="DY105" s="350">
        <f>DY104+(DY108-DY103)/5</f>
        <v>0.96100000000000008</v>
      </c>
      <c r="DZ105" s="396">
        <f t="shared" si="658"/>
        <v>0.98834695027998054</v>
      </c>
      <c r="EA105" s="350">
        <f t="shared" si="510"/>
        <v>0</v>
      </c>
      <c r="EB105" s="350">
        <f t="shared" si="511"/>
        <v>0</v>
      </c>
      <c r="EC105" s="349">
        <f t="shared" si="659"/>
        <v>0</v>
      </c>
      <c r="ED105" s="335">
        <f t="shared" si="513"/>
        <v>5.1840163673829709E-3</v>
      </c>
      <c r="EE105" s="350">
        <f t="shared" si="514"/>
        <v>3.9342405173087291E-3</v>
      </c>
      <c r="EF105" s="387">
        <f t="shared" si="660"/>
        <v>4.8105881591831035E-3</v>
      </c>
      <c r="EG105" s="335">
        <f t="shared" si="516"/>
        <v>2.8459426054401327E-3</v>
      </c>
      <c r="EH105" s="350">
        <f t="shared" si="517"/>
        <v>8.463977137033285E-3</v>
      </c>
      <c r="EI105" s="387">
        <f t="shared" si="661"/>
        <v>4.5245896753232538E-3</v>
      </c>
      <c r="EJ105" s="335">
        <f t="shared" si="519"/>
        <v>8.8310982878891942E-4</v>
      </c>
      <c r="EK105" s="350">
        <f t="shared" si="520"/>
        <v>0</v>
      </c>
      <c r="EL105" s="387">
        <f t="shared" si="662"/>
        <v>6.1924001486288812E-4</v>
      </c>
      <c r="EO105" s="454" t="s">
        <v>160</v>
      </c>
      <c r="EP105" s="452" t="s">
        <v>159</v>
      </c>
      <c r="EQ105" s="452" t="s">
        <v>380</v>
      </c>
      <c r="ER105" s="452" t="s">
        <v>79</v>
      </c>
      <c r="ES105" s="452" t="s">
        <v>81</v>
      </c>
      <c r="ET105" s="452" t="s">
        <v>303</v>
      </c>
      <c r="EU105" s="452" t="s">
        <v>163</v>
      </c>
      <c r="EV105" s="321" t="s">
        <v>16</v>
      </c>
      <c r="EW105" s="457" t="s">
        <v>381</v>
      </c>
    </row>
    <row r="106" spans="2:162" ht="15" customHeight="1" x14ac:dyDescent="0.2">
      <c r="H106" t="s">
        <v>399</v>
      </c>
      <c r="Q106" s="10">
        <v>100</v>
      </c>
      <c r="R106" s="10">
        <f t="shared" si="636"/>
        <v>145</v>
      </c>
      <c r="S106" s="309" t="e">
        <f t="shared" si="642"/>
        <v>#N/A</v>
      </c>
      <c r="T106" s="309" t="e">
        <f t="shared" si="460"/>
        <v>#N/A</v>
      </c>
      <c r="U106" s="309" t="e">
        <f t="shared" si="461"/>
        <v>#N/A</v>
      </c>
      <c r="V106" s="235" t="e">
        <f t="shared" si="462"/>
        <v>#N/A</v>
      </c>
      <c r="W106" s="235" t="e">
        <f t="shared" si="463"/>
        <v>#N/A</v>
      </c>
      <c r="X106" s="309" t="e">
        <f t="shared" si="464"/>
        <v>#N/A</v>
      </c>
      <c r="Y106" s="235" t="e">
        <f t="shared" si="465"/>
        <v>#N/A</v>
      </c>
      <c r="Z106" s="235" t="e">
        <f t="shared" si="466"/>
        <v>#N/A</v>
      </c>
      <c r="AA106" s="235" t="e">
        <f t="shared" si="467"/>
        <v>#N/A</v>
      </c>
      <c r="AB106" s="235" t="e">
        <f t="shared" si="468"/>
        <v>#N/A</v>
      </c>
      <c r="AC106" s="235" t="e">
        <f t="shared" si="469"/>
        <v>#N/A</v>
      </c>
      <c r="AD106" s="235" t="e">
        <f t="shared" si="470"/>
        <v>#N/A</v>
      </c>
      <c r="AE106" s="235" t="e">
        <f t="shared" si="471"/>
        <v>#N/A</v>
      </c>
      <c r="AF106" s="101" t="e">
        <f t="shared" si="432"/>
        <v>#N/A</v>
      </c>
      <c r="AG106" s="101" t="e">
        <f t="shared" si="433"/>
        <v>#N/A</v>
      </c>
      <c r="AH106" s="101" t="e">
        <f t="shared" si="434"/>
        <v>#N/A</v>
      </c>
      <c r="AI106" s="101" t="e">
        <f t="shared" si="435"/>
        <v>#N/A</v>
      </c>
      <c r="AJ106" s="101" t="e">
        <f t="shared" si="436"/>
        <v>#N/A</v>
      </c>
      <c r="AK106" s="101" t="e">
        <f t="shared" si="472"/>
        <v>#N/A</v>
      </c>
      <c r="AL106" s="235" t="e">
        <f t="shared" si="473"/>
        <v>#N/A</v>
      </c>
      <c r="AM106" s="235" t="e">
        <f t="shared" si="437"/>
        <v>#N/A</v>
      </c>
      <c r="AN106" s="235" t="e">
        <f t="shared" si="438"/>
        <v>#N/A</v>
      </c>
      <c r="AO106" s="235" t="e">
        <f t="shared" si="439"/>
        <v>#N/A</v>
      </c>
      <c r="AP106" s="235" t="e">
        <f t="shared" si="440"/>
        <v>#N/A</v>
      </c>
      <c r="AQ106" s="235" t="e">
        <f t="shared" si="441"/>
        <v>#N/A</v>
      </c>
      <c r="AR106" s="101" t="e">
        <f t="shared" si="474"/>
        <v>#N/A</v>
      </c>
      <c r="AS106" s="235" t="e">
        <f t="shared" si="475"/>
        <v>#N/A</v>
      </c>
      <c r="AT106" s="235" t="e">
        <f t="shared" si="637"/>
        <v>#N/A</v>
      </c>
      <c r="AV106" s="10">
        <v>100</v>
      </c>
      <c r="AW106" s="10">
        <f t="shared" si="476"/>
        <v>145</v>
      </c>
      <c r="AX106" s="309" t="e">
        <f t="shared" si="643"/>
        <v>#N/A</v>
      </c>
      <c r="AY106" s="309" t="e">
        <f t="shared" si="478"/>
        <v>#N/A</v>
      </c>
      <c r="AZ106" s="309" t="e">
        <f t="shared" si="479"/>
        <v>#N/A</v>
      </c>
      <c r="BA106" s="235" t="e">
        <f t="shared" si="480"/>
        <v>#N/A</v>
      </c>
      <c r="BB106" s="235" t="e">
        <f t="shared" si="481"/>
        <v>#N/A</v>
      </c>
      <c r="BC106" s="309" t="e">
        <f t="shared" si="482"/>
        <v>#N/A</v>
      </c>
      <c r="BD106" s="235" t="e">
        <f t="shared" si="483"/>
        <v>#N/A</v>
      </c>
      <c r="BE106" s="235" t="e">
        <f t="shared" si="484"/>
        <v>#N/A</v>
      </c>
      <c r="BF106" s="235" t="e">
        <f t="shared" si="485"/>
        <v>#N/A</v>
      </c>
      <c r="BG106" s="235" t="e">
        <f t="shared" si="486"/>
        <v>#N/A</v>
      </c>
      <c r="BH106" s="235" t="e">
        <f t="shared" si="487"/>
        <v>#N/A</v>
      </c>
      <c r="BI106" s="235" t="e">
        <f t="shared" si="488"/>
        <v>#N/A</v>
      </c>
      <c r="BJ106" s="235" t="e">
        <f t="shared" si="489"/>
        <v>#N/A</v>
      </c>
      <c r="BK106" s="101" t="e">
        <f t="shared" si="443"/>
        <v>#N/A</v>
      </c>
      <c r="BL106" s="101" t="e">
        <f t="shared" si="444"/>
        <v>#N/A</v>
      </c>
      <c r="BM106" s="101" t="e">
        <f t="shared" si="445"/>
        <v>#N/A</v>
      </c>
      <c r="BN106" s="101" t="e">
        <f t="shared" si="446"/>
        <v>#N/A</v>
      </c>
      <c r="BO106" s="101" t="e">
        <f t="shared" si="447"/>
        <v>#N/A</v>
      </c>
      <c r="BP106" s="101" t="e">
        <f t="shared" si="490"/>
        <v>#N/A</v>
      </c>
      <c r="BQ106" s="235" t="e">
        <f t="shared" si="448"/>
        <v>#N/A</v>
      </c>
      <c r="BR106" s="235" t="e">
        <f t="shared" si="449"/>
        <v>#N/A</v>
      </c>
      <c r="BS106" s="235" t="e">
        <f t="shared" si="450"/>
        <v>#N/A</v>
      </c>
      <c r="BT106" s="235" t="e">
        <f t="shared" si="451"/>
        <v>#N/A</v>
      </c>
      <c r="BU106" s="235" t="e">
        <f t="shared" si="452"/>
        <v>#N/A</v>
      </c>
      <c r="BV106" s="235" t="e">
        <f t="shared" si="453"/>
        <v>#N/A</v>
      </c>
      <c r="BW106" s="101" t="e">
        <f t="shared" si="491"/>
        <v>#N/A</v>
      </c>
      <c r="BX106" s="235" t="e">
        <f t="shared" si="492"/>
        <v>#N/A</v>
      </c>
      <c r="BY106" s="235" t="e">
        <f t="shared" si="638"/>
        <v>#N/A</v>
      </c>
      <c r="CA106" s="23"/>
      <c r="CJ106" s="10">
        <v>98</v>
      </c>
      <c r="CK106" s="450">
        <v>0.47233810275490434</v>
      </c>
      <c r="CL106" s="450">
        <v>0.12062702755478408</v>
      </c>
      <c r="CM106" s="450">
        <v>0.47233810275490434</v>
      </c>
      <c r="CN106" s="450">
        <v>0.12062702755478408</v>
      </c>
      <c r="CO106" s="451">
        <v>3.6088579552944339E-3</v>
      </c>
      <c r="CP106" s="451">
        <v>3.6088579552944339E-3</v>
      </c>
      <c r="CQ106" s="451">
        <v>1.8144091460717104E-3</v>
      </c>
      <c r="CR106" s="451">
        <v>1.8144091460717104E-3</v>
      </c>
      <c r="CS106" s="451">
        <v>1.3996445113794258</v>
      </c>
      <c r="CT106" s="451">
        <v>1.4196165719720668</v>
      </c>
      <c r="CU106" s="234">
        <v>-1.9972060592641006E-2</v>
      </c>
      <c r="CX106" s="377">
        <v>98</v>
      </c>
      <c r="CY106" s="335">
        <f t="shared" si="647"/>
        <v>0.27182200000000001</v>
      </c>
      <c r="CZ106" s="338">
        <v>0.27182200000000001</v>
      </c>
      <c r="DA106" s="345">
        <f t="shared" si="497"/>
        <v>0.35621055082249475</v>
      </c>
      <c r="DB106" s="387">
        <f t="shared" si="498"/>
        <v>0.51608455773070072</v>
      </c>
      <c r="DC106" s="114">
        <f t="shared" si="522"/>
        <v>8.2160621432345593E-3</v>
      </c>
      <c r="DD106" s="378">
        <f t="shared" si="523"/>
        <v>1.0890266974346585E-2</v>
      </c>
      <c r="DE106" s="378">
        <f t="shared" si="648"/>
        <v>9.0151042421695565E-3</v>
      </c>
      <c r="DF106" s="340">
        <f t="shared" si="524"/>
        <v>2.8459426054401327E-3</v>
      </c>
      <c r="DG106" s="378">
        <f t="shared" si="525"/>
        <v>8.463977137033285E-3</v>
      </c>
      <c r="DH106" s="378">
        <f t="shared" si="649"/>
        <v>4.5245896753232538E-3</v>
      </c>
      <c r="DI106" s="340">
        <f>DI105+(DI108-DI98)/10</f>
        <v>0.72</v>
      </c>
      <c r="DJ106" s="349">
        <f t="shared" ref="DJ106" si="666">DJ105+(DJ108-DJ98)/10</f>
        <v>0.69</v>
      </c>
      <c r="DK106" s="350">
        <f t="shared" si="651"/>
        <v>0.71103611559998492</v>
      </c>
      <c r="DL106" s="345">
        <f t="shared" ref="DL106" si="667">DL105+(DL108-DL98)/10</f>
        <v>0.44</v>
      </c>
      <c r="DM106" s="349">
        <f t="shared" ref="DM106" si="668">DM105+(DM108-DM98)/10</f>
        <v>0.17</v>
      </c>
      <c r="DN106" s="396">
        <f t="shared" si="654"/>
        <v>0.35932504039986474</v>
      </c>
      <c r="DO106" s="335">
        <f t="shared" si="534"/>
        <v>0</v>
      </c>
      <c r="DP106" s="350">
        <f t="shared" si="535"/>
        <v>0</v>
      </c>
      <c r="DQ106" s="349">
        <f t="shared" si="655"/>
        <v>0</v>
      </c>
      <c r="DR106" s="335">
        <f t="shared" si="536"/>
        <v>0</v>
      </c>
      <c r="DS106" s="350">
        <f t="shared" si="537"/>
        <v>0</v>
      </c>
      <c r="DT106" s="349">
        <f t="shared" si="656"/>
        <v>0</v>
      </c>
      <c r="DU106" s="335">
        <f>DU105+(DU108-DU103)/5</f>
        <v>0.46399999999999997</v>
      </c>
      <c r="DV106" s="350">
        <f>DV105+(DV108-DV103)/5</f>
        <v>0.46500000000000008</v>
      </c>
      <c r="DW106" s="350">
        <f t="shared" si="657"/>
        <v>0.46429879614666725</v>
      </c>
      <c r="DX106" s="335">
        <f>DX105+(DX108-DX103)/5</f>
        <v>1</v>
      </c>
      <c r="DY106" s="350">
        <f>DY105+(DY108-DY103)/5</f>
        <v>0.96100000000000008</v>
      </c>
      <c r="DZ106" s="396">
        <f t="shared" si="658"/>
        <v>0.98834695027998054</v>
      </c>
      <c r="EA106" s="350">
        <f t="shared" si="510"/>
        <v>0</v>
      </c>
      <c r="EB106" s="350">
        <f t="shared" si="511"/>
        <v>0</v>
      </c>
      <c r="EC106" s="349">
        <f t="shared" si="659"/>
        <v>0</v>
      </c>
      <c r="ED106" s="335">
        <f t="shared" si="513"/>
        <v>5.1840163673829709E-3</v>
      </c>
      <c r="EE106" s="350">
        <f t="shared" si="514"/>
        <v>3.9342405173087291E-3</v>
      </c>
      <c r="EF106" s="387">
        <f t="shared" si="660"/>
        <v>4.8105881591831035E-3</v>
      </c>
      <c r="EG106" s="335">
        <f t="shared" si="516"/>
        <v>2.8459426054401327E-3</v>
      </c>
      <c r="EH106" s="350">
        <f t="shared" si="517"/>
        <v>8.463977137033285E-3</v>
      </c>
      <c r="EI106" s="387">
        <f t="shared" si="661"/>
        <v>4.5245896753232538E-3</v>
      </c>
      <c r="EJ106" s="335">
        <f t="shared" si="519"/>
        <v>8.8310982878891942E-4</v>
      </c>
      <c r="EK106" s="350">
        <f t="shared" si="520"/>
        <v>0</v>
      </c>
      <c r="EL106" s="387">
        <f t="shared" si="662"/>
        <v>6.1924001486288812E-4</v>
      </c>
      <c r="EO106" s="454">
        <v>0</v>
      </c>
      <c r="EP106" s="452"/>
      <c r="EQ106" s="458">
        <v>0</v>
      </c>
      <c r="ER106" s="458">
        <v>0</v>
      </c>
      <c r="ES106" s="458">
        <v>0</v>
      </c>
      <c r="ET106" s="54" t="e">
        <f>(LN(ES106)-LN(ER106))/(2*z)</f>
        <v>#NUM!</v>
      </c>
      <c r="EU106" s="458">
        <f t="shared" ref="EU106:EU116" ca="1" si="669">IFERROR(_xlfn.LOGNORM.INV(RAND(),LN(EQ106)-(ET106^2)/2,ET106),EQ106)</f>
        <v>0</v>
      </c>
      <c r="EV106" s="458">
        <f t="shared" ref="EV106:EV116" si="670">IF(psa,EU106,EQ106)</f>
        <v>0</v>
      </c>
      <c r="EW106" s="396">
        <f>1-EXP(-(EV106/1000))</f>
        <v>0</v>
      </c>
    </row>
    <row r="107" spans="2:162" ht="15" customHeight="1" x14ac:dyDescent="0.2">
      <c r="B107" s="15" t="s">
        <v>386</v>
      </c>
      <c r="D107" s="255"/>
      <c r="H107" t="s">
        <v>400</v>
      </c>
      <c r="AD107" s="235"/>
      <c r="AE107" s="235"/>
      <c r="AF107" s="235"/>
      <c r="AM107" s="235"/>
      <c r="AN107" s="235"/>
      <c r="AR107" s="101">
        <f t="shared" si="474"/>
        <v>0</v>
      </c>
      <c r="AS107" s="235">
        <f t="shared" si="475"/>
        <v>0</v>
      </c>
      <c r="AT107" s="235">
        <f t="shared" si="637"/>
        <v>0</v>
      </c>
      <c r="BW107" s="101">
        <f t="shared" si="491"/>
        <v>0</v>
      </c>
      <c r="BX107" s="235">
        <f t="shared" si="492"/>
        <v>0</v>
      </c>
      <c r="BY107" s="235">
        <f t="shared" si="638"/>
        <v>0</v>
      </c>
      <c r="CA107" s="23"/>
      <c r="CJ107" s="10">
        <v>99</v>
      </c>
      <c r="CK107" s="450">
        <v>0.47233810275490434</v>
      </c>
      <c r="CL107" s="450">
        <v>0.12062702755478408</v>
      </c>
      <c r="CM107" s="450">
        <v>0.47233810275490434</v>
      </c>
      <c r="CN107" s="450">
        <v>0.12062702755478408</v>
      </c>
      <c r="CO107" s="451">
        <v>0</v>
      </c>
      <c r="CP107" s="451">
        <v>0</v>
      </c>
      <c r="CQ107" s="451">
        <v>0</v>
      </c>
      <c r="CR107" s="451">
        <v>0</v>
      </c>
      <c r="CS107" s="451">
        <v>0.85044345810407718</v>
      </c>
      <c r="CT107" s="451">
        <v>0.87034942407262661</v>
      </c>
      <c r="CU107" s="234">
        <v>-1.9905965968549433E-2</v>
      </c>
      <c r="CX107" s="377">
        <v>99</v>
      </c>
      <c r="CY107" s="335">
        <f t="shared" si="647"/>
        <v>0.29344300000000001</v>
      </c>
      <c r="CZ107" s="338">
        <v>0.29344300000000001</v>
      </c>
      <c r="DA107" s="345">
        <f t="shared" si="497"/>
        <v>0.35621055082249475</v>
      </c>
      <c r="DB107" s="387">
        <f t="shared" si="498"/>
        <v>0.51608455773070072</v>
      </c>
      <c r="DC107" s="114">
        <f t="shared" si="522"/>
        <v>8.2160621432345593E-3</v>
      </c>
      <c r="DD107" s="378">
        <f t="shared" si="523"/>
        <v>1.0890266974346585E-2</v>
      </c>
      <c r="DE107" s="378">
        <f t="shared" si="648"/>
        <v>9.0151042421695565E-3</v>
      </c>
      <c r="DF107" s="340">
        <f t="shared" si="524"/>
        <v>2.8459426054401327E-3</v>
      </c>
      <c r="DG107" s="378">
        <f t="shared" si="525"/>
        <v>8.463977137033285E-3</v>
      </c>
      <c r="DH107" s="378">
        <f t="shared" si="649"/>
        <v>4.5245896753232538E-3</v>
      </c>
      <c r="DI107" s="340">
        <f>DI106+(DI108-DI98)/10</f>
        <v>0.72</v>
      </c>
      <c r="DJ107" s="349">
        <f t="shared" ref="DJ107" si="671">DJ106+(DJ108-DJ98)/10</f>
        <v>0.69</v>
      </c>
      <c r="DK107" s="350">
        <f t="shared" si="651"/>
        <v>0.71103611559998492</v>
      </c>
      <c r="DL107" s="345">
        <f t="shared" ref="DL107" si="672">DL106+(DL108-DL98)/10</f>
        <v>0.44</v>
      </c>
      <c r="DM107" s="349">
        <f t="shared" ref="DM107" si="673">DM106+(DM108-DM98)/10</f>
        <v>0.17</v>
      </c>
      <c r="DN107" s="396">
        <f t="shared" si="654"/>
        <v>0.35932504039986474</v>
      </c>
      <c r="DO107" s="335">
        <f t="shared" si="534"/>
        <v>0</v>
      </c>
      <c r="DP107" s="350">
        <f t="shared" si="535"/>
        <v>0</v>
      </c>
      <c r="DQ107" s="349">
        <f t="shared" si="655"/>
        <v>0</v>
      </c>
      <c r="DR107" s="335">
        <f t="shared" si="536"/>
        <v>0</v>
      </c>
      <c r="DS107" s="350">
        <f t="shared" si="537"/>
        <v>0</v>
      </c>
      <c r="DT107" s="349">
        <f t="shared" si="656"/>
        <v>0</v>
      </c>
      <c r="DU107" s="335">
        <f>DU106+(DU108-DU103)/5</f>
        <v>0.46399999999999997</v>
      </c>
      <c r="DV107" s="350">
        <f>DV106+(DV108-DV103)/5</f>
        <v>0.46500000000000008</v>
      </c>
      <c r="DW107" s="350">
        <f t="shared" si="657"/>
        <v>0.46429879614666725</v>
      </c>
      <c r="DX107" s="335">
        <f>DX106+(DX108-DX103)/5</f>
        <v>1</v>
      </c>
      <c r="DY107" s="350">
        <f>DY106+(DY108-DY103)/5</f>
        <v>0.96100000000000008</v>
      </c>
      <c r="DZ107" s="396">
        <f t="shared" si="658"/>
        <v>0.98834695027998054</v>
      </c>
      <c r="EA107" s="350">
        <f t="shared" si="510"/>
        <v>0</v>
      </c>
      <c r="EB107" s="350">
        <f t="shared" si="511"/>
        <v>0</v>
      </c>
      <c r="EC107" s="349">
        <f t="shared" si="659"/>
        <v>0</v>
      </c>
      <c r="ED107" s="335">
        <f t="shared" si="513"/>
        <v>5.1840163673829709E-3</v>
      </c>
      <c r="EE107" s="350">
        <f t="shared" si="514"/>
        <v>3.9342405173087291E-3</v>
      </c>
      <c r="EF107" s="387">
        <f t="shared" si="660"/>
        <v>4.8105881591831035E-3</v>
      </c>
      <c r="EG107" s="335">
        <f t="shared" si="516"/>
        <v>2.8459426054401327E-3</v>
      </c>
      <c r="EH107" s="350">
        <f t="shared" si="517"/>
        <v>8.463977137033285E-3</v>
      </c>
      <c r="EI107" s="387">
        <f t="shared" si="661"/>
        <v>4.5245896753232538E-3</v>
      </c>
      <c r="EJ107" s="335">
        <f t="shared" si="519"/>
        <v>8.8310982878891942E-4</v>
      </c>
      <c r="EK107" s="350">
        <f t="shared" si="520"/>
        <v>0</v>
      </c>
      <c r="EL107" s="387">
        <f t="shared" si="662"/>
        <v>6.1924001486288812E-4</v>
      </c>
      <c r="EO107" s="454">
        <v>10</v>
      </c>
      <c r="EP107" s="452"/>
      <c r="EQ107" s="458">
        <v>0</v>
      </c>
      <c r="ER107" s="458">
        <v>0</v>
      </c>
      <c r="ES107" s="458">
        <v>0</v>
      </c>
      <c r="ET107" s="347" t="e">
        <f t="shared" ref="ET107:ET116" si="674">(LN(ES107)-LN(ER107))/(2*z)</f>
        <v>#NUM!</v>
      </c>
      <c r="EU107" s="458">
        <f t="shared" ca="1" si="669"/>
        <v>0</v>
      </c>
      <c r="EV107" s="458">
        <f t="shared" si="670"/>
        <v>0</v>
      </c>
      <c r="EW107" s="396">
        <f t="shared" ref="EW107:EW116" si="675">1-EXP(-(EV107/1000))</f>
        <v>0</v>
      </c>
    </row>
    <row r="108" spans="2:162" ht="15" customHeight="1" x14ac:dyDescent="0.2">
      <c r="B108" s="15" t="s">
        <v>387</v>
      </c>
      <c r="D108" s="255"/>
      <c r="I108" t="s">
        <v>401</v>
      </c>
      <c r="AE108" s="235"/>
      <c r="AF108" s="235"/>
      <c r="AM108" s="235"/>
      <c r="AN108" s="235"/>
      <c r="CA108" s="23"/>
      <c r="CJ108" s="10">
        <v>100</v>
      </c>
      <c r="CK108" s="450">
        <v>0.47233810275490434</v>
      </c>
      <c r="CL108" s="450">
        <v>0.12062702755478408</v>
      </c>
      <c r="CM108" s="450">
        <v>0.47233810275490434</v>
      </c>
      <c r="CN108" s="450">
        <v>0.12062702755478408</v>
      </c>
      <c r="CO108" s="451">
        <v>0</v>
      </c>
      <c r="CP108" s="451">
        <v>0</v>
      </c>
      <c r="CQ108" s="451">
        <v>0</v>
      </c>
      <c r="CR108" s="451">
        <v>0</v>
      </c>
      <c r="CS108" s="451">
        <v>0.85044345810407718</v>
      </c>
      <c r="CT108" s="451">
        <v>0.87035174348451561</v>
      </c>
      <c r="CU108" s="234">
        <v>-1.9908285380438429E-2</v>
      </c>
      <c r="CX108" s="379">
        <v>100</v>
      </c>
      <c r="CY108" s="380">
        <f t="shared" si="647"/>
        <v>1</v>
      </c>
      <c r="CZ108" s="381">
        <v>1</v>
      </c>
      <c r="DA108" s="385">
        <v>1</v>
      </c>
      <c r="DB108" s="389">
        <v>1</v>
      </c>
      <c r="DC108" s="195">
        <f t="shared" si="522"/>
        <v>0</v>
      </c>
      <c r="DD108" s="384">
        <f t="shared" si="523"/>
        <v>0</v>
      </c>
      <c r="DE108" s="384">
        <f t="shared" si="648"/>
        <v>0</v>
      </c>
      <c r="DF108" s="401">
        <f t="shared" si="524"/>
        <v>0</v>
      </c>
      <c r="DG108" s="384">
        <f t="shared" si="525"/>
        <v>0</v>
      </c>
      <c r="DH108" s="384">
        <f t="shared" si="649"/>
        <v>0</v>
      </c>
      <c r="DI108" s="401">
        <f>VLOOKUP($CX108,$EO$8:$EW$18,9,FALSE)</f>
        <v>0.72</v>
      </c>
      <c r="DJ108" s="382">
        <f>VLOOKUP($CX108,$EO$22:$EW$32,9,FALSE)</f>
        <v>0.69</v>
      </c>
      <c r="DK108" s="356">
        <f t="shared" si="651"/>
        <v>0.71103611559998492</v>
      </c>
      <c r="DL108" s="385">
        <f>VLOOKUP($CX108,$EO$36:$EW$46,9,FALSE)</f>
        <v>0.44</v>
      </c>
      <c r="DM108" s="382">
        <f>VLOOKUP($CX108,$EO$50:$EW$60,9,FALSE)</f>
        <v>0.17</v>
      </c>
      <c r="DN108" s="399">
        <f t="shared" si="654"/>
        <v>0.35932504039986474</v>
      </c>
      <c r="DO108" s="380">
        <f t="shared" si="534"/>
        <v>0</v>
      </c>
      <c r="DP108" s="356">
        <f t="shared" si="535"/>
        <v>0</v>
      </c>
      <c r="DQ108" s="382">
        <f t="shared" si="655"/>
        <v>0</v>
      </c>
      <c r="DR108" s="380">
        <f t="shared" si="536"/>
        <v>0</v>
      </c>
      <c r="DS108" s="356">
        <f t="shared" si="537"/>
        <v>0</v>
      </c>
      <c r="DT108" s="382">
        <f t="shared" si="656"/>
        <v>0</v>
      </c>
      <c r="DU108" s="380">
        <f>VLOOKUP($CX108,$EY$8:$FF$28,8,FALSE)</f>
        <v>0.46399999999999997</v>
      </c>
      <c r="DV108" s="356">
        <f>VLOOKUP($CX108,$EY$32:$FF$52,8,FALSE)</f>
        <v>0.46500000000000008</v>
      </c>
      <c r="DW108" s="356">
        <f t="shared" si="657"/>
        <v>0.46429879614666725</v>
      </c>
      <c r="DX108" s="380">
        <f>VLOOKUP($CX108,$EY$56:$FF$76,8,FALSE)</f>
        <v>1</v>
      </c>
      <c r="DY108" s="356">
        <f>VLOOKUP($CX108,$EY$80:$FF$100,8,FALSE)</f>
        <v>0.96100000000000008</v>
      </c>
      <c r="DZ108" s="399">
        <f t="shared" si="658"/>
        <v>0.98834695027998054</v>
      </c>
      <c r="EA108" s="356">
        <f t="shared" si="510"/>
        <v>0</v>
      </c>
      <c r="EB108" s="356">
        <f t="shared" si="511"/>
        <v>0</v>
      </c>
      <c r="EC108" s="382">
        <f t="shared" si="659"/>
        <v>0</v>
      </c>
      <c r="ED108" s="380">
        <f t="shared" si="513"/>
        <v>0</v>
      </c>
      <c r="EE108" s="356">
        <f t="shared" si="514"/>
        <v>0</v>
      </c>
      <c r="EF108" s="389">
        <f t="shared" si="660"/>
        <v>0</v>
      </c>
      <c r="EG108" s="380">
        <f t="shared" si="516"/>
        <v>0</v>
      </c>
      <c r="EH108" s="356">
        <f t="shared" si="517"/>
        <v>0</v>
      </c>
      <c r="EI108" s="389">
        <f t="shared" si="661"/>
        <v>0</v>
      </c>
      <c r="EJ108" s="380">
        <f t="shared" si="519"/>
        <v>0</v>
      </c>
      <c r="EK108" s="356">
        <f t="shared" si="520"/>
        <v>0</v>
      </c>
      <c r="EL108" s="389">
        <f t="shared" si="662"/>
        <v>0</v>
      </c>
      <c r="EO108" s="454">
        <v>20</v>
      </c>
      <c r="EP108" s="452" t="s">
        <v>196</v>
      </c>
      <c r="EQ108" s="458">
        <v>0</v>
      </c>
      <c r="ER108" s="458">
        <v>0</v>
      </c>
      <c r="ES108" s="458">
        <v>0</v>
      </c>
      <c r="ET108" s="347" t="e">
        <f t="shared" si="674"/>
        <v>#NUM!</v>
      </c>
      <c r="EU108" s="458">
        <f t="shared" ca="1" si="669"/>
        <v>0</v>
      </c>
      <c r="EV108" s="458">
        <f t="shared" si="670"/>
        <v>0</v>
      </c>
      <c r="EW108" s="396">
        <f t="shared" si="675"/>
        <v>0</v>
      </c>
    </row>
    <row r="109" spans="2:162" ht="15" customHeight="1" x14ac:dyDescent="0.2">
      <c r="AD109" s="235"/>
      <c r="AE109" s="235"/>
      <c r="AF109" s="235"/>
      <c r="AM109" s="235"/>
      <c r="AN109" s="235"/>
      <c r="EO109" s="454">
        <v>30</v>
      </c>
      <c r="EP109" s="452" t="s">
        <v>197</v>
      </c>
      <c r="EQ109" s="458">
        <v>0</v>
      </c>
      <c r="ER109" s="458">
        <v>0</v>
      </c>
      <c r="ES109" s="458">
        <v>0</v>
      </c>
      <c r="ET109" s="347" t="e">
        <f t="shared" si="674"/>
        <v>#NUM!</v>
      </c>
      <c r="EU109" s="458">
        <f t="shared" ca="1" si="669"/>
        <v>0</v>
      </c>
      <c r="EV109" s="458">
        <f t="shared" si="670"/>
        <v>0</v>
      </c>
      <c r="EW109" s="396">
        <f t="shared" si="675"/>
        <v>0</v>
      </c>
    </row>
    <row r="110" spans="2:162" ht="15" customHeight="1" x14ac:dyDescent="0.2">
      <c r="S110" s="314"/>
      <c r="T110" s="314"/>
      <c r="AD110" s="235"/>
      <c r="AE110" s="235"/>
      <c r="AF110" s="235"/>
      <c r="AM110" s="235"/>
      <c r="AN110" s="235"/>
      <c r="BC110" s="314"/>
      <c r="EO110" s="454">
        <v>40</v>
      </c>
      <c r="EP110" s="452" t="s">
        <v>198</v>
      </c>
      <c r="EQ110" s="458">
        <v>9.9999999999999995E-7</v>
      </c>
      <c r="ER110" s="458">
        <v>1E-10</v>
      </c>
      <c r="ES110" s="458">
        <v>2</v>
      </c>
      <c r="ET110" s="347">
        <f t="shared" si="674"/>
        <v>6.0508760103738739</v>
      </c>
      <c r="EU110" s="458">
        <f t="shared" ca="1" si="669"/>
        <v>7.4920478235369576E-14</v>
      </c>
      <c r="EV110" s="458">
        <f t="shared" si="670"/>
        <v>9.9999999999999995E-7</v>
      </c>
      <c r="EW110" s="396">
        <f t="shared" si="675"/>
        <v>9.9999997171806854E-10</v>
      </c>
    </row>
    <row r="111" spans="2:162" ht="15" customHeight="1" x14ac:dyDescent="0.2">
      <c r="S111" s="314"/>
      <c r="AE111" s="235"/>
      <c r="AF111" s="235"/>
      <c r="AM111" s="235"/>
      <c r="AN111" s="235"/>
      <c r="EO111" s="454">
        <v>50</v>
      </c>
      <c r="EP111" s="452" t="s">
        <v>199</v>
      </c>
      <c r="EQ111" s="458">
        <v>9.9999999999999995E-7</v>
      </c>
      <c r="ER111" s="458">
        <v>1E-10</v>
      </c>
      <c r="ES111" s="458">
        <v>2</v>
      </c>
      <c r="ET111" s="347">
        <f t="shared" si="674"/>
        <v>6.0508760103738739</v>
      </c>
      <c r="EU111" s="458">
        <f t="shared" ca="1" si="669"/>
        <v>1.7083740725427502E-14</v>
      </c>
      <c r="EV111" s="458">
        <f t="shared" si="670"/>
        <v>9.9999999999999995E-7</v>
      </c>
      <c r="EW111" s="396">
        <f t="shared" si="675"/>
        <v>9.9999997171806854E-10</v>
      </c>
    </row>
    <row r="112" spans="2:162" ht="15" customHeight="1" x14ac:dyDescent="0.2">
      <c r="S112" s="314"/>
      <c r="AD112" s="235"/>
      <c r="AE112" s="235"/>
      <c r="AF112" s="235"/>
      <c r="AM112" s="235"/>
      <c r="AN112" s="235"/>
      <c r="EO112" s="454">
        <v>60</v>
      </c>
      <c r="EP112" s="452" t="s">
        <v>200</v>
      </c>
      <c r="EQ112" s="458">
        <v>7</v>
      </c>
      <c r="ER112" s="458">
        <v>4</v>
      </c>
      <c r="ES112" s="458">
        <v>11</v>
      </c>
      <c r="ET112" s="347">
        <f t="shared" si="674"/>
        <v>0.25806619908780448</v>
      </c>
      <c r="EU112" s="458">
        <f t="shared" ca="1" si="669"/>
        <v>9.7207500424630329</v>
      </c>
      <c r="EV112" s="458">
        <f t="shared" si="670"/>
        <v>7</v>
      </c>
      <c r="EW112" s="396">
        <f t="shared" si="675"/>
        <v>6.9755570667648925E-3</v>
      </c>
    </row>
    <row r="113" spans="19:153" ht="15" customHeight="1" x14ac:dyDescent="0.2">
      <c r="S113" s="314"/>
      <c r="AD113" s="235"/>
      <c r="AE113" s="235"/>
      <c r="AF113" s="235"/>
      <c r="AM113" s="235"/>
      <c r="AN113" s="235"/>
      <c r="EO113" s="454">
        <v>70</v>
      </c>
      <c r="EP113" s="452" t="s">
        <v>201</v>
      </c>
      <c r="EQ113" s="458">
        <v>15</v>
      </c>
      <c r="ER113" s="458">
        <v>10</v>
      </c>
      <c r="ES113" s="458">
        <v>23</v>
      </c>
      <c r="ET113" s="347">
        <f t="shared" si="674"/>
        <v>0.2124807214584005</v>
      </c>
      <c r="EU113" s="458">
        <f t="shared" ca="1" si="669"/>
        <v>11.311720488985729</v>
      </c>
      <c r="EV113" s="458">
        <f t="shared" si="670"/>
        <v>15</v>
      </c>
      <c r="EW113" s="396">
        <f t="shared" si="675"/>
        <v>1.4888060396937353E-2</v>
      </c>
    </row>
    <row r="114" spans="19:153" ht="15" customHeight="1" x14ac:dyDescent="0.2">
      <c r="S114" s="314"/>
      <c r="AE114" s="235"/>
      <c r="AF114" s="235"/>
      <c r="AM114" s="235"/>
      <c r="AN114" s="235"/>
      <c r="EO114" s="454">
        <v>80</v>
      </c>
      <c r="EP114" s="452" t="s">
        <v>202</v>
      </c>
      <c r="EQ114" s="458">
        <v>17</v>
      </c>
      <c r="ER114" s="458">
        <v>11</v>
      </c>
      <c r="ES114" s="458">
        <v>25</v>
      </c>
      <c r="ET114" s="347">
        <f t="shared" si="674"/>
        <v>0.20943766276972944</v>
      </c>
      <c r="EU114" s="458">
        <f t="shared" ca="1" si="669"/>
        <v>18.949550552683384</v>
      </c>
      <c r="EV114" s="458">
        <f t="shared" si="670"/>
        <v>17</v>
      </c>
      <c r="EW114" s="396">
        <f t="shared" si="675"/>
        <v>1.6856315365090357E-2</v>
      </c>
    </row>
    <row r="115" spans="19:153" ht="15" customHeight="1" x14ac:dyDescent="0.2">
      <c r="S115" s="314"/>
      <c r="AD115" s="235"/>
      <c r="AE115" s="235"/>
      <c r="AF115" s="235"/>
      <c r="AM115" s="235"/>
      <c r="AN115" s="235"/>
      <c r="AO115" s="234"/>
      <c r="AR115" s="234"/>
      <c r="EO115" s="454">
        <v>90</v>
      </c>
      <c r="EP115" s="452"/>
      <c r="EQ115" s="458">
        <f>EQ114/2</f>
        <v>8.5</v>
      </c>
      <c r="ER115" s="458">
        <f t="shared" ref="ER115:ES115" si="676">ER114/2</f>
        <v>5.5</v>
      </c>
      <c r="ES115" s="458">
        <f t="shared" si="676"/>
        <v>12.5</v>
      </c>
      <c r="ET115" s="347">
        <f t="shared" si="674"/>
        <v>0.20943766276972955</v>
      </c>
      <c r="EU115" s="458">
        <f t="shared" ca="1" si="669"/>
        <v>7.9517509395433867</v>
      </c>
      <c r="EV115" s="458">
        <f t="shared" si="670"/>
        <v>8.5</v>
      </c>
      <c r="EW115" s="396">
        <f t="shared" si="675"/>
        <v>8.463977137033285E-3</v>
      </c>
    </row>
    <row r="116" spans="19:153" ht="15" customHeight="1" x14ac:dyDescent="0.2">
      <c r="S116" s="314"/>
      <c r="AD116" s="235"/>
      <c r="AE116" s="235"/>
      <c r="AF116" s="235"/>
      <c r="AM116" s="235"/>
      <c r="AN116" s="235"/>
      <c r="EO116" s="455">
        <v>100</v>
      </c>
      <c r="EP116" s="453"/>
      <c r="EQ116" s="460">
        <v>0</v>
      </c>
      <c r="ER116" s="460">
        <v>0</v>
      </c>
      <c r="ES116" s="460">
        <v>0</v>
      </c>
      <c r="ET116" s="355" t="e">
        <f t="shared" si="674"/>
        <v>#NUM!</v>
      </c>
      <c r="EU116" s="460">
        <f t="shared" ca="1" si="669"/>
        <v>0</v>
      </c>
      <c r="EV116" s="460">
        <f t="shared" si="670"/>
        <v>0</v>
      </c>
      <c r="EW116" s="399">
        <f t="shared" si="675"/>
        <v>0</v>
      </c>
    </row>
    <row r="117" spans="19:153" ht="15" customHeight="1" x14ac:dyDescent="0.2">
      <c r="S117" s="314"/>
      <c r="AE117" s="235"/>
      <c r="AF117" s="235"/>
      <c r="AM117" s="235"/>
      <c r="AN117" s="235"/>
    </row>
    <row r="118" spans="19:153" ht="15" customHeight="1" x14ac:dyDescent="0.2">
      <c r="S118" s="314"/>
      <c r="AD118" s="235"/>
      <c r="AE118" s="235"/>
      <c r="AF118" s="235"/>
      <c r="AM118" s="235"/>
      <c r="AN118" s="235"/>
    </row>
    <row r="119" spans="19:153" ht="15" customHeight="1" x14ac:dyDescent="0.2">
      <c r="S119" s="314"/>
      <c r="AD119" s="235"/>
      <c r="AE119" s="235"/>
      <c r="AF119" s="235"/>
      <c r="AM119" s="235"/>
      <c r="AN119" s="235"/>
    </row>
    <row r="120" spans="19:153" ht="15" customHeight="1" x14ac:dyDescent="0.2">
      <c r="S120" s="314"/>
      <c r="AE120" s="235"/>
      <c r="AF120" s="235"/>
      <c r="AM120" s="235"/>
      <c r="AN120" s="235"/>
    </row>
    <row r="121" spans="19:153" ht="15" customHeight="1" x14ac:dyDescent="0.2">
      <c r="S121" s="314"/>
      <c r="AD121" s="235"/>
      <c r="AE121" s="235"/>
      <c r="AF121" s="235"/>
      <c r="AM121" s="235"/>
      <c r="AN121" s="235"/>
    </row>
    <row r="122" spans="19:153" ht="15" customHeight="1" x14ac:dyDescent="0.2">
      <c r="S122" s="314"/>
      <c r="AD122" s="235"/>
      <c r="AE122" s="235"/>
      <c r="AF122" s="235"/>
      <c r="AM122" s="235"/>
      <c r="AN122" s="235"/>
    </row>
    <row r="123" spans="19:153" ht="15" customHeight="1" x14ac:dyDescent="0.2">
      <c r="S123" s="314"/>
      <c r="AE123" s="235"/>
      <c r="AF123" s="235"/>
      <c r="AM123" s="235"/>
      <c r="AN123" s="235"/>
    </row>
    <row r="124" spans="19:153" ht="15" customHeight="1" x14ac:dyDescent="0.2">
      <c r="S124" s="314"/>
      <c r="AD124" s="235"/>
      <c r="AE124" s="235"/>
      <c r="AF124" s="235"/>
      <c r="AM124" s="235"/>
      <c r="AN124" s="235"/>
    </row>
    <row r="125" spans="19:153" ht="15" customHeight="1" x14ac:dyDescent="0.2">
      <c r="S125" s="314"/>
      <c r="AD125" s="235"/>
      <c r="AE125" s="235"/>
      <c r="AF125" s="235"/>
      <c r="AM125" s="235"/>
      <c r="AN125" s="235"/>
    </row>
    <row r="126" spans="19:153" ht="15" customHeight="1" x14ac:dyDescent="0.2">
      <c r="S126" s="314"/>
      <c r="AE126" s="235"/>
      <c r="AF126" s="235"/>
      <c r="AM126" s="235"/>
      <c r="AN126" s="235"/>
    </row>
    <row r="127" spans="19:153" ht="15" customHeight="1" x14ac:dyDescent="0.2">
      <c r="S127" s="314"/>
      <c r="AD127" s="235"/>
      <c r="AE127" s="235"/>
      <c r="AF127" s="235"/>
    </row>
    <row r="128" spans="19:153" ht="15" customHeight="1" x14ac:dyDescent="0.2">
      <c r="S128" s="314"/>
      <c r="AD128" s="235"/>
      <c r="AE128" s="235"/>
      <c r="AF128" s="235"/>
    </row>
    <row r="129" spans="19:144" ht="15" customHeight="1" x14ac:dyDescent="0.2">
      <c r="S129" s="314"/>
      <c r="AE129" s="235"/>
      <c r="AF129" s="235"/>
    </row>
    <row r="130" spans="19:144" ht="15" customHeight="1" x14ac:dyDescent="0.2">
      <c r="S130" s="314"/>
      <c r="AD130" s="235"/>
      <c r="AE130" s="235"/>
      <c r="AF130" s="235"/>
    </row>
    <row r="131" spans="19:144" ht="15" customHeight="1" x14ac:dyDescent="0.2">
      <c r="S131" s="314"/>
      <c r="AD131" s="235"/>
      <c r="AE131" s="235"/>
      <c r="AF131" s="235"/>
    </row>
    <row r="132" spans="19:144" ht="15" customHeight="1" x14ac:dyDescent="0.2">
      <c r="S132" s="314"/>
      <c r="AE132" s="235"/>
      <c r="AF132" s="235"/>
    </row>
    <row r="133" spans="19:144" ht="15" customHeight="1" x14ac:dyDescent="0.2">
      <c r="S133" s="314"/>
      <c r="AD133" s="235"/>
      <c r="AE133" s="235"/>
      <c r="AF133" s="235"/>
    </row>
    <row r="134" spans="19:144" ht="15" customHeight="1" x14ac:dyDescent="0.2">
      <c r="S134" s="314"/>
      <c r="AD134" s="235"/>
      <c r="AE134" s="235"/>
      <c r="AF134" s="235"/>
    </row>
    <row r="135" spans="19:144" ht="15" customHeight="1" x14ac:dyDescent="0.2">
      <c r="S135" s="314"/>
      <c r="AE135" s="235"/>
      <c r="AF135" s="235"/>
    </row>
    <row r="136" spans="19:144" ht="15" customHeight="1" x14ac:dyDescent="0.2">
      <c r="S136" s="314"/>
      <c r="AD136" s="235"/>
      <c r="AE136" s="235"/>
      <c r="AF136" s="235"/>
    </row>
    <row r="137" spans="19:144" ht="15" customHeight="1" x14ac:dyDescent="0.2">
      <c r="S137" s="314"/>
      <c r="AD137" s="235"/>
      <c r="AE137" s="235"/>
      <c r="AF137" s="235"/>
    </row>
    <row r="138" spans="19:144" ht="15" customHeight="1" x14ac:dyDescent="0.2">
      <c r="S138" s="314"/>
      <c r="AE138" s="235"/>
      <c r="AF138" s="235"/>
    </row>
    <row r="139" spans="19:144" ht="15" customHeight="1" x14ac:dyDescent="0.2">
      <c r="S139" s="314"/>
      <c r="AD139" s="235"/>
      <c r="AE139" s="235"/>
      <c r="AF139" s="235"/>
    </row>
    <row r="140" spans="19:144" ht="15" customHeight="1" x14ac:dyDescent="0.2">
      <c r="S140" s="314"/>
      <c r="AD140" s="235"/>
      <c r="AE140" s="235"/>
      <c r="AF140" s="235"/>
    </row>
    <row r="141" spans="19:144" ht="15" customHeight="1" x14ac:dyDescent="0.2">
      <c r="S141" s="314"/>
      <c r="AE141" s="235"/>
      <c r="AF141" s="235"/>
    </row>
    <row r="142" spans="19:144" ht="15" customHeight="1" x14ac:dyDescent="0.2">
      <c r="S142" s="314"/>
      <c r="AD142" s="235"/>
      <c r="AE142" s="235"/>
      <c r="AF142" s="235"/>
      <c r="EN142" s="346"/>
    </row>
    <row r="143" spans="19:144" ht="15" customHeight="1" x14ac:dyDescent="0.2">
      <c r="S143" s="314"/>
      <c r="AD143" s="235"/>
      <c r="AE143" s="235"/>
      <c r="AF143" s="235"/>
    </row>
    <row r="144" spans="19:144" ht="15" customHeight="1" x14ac:dyDescent="0.2">
      <c r="AE144" s="235"/>
      <c r="AF144" s="235"/>
    </row>
    <row r="145" spans="30:149" ht="15" customHeight="1" x14ac:dyDescent="0.2">
      <c r="AD145" s="235"/>
      <c r="AE145" s="235"/>
      <c r="AF145" s="235"/>
    </row>
    <row r="146" spans="30:149" ht="15" customHeight="1" x14ac:dyDescent="0.2">
      <c r="AD146" s="235"/>
      <c r="AE146" s="235"/>
      <c r="AF146" s="235"/>
    </row>
    <row r="147" spans="30:149" ht="15" customHeight="1" x14ac:dyDescent="0.2">
      <c r="AE147" s="235"/>
      <c r="AF147" s="235"/>
    </row>
    <row r="148" spans="30:149" ht="15" customHeight="1" x14ac:dyDescent="0.2">
      <c r="AD148" s="235"/>
      <c r="AE148" s="235"/>
      <c r="AF148" s="235"/>
    </row>
    <row r="149" spans="30:149" ht="15" customHeight="1" x14ac:dyDescent="0.2">
      <c r="AD149" s="235"/>
      <c r="AE149" s="235"/>
      <c r="AF149" s="235"/>
    </row>
    <row r="150" spans="30:149" ht="15" customHeight="1" x14ac:dyDescent="0.2">
      <c r="AE150" s="235"/>
      <c r="AF150" s="235"/>
    </row>
    <row r="151" spans="30:149" ht="15" customHeight="1" x14ac:dyDescent="0.2">
      <c r="AD151" s="235"/>
      <c r="AE151" s="235"/>
      <c r="AF151" s="235"/>
    </row>
    <row r="152" spans="30:149" ht="15" customHeight="1" x14ac:dyDescent="0.2">
      <c r="AD152" s="235"/>
      <c r="AE152" s="235"/>
      <c r="AF152" s="235"/>
    </row>
    <row r="153" spans="30:149" ht="15" customHeight="1" x14ac:dyDescent="0.2">
      <c r="AE153" s="235"/>
      <c r="AF153" s="235"/>
    </row>
    <row r="154" spans="30:149" ht="15" customHeight="1" x14ac:dyDescent="0.2">
      <c r="AD154" s="235"/>
      <c r="AE154" s="235"/>
      <c r="AF154" s="235"/>
      <c r="EO154" s="346"/>
      <c r="EP154" s="346"/>
      <c r="EQ154" s="346"/>
      <c r="ER154" s="346"/>
      <c r="ES154" s="346"/>
    </row>
    <row r="155" spans="30:149" ht="15" customHeight="1" x14ac:dyDescent="0.2">
      <c r="AD155" s="235"/>
      <c r="AE155" s="235"/>
      <c r="AF155" s="235"/>
    </row>
    <row r="156" spans="30:149" ht="15" customHeight="1" x14ac:dyDescent="0.2">
      <c r="AE156" s="235"/>
      <c r="AF156" s="235"/>
    </row>
    <row r="157" spans="30:149" ht="15" customHeight="1" x14ac:dyDescent="0.2">
      <c r="AD157" s="235"/>
      <c r="AE157" s="235"/>
      <c r="AF157" s="235"/>
    </row>
    <row r="158" spans="30:149" ht="15" customHeight="1" x14ac:dyDescent="0.2">
      <c r="AD158" s="235"/>
      <c r="AE158" s="235"/>
      <c r="AF158" s="235"/>
    </row>
    <row r="159" spans="30:149" ht="15" customHeight="1" x14ac:dyDescent="0.2">
      <c r="AE159" s="235"/>
      <c r="AF159" s="235"/>
    </row>
    <row r="160" spans="30:149" ht="15" customHeight="1" x14ac:dyDescent="0.2">
      <c r="AD160" s="235"/>
      <c r="AE160" s="235"/>
      <c r="AF160" s="235"/>
    </row>
    <row r="161" spans="30:32" ht="15" customHeight="1" x14ac:dyDescent="0.2">
      <c r="AD161" s="235"/>
      <c r="AE161" s="235"/>
      <c r="AF161" s="235"/>
    </row>
    <row r="162" spans="30:32" ht="15" customHeight="1" x14ac:dyDescent="0.2">
      <c r="AE162" s="235"/>
      <c r="AF162" s="235"/>
    </row>
    <row r="163" spans="30:32" ht="15" customHeight="1" x14ac:dyDescent="0.2">
      <c r="AD163" s="235"/>
      <c r="AE163" s="235"/>
      <c r="AF163" s="235"/>
    </row>
    <row r="164" spans="30:32" ht="15" customHeight="1" x14ac:dyDescent="0.2">
      <c r="AD164" s="235"/>
      <c r="AE164" s="235"/>
      <c r="AF164" s="235"/>
    </row>
    <row r="165" spans="30:32" ht="15" customHeight="1" x14ac:dyDescent="0.2">
      <c r="AE165" s="235"/>
      <c r="AF165" s="235"/>
    </row>
    <row r="166" spans="30:32" ht="15" customHeight="1" x14ac:dyDescent="0.2">
      <c r="AD166" s="235"/>
      <c r="AE166" s="235"/>
      <c r="AF166" s="235"/>
    </row>
    <row r="167" spans="30:32" ht="15" customHeight="1" x14ac:dyDescent="0.2">
      <c r="AD167" s="235"/>
      <c r="AE167" s="235"/>
      <c r="AF167" s="235"/>
    </row>
    <row r="168" spans="30:32" ht="15" customHeight="1" x14ac:dyDescent="0.2">
      <c r="AE168" s="235"/>
      <c r="AF168" s="235"/>
    </row>
    <row r="169" spans="30:32" ht="15" customHeight="1" x14ac:dyDescent="0.2">
      <c r="AD169" s="235"/>
      <c r="AE169" s="235"/>
      <c r="AF169" s="235"/>
    </row>
    <row r="170" spans="30:32" ht="15" customHeight="1" x14ac:dyDescent="0.2">
      <c r="AD170" s="235"/>
      <c r="AE170" s="235"/>
      <c r="AF170" s="235"/>
    </row>
    <row r="171" spans="30:32" ht="15" customHeight="1" x14ac:dyDescent="0.2">
      <c r="AE171" s="235"/>
      <c r="AF171" s="235"/>
    </row>
    <row r="172" spans="30:32" ht="15" customHeight="1" x14ac:dyDescent="0.2">
      <c r="AD172" s="235"/>
      <c r="AE172" s="235"/>
      <c r="AF172" s="235"/>
    </row>
    <row r="173" spans="30:32" ht="15" customHeight="1" x14ac:dyDescent="0.2">
      <c r="AD173" s="235"/>
      <c r="AE173" s="235"/>
      <c r="AF173" s="235"/>
    </row>
    <row r="174" spans="30:32" ht="15" customHeight="1" x14ac:dyDescent="0.2">
      <c r="AE174" s="235"/>
      <c r="AF174" s="235"/>
    </row>
    <row r="175" spans="30:32" ht="15" customHeight="1" x14ac:dyDescent="0.2">
      <c r="AD175" s="235"/>
      <c r="AE175" s="235"/>
      <c r="AF175" s="235"/>
    </row>
    <row r="176" spans="30:32" ht="15" customHeight="1" x14ac:dyDescent="0.2">
      <c r="AD176" s="235"/>
      <c r="AE176" s="235"/>
      <c r="AF176" s="235"/>
    </row>
    <row r="177" spans="30:32" ht="15" customHeight="1" x14ac:dyDescent="0.2">
      <c r="AE177" s="235"/>
      <c r="AF177" s="235"/>
    </row>
    <row r="178" spans="30:32" ht="15" customHeight="1" x14ac:dyDescent="0.2">
      <c r="AD178" s="235"/>
      <c r="AE178" s="235"/>
      <c r="AF178" s="235"/>
    </row>
    <row r="179" spans="30:32" ht="15" customHeight="1" x14ac:dyDescent="0.2">
      <c r="AD179" s="235"/>
      <c r="AE179" s="235"/>
      <c r="AF179" s="235"/>
    </row>
    <row r="180" spans="30:32" ht="15" customHeight="1" x14ac:dyDescent="0.2">
      <c r="AE180" s="235"/>
      <c r="AF180" s="235"/>
    </row>
    <row r="181" spans="30:32" ht="15" customHeight="1" x14ac:dyDescent="0.2">
      <c r="AD181" s="235"/>
      <c r="AE181" s="235"/>
      <c r="AF181" s="235"/>
    </row>
    <row r="182" spans="30:32" ht="15" customHeight="1" x14ac:dyDescent="0.2">
      <c r="AD182" s="235"/>
      <c r="AE182" s="235"/>
      <c r="AF182" s="235"/>
    </row>
    <row r="183" spans="30:32" ht="15" customHeight="1" x14ac:dyDescent="0.2">
      <c r="AE183" s="235"/>
      <c r="AF183" s="235"/>
    </row>
    <row r="184" spans="30:32" ht="15" customHeight="1" x14ac:dyDescent="0.2">
      <c r="AD184" s="235"/>
      <c r="AE184" s="235"/>
      <c r="AF184" s="235"/>
    </row>
    <row r="185" spans="30:32" ht="15" customHeight="1" x14ac:dyDescent="0.2">
      <c r="AD185" s="235"/>
      <c r="AE185" s="235"/>
      <c r="AF185" s="235"/>
    </row>
    <row r="186" spans="30:32" ht="15" customHeight="1" x14ac:dyDescent="0.2">
      <c r="AE186" s="235"/>
      <c r="AF186" s="235"/>
    </row>
    <row r="187" spans="30:32" ht="15" customHeight="1" x14ac:dyDescent="0.2">
      <c r="AD187" s="235"/>
      <c r="AE187" s="235"/>
      <c r="AF187" s="235"/>
    </row>
    <row r="188" spans="30:32" ht="15" customHeight="1" x14ac:dyDescent="0.2">
      <c r="AD188" s="235"/>
      <c r="AE188" s="235"/>
      <c r="AF188" s="235"/>
    </row>
    <row r="189" spans="30:32" ht="15" customHeight="1" x14ac:dyDescent="0.2">
      <c r="AE189" s="235"/>
      <c r="AF189" s="235"/>
    </row>
    <row r="190" spans="30:32" ht="15" customHeight="1" x14ac:dyDescent="0.2">
      <c r="AD190" s="235"/>
      <c r="AE190" s="235"/>
      <c r="AF190" s="235"/>
    </row>
    <row r="191" spans="30:32" ht="15" customHeight="1" x14ac:dyDescent="0.2">
      <c r="AD191" s="235"/>
      <c r="AE191" s="235"/>
      <c r="AF191" s="235"/>
    </row>
    <row r="192" spans="30:32" ht="15" customHeight="1" x14ac:dyDescent="0.2">
      <c r="AE192" s="235"/>
      <c r="AF192" s="235"/>
    </row>
    <row r="193" spans="30:110" ht="15" customHeight="1" x14ac:dyDescent="0.2">
      <c r="AD193" s="235"/>
      <c r="AE193" s="235"/>
      <c r="AF193" s="235"/>
    </row>
    <row r="194" spans="30:110" ht="15" customHeight="1" x14ac:dyDescent="0.2">
      <c r="AD194" s="235"/>
      <c r="AE194" s="235"/>
      <c r="AF194" s="235"/>
    </row>
    <row r="195" spans="30:110" ht="15" customHeight="1" x14ac:dyDescent="0.2">
      <c r="AE195" s="235"/>
      <c r="AF195" s="235"/>
    </row>
    <row r="196" spans="30:110" ht="15" customHeight="1" x14ac:dyDescent="0.2">
      <c r="AD196" s="235"/>
      <c r="AE196" s="235"/>
      <c r="AF196" s="235"/>
      <c r="DF196">
        <v>7</v>
      </c>
    </row>
    <row r="197" spans="30:110" ht="15" customHeight="1" x14ac:dyDescent="0.2">
      <c r="AD197" s="235"/>
      <c r="AE197" s="235"/>
      <c r="AF197" s="235"/>
    </row>
    <row r="198" spans="30:110" ht="15" customHeight="1" x14ac:dyDescent="0.2">
      <c r="AE198" s="235"/>
      <c r="AF198" s="235"/>
    </row>
    <row r="199" spans="30:110" ht="15" customHeight="1" x14ac:dyDescent="0.2">
      <c r="AD199" s="235"/>
      <c r="AE199" s="235"/>
      <c r="AF199" s="235"/>
    </row>
    <row r="200" spans="30:110" ht="15" customHeight="1" x14ac:dyDescent="0.2">
      <c r="AD200" s="235"/>
      <c r="AE200" s="235"/>
      <c r="AF200" s="235"/>
    </row>
    <row r="201" spans="30:110" ht="15" customHeight="1" x14ac:dyDescent="0.2">
      <c r="AE201" s="235"/>
      <c r="AF201" s="235"/>
    </row>
    <row r="202" spans="30:110" ht="15" customHeight="1" x14ac:dyDescent="0.2">
      <c r="AD202" s="235"/>
      <c r="AE202" s="235"/>
      <c r="AF202" s="235"/>
    </row>
    <row r="203" spans="30:110" ht="15" customHeight="1" x14ac:dyDescent="0.2">
      <c r="AD203" s="235"/>
      <c r="AE203" s="235"/>
      <c r="AF203" s="235"/>
    </row>
    <row r="204" spans="30:110" ht="15" customHeight="1" x14ac:dyDescent="0.2">
      <c r="AE204" s="235"/>
      <c r="AF204" s="235"/>
    </row>
    <row r="205" spans="30:110" ht="15" customHeight="1" x14ac:dyDescent="0.2">
      <c r="AD205" s="235"/>
      <c r="AE205" s="235"/>
      <c r="AF205" s="235"/>
    </row>
    <row r="206" spans="30:110" ht="15" customHeight="1" x14ac:dyDescent="0.2">
      <c r="AD206" s="235"/>
      <c r="AE206" s="235"/>
      <c r="AF206" s="235"/>
    </row>
    <row r="207" spans="30:110" ht="15" customHeight="1" x14ac:dyDescent="0.2">
      <c r="AE207" s="235"/>
      <c r="AF207" s="235"/>
    </row>
    <row r="208" spans="30:110" ht="15" customHeight="1" x14ac:dyDescent="0.2">
      <c r="AD208" s="235"/>
      <c r="AE208" s="235"/>
      <c r="AF208" s="235"/>
    </row>
    <row r="209" spans="30:32" ht="15" customHeight="1" x14ac:dyDescent="0.2">
      <c r="AD209" s="235"/>
      <c r="AE209" s="235"/>
      <c r="AF209" s="235"/>
    </row>
    <row r="210" spans="30:32" ht="15" customHeight="1" x14ac:dyDescent="0.2">
      <c r="AE210" s="235"/>
      <c r="AF210" s="235"/>
    </row>
    <row r="211" spans="30:32" ht="15" customHeight="1" x14ac:dyDescent="0.2">
      <c r="AD211" s="235"/>
      <c r="AE211" s="235"/>
      <c r="AF211" s="235"/>
    </row>
    <row r="212" spans="30:32" ht="15" customHeight="1" x14ac:dyDescent="0.2">
      <c r="AD212" s="235"/>
      <c r="AE212" s="235"/>
      <c r="AF212" s="235"/>
    </row>
    <row r="213" spans="30:32" ht="15" customHeight="1" x14ac:dyDescent="0.2">
      <c r="AE213" s="235"/>
      <c r="AF213" s="235"/>
    </row>
    <row r="214" spans="30:32" ht="15" customHeight="1" x14ac:dyDescent="0.2">
      <c r="AD214" s="235"/>
      <c r="AE214" s="235"/>
      <c r="AF214" s="235"/>
    </row>
    <row r="215" spans="30:32" ht="15" customHeight="1" x14ac:dyDescent="0.2">
      <c r="AD215" s="235"/>
      <c r="AE215" s="235"/>
      <c r="AF215" s="235"/>
    </row>
    <row r="216" spans="30:32" ht="15" customHeight="1" x14ac:dyDescent="0.2">
      <c r="AE216" s="235"/>
      <c r="AF216" s="235"/>
    </row>
    <row r="217" spans="30:32" ht="15" customHeight="1" x14ac:dyDescent="0.2">
      <c r="AD217" s="235"/>
      <c r="AE217" s="235"/>
      <c r="AF217" s="235"/>
    </row>
    <row r="218" spans="30:32" ht="15" customHeight="1" x14ac:dyDescent="0.2">
      <c r="AD218" s="235"/>
      <c r="AE218" s="235"/>
      <c r="AF218" s="235"/>
    </row>
    <row r="219" spans="30:32" ht="15" customHeight="1" x14ac:dyDescent="0.2">
      <c r="AE219" s="235"/>
      <c r="AF219" s="235"/>
    </row>
    <row r="220" spans="30:32" ht="15" customHeight="1" x14ac:dyDescent="0.2">
      <c r="AD220" s="235"/>
      <c r="AE220" s="235"/>
      <c r="AF220" s="235"/>
    </row>
    <row r="221" spans="30:32" ht="15" customHeight="1" x14ac:dyDescent="0.2">
      <c r="AD221" s="235"/>
      <c r="AE221" s="235"/>
      <c r="AF221" s="235"/>
    </row>
    <row r="222" spans="30:32" ht="15" customHeight="1" x14ac:dyDescent="0.2">
      <c r="AE222" s="235"/>
      <c r="AF222" s="235"/>
    </row>
    <row r="223" spans="30:32" ht="15" customHeight="1" x14ac:dyDescent="0.2">
      <c r="AD223" s="235"/>
      <c r="AE223" s="235"/>
      <c r="AF223" s="235"/>
    </row>
    <row r="224" spans="30:32" ht="15" customHeight="1" x14ac:dyDescent="0.2">
      <c r="AD224" s="235"/>
      <c r="AE224" s="235"/>
      <c r="AF224" s="235"/>
    </row>
    <row r="225" spans="30:32" ht="15" customHeight="1" x14ac:dyDescent="0.2">
      <c r="AE225" s="235"/>
      <c r="AF225" s="235"/>
    </row>
    <row r="226" spans="30:32" ht="15" customHeight="1" x14ac:dyDescent="0.2">
      <c r="AD226" s="235"/>
      <c r="AE226" s="235"/>
      <c r="AF226" s="235"/>
    </row>
    <row r="227" spans="30:32" ht="15" customHeight="1" x14ac:dyDescent="0.2">
      <c r="AD227" s="235"/>
      <c r="AE227" s="235"/>
      <c r="AF227" s="235"/>
    </row>
    <row r="228" spans="30:32" ht="15" customHeight="1" x14ac:dyDescent="0.2">
      <c r="AE228" s="235"/>
      <c r="AF228" s="235"/>
    </row>
    <row r="229" spans="30:32" ht="15" customHeight="1" x14ac:dyDescent="0.2">
      <c r="AD229" s="235"/>
      <c r="AE229" s="235"/>
      <c r="AF229" s="235"/>
    </row>
    <row r="230" spans="30:32" ht="15" customHeight="1" x14ac:dyDescent="0.2">
      <c r="AD230" s="235"/>
      <c r="AE230" s="235"/>
      <c r="AF230" s="235"/>
    </row>
    <row r="231" spans="30:32" ht="15" customHeight="1" x14ac:dyDescent="0.2">
      <c r="AE231" s="235"/>
      <c r="AF231" s="235"/>
    </row>
    <row r="232" spans="30:32" ht="15" customHeight="1" x14ac:dyDescent="0.2">
      <c r="AD232" s="235"/>
      <c r="AE232" s="235"/>
      <c r="AF232" s="235"/>
    </row>
    <row r="233" spans="30:32" ht="15" customHeight="1" x14ac:dyDescent="0.2">
      <c r="AD233" s="235"/>
      <c r="AE233" s="235"/>
      <c r="AF233" s="235"/>
    </row>
    <row r="234" spans="30:32" ht="15" customHeight="1" x14ac:dyDescent="0.2">
      <c r="AE234" s="235"/>
      <c r="AF234" s="235"/>
    </row>
    <row r="235" spans="30:32" ht="15" customHeight="1" x14ac:dyDescent="0.2">
      <c r="AD235" s="235"/>
      <c r="AE235" s="235"/>
      <c r="AF235" s="235"/>
    </row>
    <row r="236" spans="30:32" ht="15" customHeight="1" x14ac:dyDescent="0.2">
      <c r="AD236" s="235"/>
      <c r="AE236" s="235"/>
      <c r="AF236" s="235"/>
    </row>
    <row r="237" spans="30:32" ht="15" customHeight="1" x14ac:dyDescent="0.2">
      <c r="AE237" s="235"/>
      <c r="AF237" s="235"/>
    </row>
    <row r="238" spans="30:32" ht="15" customHeight="1" x14ac:dyDescent="0.2">
      <c r="AD238" s="235"/>
      <c r="AE238" s="235"/>
      <c r="AF238" s="235"/>
    </row>
    <row r="239" spans="30:32" ht="15" customHeight="1" x14ac:dyDescent="0.2">
      <c r="AD239" s="235"/>
      <c r="AE239" s="235"/>
      <c r="AF239" s="235"/>
    </row>
    <row r="240" spans="30:32" ht="15" customHeight="1" x14ac:dyDescent="0.2">
      <c r="AE240" s="235"/>
      <c r="AF240" s="235"/>
    </row>
    <row r="241" spans="30:32" ht="15" customHeight="1" x14ac:dyDescent="0.2">
      <c r="AD241" s="235"/>
      <c r="AE241" s="235"/>
      <c r="AF241" s="235"/>
    </row>
    <row r="242" spans="30:32" ht="15" customHeight="1" x14ac:dyDescent="0.2">
      <c r="AD242" s="235"/>
      <c r="AE242" s="235"/>
      <c r="AF242" s="235"/>
    </row>
    <row r="243" spans="30:32" ht="15" customHeight="1" x14ac:dyDescent="0.2">
      <c r="AE243" s="235"/>
      <c r="AF243" s="235"/>
    </row>
    <row r="244" spans="30:32" ht="15" customHeight="1" x14ac:dyDescent="0.2">
      <c r="AD244" s="235"/>
      <c r="AE244" s="235"/>
      <c r="AF244" s="235"/>
    </row>
    <row r="245" spans="30:32" ht="15" customHeight="1" x14ac:dyDescent="0.2">
      <c r="AD245" s="235"/>
      <c r="AE245" s="235"/>
      <c r="AF245" s="235"/>
    </row>
    <row r="246" spans="30:32" ht="15" customHeight="1" x14ac:dyDescent="0.2">
      <c r="AE246" s="235"/>
      <c r="AF246" s="235"/>
    </row>
    <row r="247" spans="30:32" ht="15" customHeight="1" x14ac:dyDescent="0.2">
      <c r="AD247" s="235"/>
      <c r="AE247" s="235"/>
      <c r="AF247" s="235"/>
    </row>
    <row r="248" spans="30:32" ht="15" customHeight="1" x14ac:dyDescent="0.2">
      <c r="AD248" s="235"/>
      <c r="AE248" s="235"/>
      <c r="AF248" s="235"/>
    </row>
    <row r="249" spans="30:32" ht="15" customHeight="1" x14ac:dyDescent="0.2">
      <c r="AE249" s="235"/>
      <c r="AF249" s="235"/>
    </row>
    <row r="250" spans="30:32" ht="15" customHeight="1" x14ac:dyDescent="0.2">
      <c r="AD250" s="235"/>
      <c r="AE250" s="235"/>
      <c r="AF250" s="235"/>
    </row>
    <row r="251" spans="30:32" ht="15" customHeight="1" x14ac:dyDescent="0.2">
      <c r="AD251" s="235"/>
      <c r="AE251" s="235"/>
      <c r="AF251" s="235"/>
    </row>
    <row r="252" spans="30:32" ht="15" customHeight="1" x14ac:dyDescent="0.2">
      <c r="AE252" s="235"/>
      <c r="AF252" s="235"/>
    </row>
    <row r="253" spans="30:32" ht="15" customHeight="1" x14ac:dyDescent="0.2">
      <c r="AD253" s="235"/>
      <c r="AE253" s="235"/>
      <c r="AF253" s="235"/>
    </row>
    <row r="254" spans="30:32" ht="15" customHeight="1" x14ac:dyDescent="0.2">
      <c r="AD254" s="235"/>
      <c r="AE254" s="235"/>
      <c r="AF254" s="235"/>
    </row>
    <row r="255" spans="30:32" ht="15" customHeight="1" x14ac:dyDescent="0.2">
      <c r="AE255" s="235"/>
      <c r="AF255" s="235"/>
    </row>
    <row r="256" spans="30:32" ht="15" customHeight="1" x14ac:dyDescent="0.2">
      <c r="AD256" s="235"/>
      <c r="AE256" s="235"/>
      <c r="AF256" s="235"/>
    </row>
    <row r="257" spans="30:32" ht="15" customHeight="1" x14ac:dyDescent="0.2">
      <c r="AD257" s="235"/>
      <c r="AE257" s="235"/>
      <c r="AF257" s="235"/>
    </row>
    <row r="258" spans="30:32" ht="15" customHeight="1" x14ac:dyDescent="0.2">
      <c r="AE258" s="235"/>
      <c r="AF258" s="235"/>
    </row>
    <row r="259" spans="30:32" ht="15" customHeight="1" x14ac:dyDescent="0.2">
      <c r="AD259" s="235"/>
      <c r="AE259" s="235"/>
      <c r="AF259" s="235"/>
    </row>
    <row r="260" spans="30:32" ht="15" customHeight="1" x14ac:dyDescent="0.2">
      <c r="AD260" s="235"/>
      <c r="AE260" s="235"/>
      <c r="AF260" s="235"/>
    </row>
    <row r="261" spans="30:32" ht="15" customHeight="1" x14ac:dyDescent="0.2">
      <c r="AE261" s="235"/>
      <c r="AF261" s="235"/>
    </row>
    <row r="262" spans="30:32" ht="15" customHeight="1" x14ac:dyDescent="0.2">
      <c r="AD262" s="235"/>
      <c r="AE262" s="235"/>
      <c r="AF262" s="235"/>
    </row>
    <row r="263" spans="30:32" ht="15" customHeight="1" x14ac:dyDescent="0.2">
      <c r="AD263" s="235"/>
      <c r="AE263" s="235"/>
      <c r="AF263" s="235"/>
    </row>
    <row r="264" spans="30:32" ht="15" customHeight="1" x14ac:dyDescent="0.2">
      <c r="AE264" s="235"/>
      <c r="AF264" s="235"/>
    </row>
    <row r="265" spans="30:32" ht="15" customHeight="1" x14ac:dyDescent="0.2">
      <c r="AD265" s="235"/>
      <c r="AE265" s="235"/>
      <c r="AF265" s="235"/>
    </row>
    <row r="266" spans="30:32" ht="15" customHeight="1" x14ac:dyDescent="0.2">
      <c r="AD266" s="235"/>
      <c r="AE266" s="235"/>
      <c r="AF266" s="235"/>
    </row>
    <row r="267" spans="30:32" ht="15" customHeight="1" x14ac:dyDescent="0.2">
      <c r="AE267" s="235"/>
      <c r="AF267" s="235"/>
    </row>
    <row r="268" spans="30:32" ht="15" customHeight="1" x14ac:dyDescent="0.2">
      <c r="AD268" s="235"/>
      <c r="AE268" s="235"/>
      <c r="AF268" s="235"/>
    </row>
    <row r="269" spans="30:32" ht="15" customHeight="1" x14ac:dyDescent="0.2">
      <c r="AD269" s="235"/>
      <c r="AE269" s="235"/>
      <c r="AF269" s="235"/>
    </row>
    <row r="270" spans="30:32" ht="15" customHeight="1" x14ac:dyDescent="0.2">
      <c r="AE270" s="235"/>
      <c r="AF270" s="235"/>
    </row>
    <row r="271" spans="30:32" ht="15" customHeight="1" x14ac:dyDescent="0.2">
      <c r="AD271" s="235"/>
      <c r="AE271" s="235"/>
      <c r="AF271" s="235"/>
    </row>
    <row r="272" spans="30:32" ht="15" customHeight="1" x14ac:dyDescent="0.2">
      <c r="AD272" s="235"/>
      <c r="AE272" s="235"/>
      <c r="AF272" s="235"/>
    </row>
    <row r="273" spans="30:32" ht="15" customHeight="1" x14ac:dyDescent="0.2">
      <c r="AE273" s="235"/>
      <c r="AF273" s="235"/>
    </row>
    <row r="274" spans="30:32" ht="15" customHeight="1" x14ac:dyDescent="0.2">
      <c r="AD274" s="235"/>
      <c r="AE274" s="235"/>
      <c r="AF274" s="235"/>
    </row>
    <row r="275" spans="30:32" ht="15" customHeight="1" x14ac:dyDescent="0.2">
      <c r="AD275" s="235"/>
      <c r="AE275" s="235"/>
      <c r="AF275" s="235"/>
    </row>
    <row r="276" spans="30:32" ht="15" customHeight="1" x14ac:dyDescent="0.2">
      <c r="AE276" s="235"/>
      <c r="AF276" s="235"/>
    </row>
    <row r="277" spans="30:32" ht="15" customHeight="1" x14ac:dyDescent="0.2">
      <c r="AD277" s="235"/>
      <c r="AE277" s="235"/>
      <c r="AF277" s="235"/>
    </row>
    <row r="278" spans="30:32" ht="15" customHeight="1" x14ac:dyDescent="0.2">
      <c r="AD278" s="235"/>
      <c r="AE278" s="235"/>
      <c r="AF278" s="235"/>
    </row>
    <row r="279" spans="30:32" ht="15" customHeight="1" x14ac:dyDescent="0.2">
      <c r="AE279" s="235"/>
      <c r="AF279" s="235"/>
    </row>
    <row r="280" spans="30:32" ht="15" customHeight="1" x14ac:dyDescent="0.2">
      <c r="AD280" s="235"/>
      <c r="AE280" s="235"/>
      <c r="AF280" s="235"/>
    </row>
    <row r="281" spans="30:32" ht="15" customHeight="1" x14ac:dyDescent="0.2">
      <c r="AD281" s="235"/>
      <c r="AE281" s="235"/>
      <c r="AF281" s="235"/>
    </row>
    <row r="282" spans="30:32" ht="15" customHeight="1" x14ac:dyDescent="0.2">
      <c r="AE282" s="235"/>
      <c r="AF282" s="235"/>
    </row>
    <row r="283" spans="30:32" ht="15" customHeight="1" x14ac:dyDescent="0.2">
      <c r="AD283" s="235"/>
      <c r="AE283" s="235"/>
      <c r="AF283" s="235"/>
    </row>
    <row r="284" spans="30:32" ht="15" customHeight="1" x14ac:dyDescent="0.2">
      <c r="AD284" s="235"/>
      <c r="AE284" s="235"/>
      <c r="AF284" s="235"/>
    </row>
    <row r="285" spans="30:32" ht="15" customHeight="1" x14ac:dyDescent="0.2">
      <c r="AE285" s="235"/>
      <c r="AF285" s="235"/>
    </row>
    <row r="286" spans="30:32" ht="15" customHeight="1" x14ac:dyDescent="0.2">
      <c r="AD286" s="235"/>
      <c r="AE286" s="235"/>
      <c r="AF286" s="235"/>
    </row>
    <row r="287" spans="30:32" ht="15" customHeight="1" x14ac:dyDescent="0.2">
      <c r="AD287" s="235"/>
      <c r="AE287" s="235"/>
      <c r="AF287" s="235"/>
    </row>
    <row r="288" spans="30:32" ht="15" customHeight="1" x14ac:dyDescent="0.2">
      <c r="AE288" s="235"/>
      <c r="AF288" s="235"/>
    </row>
    <row r="289" spans="30:32" ht="15" customHeight="1" x14ac:dyDescent="0.2">
      <c r="AD289" s="235"/>
      <c r="AE289" s="235"/>
      <c r="AF289" s="235"/>
    </row>
    <row r="290" spans="30:32" ht="15" customHeight="1" x14ac:dyDescent="0.2">
      <c r="AD290" s="235"/>
      <c r="AE290" s="235"/>
      <c r="AF290" s="235"/>
    </row>
    <row r="291" spans="30:32" ht="15" customHeight="1" x14ac:dyDescent="0.2">
      <c r="AE291" s="235"/>
      <c r="AF291" s="235"/>
    </row>
    <row r="292" spans="30:32" ht="15" customHeight="1" x14ac:dyDescent="0.2">
      <c r="AD292" s="235"/>
      <c r="AE292" s="235"/>
      <c r="AF292" s="235"/>
    </row>
    <row r="293" spans="30:32" ht="15" customHeight="1" x14ac:dyDescent="0.2">
      <c r="AD293" s="235"/>
      <c r="AE293" s="235"/>
      <c r="AF293" s="235"/>
    </row>
    <row r="294" spans="30:32" ht="15" customHeight="1" x14ac:dyDescent="0.2">
      <c r="AE294" s="235"/>
      <c r="AF294" s="235"/>
    </row>
    <row r="295" spans="30:32" ht="15" customHeight="1" x14ac:dyDescent="0.2">
      <c r="AD295" s="235"/>
      <c r="AE295" s="235"/>
      <c r="AF295" s="235"/>
    </row>
    <row r="296" spans="30:32" ht="15" customHeight="1" x14ac:dyDescent="0.2">
      <c r="AD296" s="235"/>
      <c r="AE296" s="235"/>
      <c r="AF296" s="235"/>
    </row>
    <row r="297" spans="30:32" ht="15" customHeight="1" x14ac:dyDescent="0.2">
      <c r="AE297" s="235"/>
      <c r="AF297" s="235"/>
    </row>
    <row r="298" spans="30:32" ht="15" customHeight="1" x14ac:dyDescent="0.2">
      <c r="AD298" s="235"/>
      <c r="AE298" s="235"/>
      <c r="AF298" s="235"/>
    </row>
    <row r="299" spans="30:32" ht="15" customHeight="1" x14ac:dyDescent="0.2">
      <c r="AD299" s="235"/>
      <c r="AE299" s="235"/>
      <c r="AF299" s="235"/>
    </row>
    <row r="300" spans="30:32" ht="15" customHeight="1" x14ac:dyDescent="0.2">
      <c r="AE300" s="235"/>
      <c r="AF300" s="235"/>
    </row>
    <row r="301" spans="30:32" ht="15" customHeight="1" x14ac:dyDescent="0.2">
      <c r="AD301" s="235"/>
      <c r="AE301" s="235"/>
      <c r="AF301" s="235"/>
    </row>
    <row r="302" spans="30:32" ht="15" customHeight="1" x14ac:dyDescent="0.2">
      <c r="AD302" s="235"/>
      <c r="AE302" s="235"/>
      <c r="AF302" s="235"/>
    </row>
    <row r="303" spans="30:32" ht="15" customHeight="1" x14ac:dyDescent="0.2">
      <c r="AE303" s="235"/>
      <c r="AF303" s="235"/>
    </row>
    <row r="304" spans="30:32" ht="15" customHeight="1" x14ac:dyDescent="0.2">
      <c r="AD304" s="235"/>
      <c r="AE304" s="235"/>
      <c r="AF304" s="235"/>
    </row>
    <row r="305" spans="30:32" ht="15" customHeight="1" x14ac:dyDescent="0.2">
      <c r="AD305" s="235"/>
      <c r="AE305" s="235"/>
      <c r="AF305" s="235"/>
    </row>
    <row r="306" spans="30:32" ht="15" customHeight="1" x14ac:dyDescent="0.2">
      <c r="AE306" s="235"/>
      <c r="AF306" s="235"/>
    </row>
    <row r="307" spans="30:32" ht="15" customHeight="1" x14ac:dyDescent="0.2">
      <c r="AD307" s="235"/>
      <c r="AE307" s="235"/>
      <c r="AF307" s="235"/>
    </row>
    <row r="308" spans="30:32" ht="15" customHeight="1" x14ac:dyDescent="0.2">
      <c r="AD308" s="235"/>
      <c r="AE308" s="235"/>
      <c r="AF308" s="235"/>
    </row>
    <row r="309" spans="30:32" ht="15" customHeight="1" x14ac:dyDescent="0.2">
      <c r="AE309" s="235"/>
      <c r="AF309" s="235"/>
    </row>
    <row r="310" spans="30:32" ht="15" customHeight="1" x14ac:dyDescent="0.2">
      <c r="AD310" s="235"/>
      <c r="AE310" s="235"/>
      <c r="AF310" s="235"/>
    </row>
    <row r="311" spans="30:32" ht="15" customHeight="1" x14ac:dyDescent="0.2">
      <c r="AD311" s="235"/>
      <c r="AE311" s="235"/>
      <c r="AF311" s="235"/>
    </row>
    <row r="312" spans="30:32" ht="15" customHeight="1" x14ac:dyDescent="0.2">
      <c r="AE312" s="235"/>
      <c r="AF312" s="235"/>
    </row>
    <row r="313" spans="30:32" ht="15" customHeight="1" x14ac:dyDescent="0.2">
      <c r="AD313" s="235"/>
      <c r="AE313" s="235"/>
      <c r="AF313" s="235"/>
    </row>
    <row r="314" spans="30:32" ht="15" customHeight="1" x14ac:dyDescent="0.2">
      <c r="AD314" s="235"/>
      <c r="AE314" s="235"/>
      <c r="AF314" s="235"/>
    </row>
    <row r="315" spans="30:32" ht="15" customHeight="1" x14ac:dyDescent="0.2">
      <c r="AE315" s="235"/>
      <c r="AF315" s="235"/>
    </row>
    <row r="316" spans="30:32" ht="15" customHeight="1" x14ac:dyDescent="0.2">
      <c r="AD316" s="235"/>
      <c r="AE316" s="235"/>
      <c r="AF316" s="235"/>
    </row>
    <row r="317" spans="30:32" ht="15" customHeight="1" x14ac:dyDescent="0.2">
      <c r="AD317" s="235"/>
      <c r="AE317" s="235"/>
      <c r="AF317" s="235"/>
    </row>
    <row r="318" spans="30:32" ht="15" customHeight="1" x14ac:dyDescent="0.2">
      <c r="AE318" s="235"/>
      <c r="AF318" s="235"/>
    </row>
    <row r="319" spans="30:32" ht="15" customHeight="1" x14ac:dyDescent="0.2">
      <c r="AD319" s="235"/>
      <c r="AE319" s="235"/>
      <c r="AF319" s="235"/>
    </row>
    <row r="320" spans="30:32" ht="15" customHeight="1" x14ac:dyDescent="0.2">
      <c r="AD320" s="235"/>
      <c r="AE320" s="235"/>
      <c r="AF320" s="235"/>
    </row>
    <row r="321" spans="30:32" ht="15" customHeight="1" x14ac:dyDescent="0.2">
      <c r="AE321" s="235"/>
      <c r="AF321" s="235"/>
    </row>
    <row r="322" spans="30:32" ht="15" customHeight="1" x14ac:dyDescent="0.2">
      <c r="AD322" s="235"/>
      <c r="AE322" s="235"/>
      <c r="AF322" s="235"/>
    </row>
    <row r="323" spans="30:32" ht="15" customHeight="1" x14ac:dyDescent="0.2">
      <c r="AD323" s="235"/>
      <c r="AE323" s="235"/>
      <c r="AF323" s="235"/>
    </row>
    <row r="324" spans="30:32" ht="15" customHeight="1" x14ac:dyDescent="0.2">
      <c r="AE324" s="235"/>
      <c r="AF324" s="235"/>
    </row>
    <row r="325" spans="30:32" ht="15" customHeight="1" x14ac:dyDescent="0.2">
      <c r="AD325" s="235"/>
      <c r="AE325" s="235"/>
      <c r="AF325" s="235"/>
    </row>
    <row r="326" spans="30:32" ht="15" customHeight="1" x14ac:dyDescent="0.2">
      <c r="AD326" s="235"/>
      <c r="AE326" s="235"/>
      <c r="AF326" s="235"/>
    </row>
    <row r="327" spans="30:32" ht="15" customHeight="1" x14ac:dyDescent="0.2">
      <c r="AE327" s="235"/>
      <c r="AF327" s="235"/>
    </row>
    <row r="328" spans="30:32" ht="15" customHeight="1" x14ac:dyDescent="0.2">
      <c r="AD328" s="235"/>
      <c r="AE328" s="235"/>
      <c r="AF328" s="235"/>
    </row>
    <row r="329" spans="30:32" ht="15" customHeight="1" x14ac:dyDescent="0.2">
      <c r="AD329" s="235"/>
      <c r="AE329" s="235"/>
      <c r="AF329" s="235"/>
    </row>
    <row r="330" spans="30:32" ht="15" customHeight="1" x14ac:dyDescent="0.2">
      <c r="AE330" s="235"/>
      <c r="AF330" s="235"/>
    </row>
    <row r="331" spans="30:32" ht="15" customHeight="1" x14ac:dyDescent="0.2">
      <c r="AD331" s="235"/>
      <c r="AE331" s="235"/>
      <c r="AF331" s="235"/>
    </row>
    <row r="332" spans="30:32" ht="15" customHeight="1" x14ac:dyDescent="0.2">
      <c r="AD332" s="235"/>
      <c r="AE332" s="235"/>
      <c r="AF332" s="235"/>
    </row>
    <row r="333" spans="30:32" ht="15" customHeight="1" x14ac:dyDescent="0.2">
      <c r="AE333" s="235"/>
      <c r="AF333" s="235"/>
    </row>
    <row r="334" spans="30:32" ht="15" customHeight="1" x14ac:dyDescent="0.2">
      <c r="AD334" s="235"/>
      <c r="AE334" s="235"/>
      <c r="AF334" s="235"/>
    </row>
    <row r="335" spans="30:32" ht="15" customHeight="1" x14ac:dyDescent="0.2">
      <c r="AD335" s="235"/>
      <c r="AE335" s="235"/>
      <c r="AF335" s="235"/>
    </row>
    <row r="336" spans="30:32" ht="15" customHeight="1" x14ac:dyDescent="0.2">
      <c r="AE336" s="235"/>
      <c r="AF336" s="235"/>
    </row>
    <row r="337" spans="30:32" ht="15" customHeight="1" x14ac:dyDescent="0.2">
      <c r="AD337" s="235"/>
      <c r="AE337" s="235"/>
      <c r="AF337" s="235"/>
    </row>
    <row r="338" spans="30:32" ht="15" customHeight="1" x14ac:dyDescent="0.2">
      <c r="AD338" s="235"/>
      <c r="AE338" s="235"/>
      <c r="AF338" s="235"/>
    </row>
    <row r="339" spans="30:32" ht="15" customHeight="1" x14ac:dyDescent="0.2"/>
    <row r="340" spans="30:32" ht="15" customHeight="1" x14ac:dyDescent="0.2"/>
    <row r="341" spans="30:32" ht="15" customHeight="1" x14ac:dyDescent="0.2"/>
    <row r="342" spans="30:32" ht="15" customHeight="1" x14ac:dyDescent="0.2"/>
    <row r="343" spans="30:32" ht="15" customHeight="1" x14ac:dyDescent="0.2"/>
    <row r="344" spans="30:32" ht="15" customHeight="1" x14ac:dyDescent="0.2"/>
    <row r="345" spans="30:32" ht="15" customHeight="1" x14ac:dyDescent="0.2"/>
    <row r="346" spans="30:32" ht="15" customHeight="1" x14ac:dyDescent="0.2"/>
    <row r="347" spans="30:32" ht="15" customHeight="1" x14ac:dyDescent="0.2"/>
    <row r="348" spans="30:32" ht="15" customHeight="1" x14ac:dyDescent="0.2"/>
    <row r="349" spans="30:32" ht="15" customHeight="1" x14ac:dyDescent="0.2"/>
    <row r="350" spans="30:32" ht="15" customHeight="1" x14ac:dyDescent="0.2"/>
    <row r="351" spans="30:32" ht="15" customHeight="1" x14ac:dyDescent="0.2"/>
    <row r="352" spans="30:3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sheetData>
  <sortState ref="CB24:CH58">
    <sortCondition descending="1" ref="CH23:CH58"/>
  </sortState>
  <mergeCells count="7">
    <mergeCell ref="E97:N98"/>
    <mergeCell ref="FH44:FH51"/>
    <mergeCell ref="CB4:CC4"/>
    <mergeCell ref="CD4:CH4"/>
    <mergeCell ref="CY5:CZ6"/>
    <mergeCell ref="DU5:DZ5"/>
    <mergeCell ref="DI5:DN5"/>
  </mergeCells>
  <dataValidations disablePrompts="1" count="1">
    <dataValidation type="list" allowBlank="1" showInputMessage="1" showErrorMessage="1" sqref="CB22" xr:uid="{BF72E274-F077-4687-B8AC-D2FD7C8B35E2}">
      <formula1>$CC$60:$CC$62</formula1>
    </dataValidation>
  </dataValidations>
  <hyperlinks>
    <hyperlink ref="FP5" r:id="rId1" xr:uid="{6DD6D325-5F71-48E1-85D1-701FB99F6C26}"/>
  </hyperlinks>
  <pageMargins left="0.7" right="0.7" top="0.75" bottom="0.75" header="0.3" footer="0.3"/>
  <pageSetup orientation="portrait" r:id="rId2"/>
  <ignoredErrors>
    <ignoredError sqref="Z2 AB2"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10086" r:id="rId5" name="Check Box 2918">
              <controlPr defaultSize="0" autoFill="0" autoLine="0" autoPict="0">
                <anchor moveWithCells="1">
                  <from>
                    <xdr:col>3</xdr:col>
                    <xdr:colOff>0</xdr:colOff>
                    <xdr:row>93</xdr:row>
                    <xdr:rowOff>0</xdr:rowOff>
                  </from>
                  <to>
                    <xdr:col>4</xdr:col>
                    <xdr:colOff>0</xdr:colOff>
                    <xdr:row>94</xdr:row>
                    <xdr:rowOff>28575</xdr:rowOff>
                  </to>
                </anchor>
              </controlPr>
            </control>
          </mc:Choice>
        </mc:AlternateContent>
        <mc:AlternateContent xmlns:mc="http://schemas.openxmlformats.org/markup-compatibility/2006">
          <mc:Choice Requires="x14">
            <control shapeId="10087" r:id="rId6" name="Check Box 2919">
              <controlPr defaultSize="0" autoFill="0" autoLine="0" autoPict="0">
                <anchor moveWithCells="1">
                  <from>
                    <xdr:col>3</xdr:col>
                    <xdr:colOff>0</xdr:colOff>
                    <xdr:row>94</xdr:row>
                    <xdr:rowOff>0</xdr:rowOff>
                  </from>
                  <to>
                    <xdr:col>4</xdr:col>
                    <xdr:colOff>0</xdr:colOff>
                    <xdr:row>95</xdr:row>
                    <xdr:rowOff>28575</xdr:rowOff>
                  </to>
                </anchor>
              </controlPr>
            </control>
          </mc:Choice>
        </mc:AlternateContent>
        <mc:AlternateContent xmlns:mc="http://schemas.openxmlformats.org/markup-compatibility/2006">
          <mc:Choice Requires="x14">
            <control shapeId="10088" r:id="rId7" name="Check Box 2920">
              <controlPr defaultSize="0" autoFill="0" autoLine="0" autoPict="0">
                <anchor moveWithCells="1">
                  <from>
                    <xdr:col>3</xdr:col>
                    <xdr:colOff>0</xdr:colOff>
                    <xdr:row>96</xdr:row>
                    <xdr:rowOff>0</xdr:rowOff>
                  </from>
                  <to>
                    <xdr:col>4</xdr:col>
                    <xdr:colOff>0</xdr:colOff>
                    <xdr:row>97</xdr:row>
                    <xdr:rowOff>28575</xdr:rowOff>
                  </to>
                </anchor>
              </controlPr>
            </control>
          </mc:Choice>
        </mc:AlternateContent>
        <mc:AlternateContent xmlns:mc="http://schemas.openxmlformats.org/markup-compatibility/2006">
          <mc:Choice Requires="x14">
            <control shapeId="10089" r:id="rId8" name="Check Box 2921">
              <controlPr defaultSize="0" autoFill="0" autoLine="0" autoPict="0">
                <anchor moveWithCells="1">
                  <from>
                    <xdr:col>3</xdr:col>
                    <xdr:colOff>0</xdr:colOff>
                    <xdr:row>97</xdr:row>
                    <xdr:rowOff>0</xdr:rowOff>
                  </from>
                  <to>
                    <xdr:col>4</xdr:col>
                    <xdr:colOff>0</xdr:colOff>
                    <xdr:row>98</xdr:row>
                    <xdr:rowOff>28575</xdr:rowOff>
                  </to>
                </anchor>
              </controlPr>
            </control>
          </mc:Choice>
        </mc:AlternateContent>
        <mc:AlternateContent xmlns:mc="http://schemas.openxmlformats.org/markup-compatibility/2006">
          <mc:Choice Requires="x14">
            <control shapeId="10090" r:id="rId9" name="Check Box 2922">
              <controlPr defaultSize="0" autoFill="0" autoLine="0" autoPict="0">
                <anchor moveWithCells="1">
                  <from>
                    <xdr:col>3</xdr:col>
                    <xdr:colOff>0</xdr:colOff>
                    <xdr:row>99</xdr:row>
                    <xdr:rowOff>0</xdr:rowOff>
                  </from>
                  <to>
                    <xdr:col>4</xdr:col>
                    <xdr:colOff>0</xdr:colOff>
                    <xdr:row>100</xdr:row>
                    <xdr:rowOff>28575</xdr:rowOff>
                  </to>
                </anchor>
              </controlPr>
            </control>
          </mc:Choice>
        </mc:AlternateContent>
        <mc:AlternateContent xmlns:mc="http://schemas.openxmlformats.org/markup-compatibility/2006">
          <mc:Choice Requires="x14">
            <control shapeId="10091" r:id="rId10" name="Check Box 2923">
              <controlPr defaultSize="0" autoFill="0" autoLine="0" autoPict="0">
                <anchor moveWithCells="1">
                  <from>
                    <xdr:col>3</xdr:col>
                    <xdr:colOff>0</xdr:colOff>
                    <xdr:row>100</xdr:row>
                    <xdr:rowOff>0</xdr:rowOff>
                  </from>
                  <to>
                    <xdr:col>4</xdr:col>
                    <xdr:colOff>0</xdr:colOff>
                    <xdr:row>101</xdr:row>
                    <xdr:rowOff>28575</xdr:rowOff>
                  </to>
                </anchor>
              </controlPr>
            </control>
          </mc:Choice>
        </mc:AlternateContent>
        <mc:AlternateContent xmlns:mc="http://schemas.openxmlformats.org/markup-compatibility/2006">
          <mc:Choice Requires="x14">
            <control shapeId="10093" r:id="rId11" name="Check Box 2925">
              <controlPr defaultSize="0" autoFill="0" autoLine="0" autoPict="0">
                <anchor moveWithCells="1">
                  <from>
                    <xdr:col>3</xdr:col>
                    <xdr:colOff>0</xdr:colOff>
                    <xdr:row>101</xdr:row>
                    <xdr:rowOff>0</xdr:rowOff>
                  </from>
                  <to>
                    <xdr:col>4</xdr:col>
                    <xdr:colOff>0</xdr:colOff>
                    <xdr:row>102</xdr:row>
                    <xdr:rowOff>28575</xdr:rowOff>
                  </to>
                </anchor>
              </controlPr>
            </control>
          </mc:Choice>
        </mc:AlternateContent>
        <mc:AlternateContent xmlns:mc="http://schemas.openxmlformats.org/markup-compatibility/2006">
          <mc:Choice Requires="x14">
            <control shapeId="10124" r:id="rId12" name="Button 2956">
              <controlPr defaultSize="0" print="0" autoFill="0" autoPict="0" macro="[0]!Sheet05.BOC_Tornado">
                <anchor moveWithCells="1" sizeWithCells="1">
                  <from>
                    <xdr:col>79</xdr:col>
                    <xdr:colOff>0</xdr:colOff>
                    <xdr:row>59</xdr:row>
                    <xdr:rowOff>0</xdr:rowOff>
                  </from>
                  <to>
                    <xdr:col>80</xdr:col>
                    <xdr:colOff>0</xdr:colOff>
                    <xdr:row>62</xdr:row>
                    <xdr:rowOff>0</xdr:rowOff>
                  </to>
                </anchor>
              </controlPr>
            </control>
          </mc:Choice>
        </mc:AlternateContent>
        <mc:AlternateContent xmlns:mc="http://schemas.openxmlformats.org/markup-compatibility/2006">
          <mc:Choice Requires="x14">
            <control shapeId="10126" r:id="rId13" name="Button 2958">
              <controlPr defaultSize="0" print="0" autoFill="0" autoPict="0" macro="[0]!Sheet03.Probabilistic">
                <anchor moveWithCells="1" sizeWithCells="1">
                  <from>
                    <xdr:col>84</xdr:col>
                    <xdr:colOff>0</xdr:colOff>
                    <xdr:row>2</xdr:row>
                    <xdr:rowOff>0</xdr:rowOff>
                  </from>
                  <to>
                    <xdr:col>86</xdr:col>
                    <xdr:colOff>0</xdr:colOff>
                    <xdr:row>3</xdr:row>
                    <xdr:rowOff>0</xdr:rowOff>
                  </to>
                </anchor>
              </controlPr>
            </control>
          </mc:Choice>
        </mc:AlternateContent>
        <mc:AlternateContent xmlns:mc="http://schemas.openxmlformats.org/markup-compatibility/2006">
          <mc:Choice Requires="x14">
            <control shapeId="10130" r:id="rId14" name="Button 2962">
              <controlPr defaultSize="0" print="0" autoFill="0" autoPict="0" macro="[0]!Sheet05.Scenario">
                <anchor moveWithCells="1" sizeWithCells="1">
                  <from>
                    <xdr:col>87</xdr:col>
                    <xdr:colOff>0</xdr:colOff>
                    <xdr:row>2</xdr:row>
                    <xdr:rowOff>0</xdr:rowOff>
                  </from>
                  <to>
                    <xdr:col>88</xdr:col>
                    <xdr:colOff>0</xdr:colOff>
                    <xdr:row>3</xdr:row>
                    <xdr:rowOff>0</xdr:rowOff>
                  </to>
                </anchor>
              </controlPr>
            </control>
          </mc:Choice>
        </mc:AlternateContent>
        <mc:AlternateContent xmlns:mc="http://schemas.openxmlformats.org/markup-compatibility/2006">
          <mc:Choice Requires="x14">
            <control shapeId="10131" r:id="rId15" name="Check Box 2963">
              <controlPr defaultSize="0" autoFill="0" autoLine="0" autoPict="0">
                <anchor moveWithCells="1">
                  <from>
                    <xdr:col>3</xdr:col>
                    <xdr:colOff>0</xdr:colOff>
                    <xdr:row>103</xdr:row>
                    <xdr:rowOff>0</xdr:rowOff>
                  </from>
                  <to>
                    <xdr:col>4</xdr:col>
                    <xdr:colOff>0</xdr:colOff>
                    <xdr:row>104</xdr:row>
                    <xdr:rowOff>28575</xdr:rowOff>
                  </to>
                </anchor>
              </controlPr>
            </control>
          </mc:Choice>
        </mc:AlternateContent>
        <mc:AlternateContent xmlns:mc="http://schemas.openxmlformats.org/markup-compatibility/2006">
          <mc:Choice Requires="x14">
            <control shapeId="10132" r:id="rId16" name="Check Box 2964">
              <controlPr defaultSize="0" autoFill="0" autoLine="0" autoPict="0">
                <anchor moveWithCells="1">
                  <from>
                    <xdr:col>3</xdr:col>
                    <xdr:colOff>0</xdr:colOff>
                    <xdr:row>104</xdr:row>
                    <xdr:rowOff>0</xdr:rowOff>
                  </from>
                  <to>
                    <xdr:col>4</xdr:col>
                    <xdr:colOff>0</xdr:colOff>
                    <xdr:row>105</xdr:row>
                    <xdr:rowOff>28575</xdr:rowOff>
                  </to>
                </anchor>
              </controlPr>
            </control>
          </mc:Choice>
        </mc:AlternateContent>
        <mc:AlternateContent xmlns:mc="http://schemas.openxmlformats.org/markup-compatibility/2006">
          <mc:Choice Requires="x14">
            <control shapeId="10133" r:id="rId17" name="Check Box 2965">
              <controlPr defaultSize="0" autoFill="0" autoLine="0" autoPict="0">
                <anchor moveWithCells="1">
                  <from>
                    <xdr:col>3</xdr:col>
                    <xdr:colOff>0</xdr:colOff>
                    <xdr:row>106</xdr:row>
                    <xdr:rowOff>0</xdr:rowOff>
                  </from>
                  <to>
                    <xdr:col>4</xdr:col>
                    <xdr:colOff>0</xdr:colOff>
                    <xdr:row>107</xdr:row>
                    <xdr:rowOff>28575</xdr:rowOff>
                  </to>
                </anchor>
              </controlPr>
            </control>
          </mc:Choice>
        </mc:AlternateContent>
        <mc:AlternateContent xmlns:mc="http://schemas.openxmlformats.org/markup-compatibility/2006">
          <mc:Choice Requires="x14">
            <control shapeId="10134" r:id="rId18" name="Check Box 2966">
              <controlPr defaultSize="0" autoFill="0" autoLine="0" autoPict="0">
                <anchor moveWithCells="1">
                  <from>
                    <xdr:col>3</xdr:col>
                    <xdr:colOff>0</xdr:colOff>
                    <xdr:row>107</xdr:row>
                    <xdr:rowOff>0</xdr:rowOff>
                  </from>
                  <to>
                    <xdr:col>4</xdr:col>
                    <xdr:colOff>0</xdr:colOff>
                    <xdr:row>108</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108</vt:i4>
      </vt:variant>
    </vt:vector>
  </HeadingPairs>
  <TitlesOfParts>
    <vt:vector size="114" baseType="lpstr">
      <vt:lpstr>VOI_Parameters</vt:lpstr>
      <vt:lpstr>VOI</vt:lpstr>
      <vt:lpstr>PSA</vt:lpstr>
      <vt:lpstr>Regression</vt:lpstr>
      <vt:lpstr>OWSA</vt:lpstr>
      <vt:lpstr>Breast_Ovarian</vt:lpstr>
      <vt:lpstr>adherence</vt:lpstr>
      <vt:lpstr>adherence2</vt:lpstr>
      <vt:lpstr>adherence3</vt:lpstr>
      <vt:lpstr>age</vt:lpstr>
      <vt:lpstr>avoid_loss</vt:lpstr>
      <vt:lpstr>avoidance</vt:lpstr>
      <vt:lpstr>avoidance2</vt:lpstr>
      <vt:lpstr>avoidance3</vt:lpstr>
      <vt:lpstr>boc_aff_bc</vt:lpstr>
      <vt:lpstr>boc_cost_bc_cont_64</vt:lpstr>
      <vt:lpstr>boc_cost_bc_cont_65</vt:lpstr>
      <vt:lpstr>boc_cost_bc_initial_64</vt:lpstr>
      <vt:lpstr>boc_cost_bc_initial_65</vt:lpstr>
      <vt:lpstr>boc_cost_bc_last_64</vt:lpstr>
      <vt:lpstr>boc_cost_bc_last_65</vt:lpstr>
      <vt:lpstr>boc_cost_mast</vt:lpstr>
      <vt:lpstr>boc_cost_oc_cont_64</vt:lpstr>
      <vt:lpstr>boc_cost_oc_cont_65</vt:lpstr>
      <vt:lpstr>boc_cost_oc_initial_64</vt:lpstr>
      <vt:lpstr>boc_cost_oc_initial_65</vt:lpstr>
      <vt:lpstr>boc_cost_oc_last_64</vt:lpstr>
      <vt:lpstr>boc_cost_oc_last_65</vt:lpstr>
      <vt:lpstr>boc_cost_ooph</vt:lpstr>
      <vt:lpstr>boc_cost_postc</vt:lpstr>
      <vt:lpstr>boc_disutil_know</vt:lpstr>
      <vt:lpstr>boc_disutil_mast</vt:lpstr>
      <vt:lpstr>boc_disutil_ooph</vt:lpstr>
      <vt:lpstr>boc_hr_bc_mast_1</vt:lpstr>
      <vt:lpstr>boc_hr_bc_mast_2</vt:lpstr>
      <vt:lpstr>boc_hr_bc_ooph_1</vt:lpstr>
      <vt:lpstr>boc_hr_bc_ooph_2</vt:lpstr>
      <vt:lpstr>boc_hr_oc_mast_1</vt:lpstr>
      <vt:lpstr>boc_hr_oc_mast_2</vt:lpstr>
      <vt:lpstr>boc_hr_oc_ooph_1</vt:lpstr>
      <vt:lpstr>boc_hr_oc_ooph_2</vt:lpstr>
      <vt:lpstr>boc_inc</vt:lpstr>
      <vt:lpstr>boc_inc_upt</vt:lpstr>
      <vt:lpstr>boc_known</vt:lpstr>
      <vt:lpstr>boc_mort</vt:lpstr>
      <vt:lpstr>boc_mort_bc</vt:lpstr>
      <vt:lpstr>boc_mort_oc</vt:lpstr>
      <vt:lpstr>boc_mort_pc</vt:lpstr>
      <vt:lpstr>boc_mut_brca1</vt:lpstr>
      <vt:lpstr>boc_mut_brca2</vt:lpstr>
      <vt:lpstr>boc_mut_other</vt:lpstr>
      <vt:lpstr>boc_notest_cost</vt:lpstr>
      <vt:lpstr>boc_notest_qalys</vt:lpstr>
      <vt:lpstr>boc_test_cost</vt:lpstr>
      <vt:lpstr>boc_test_qalys</vt:lpstr>
      <vt:lpstr>boc_unaff</vt:lpstr>
      <vt:lpstr>boc_unkn_mast</vt:lpstr>
      <vt:lpstr>boc_unkn_ooph</vt:lpstr>
      <vt:lpstr>boc_uptake</vt:lpstr>
      <vt:lpstr>boc_util_bc</vt:lpstr>
      <vt:lpstr>boc_util_oc</vt:lpstr>
      <vt:lpstr>boc_util_pc_bc</vt:lpstr>
      <vt:lpstr>boc_util_pc_oc</vt:lpstr>
      <vt:lpstr>cohort</vt:lpstr>
      <vt:lpstr>cost_assay</vt:lpstr>
      <vt:lpstr>cost_couns</vt:lpstr>
      <vt:lpstr>cost_review</vt:lpstr>
      <vt:lpstr>discount</vt:lpstr>
      <vt:lpstr>eff_pop</vt:lpstr>
      <vt:lpstr>evsi_n</vt:lpstr>
      <vt:lpstr>horizon</vt:lpstr>
      <vt:lpstr>inner</vt:lpstr>
      <vt:lpstr>outer</vt:lpstr>
      <vt:lpstr>over_notest_cost</vt:lpstr>
      <vt:lpstr>over_notest_qalys</vt:lpstr>
      <vt:lpstr>over_test_cost</vt:lpstr>
      <vt:lpstr>over_test_qalys</vt:lpstr>
      <vt:lpstr>owsa</vt:lpstr>
      <vt:lpstr>owsa_boc</vt:lpstr>
      <vt:lpstr>pen_arvc</vt:lpstr>
      <vt:lpstr>pen_bc</vt:lpstr>
      <vt:lpstr>pen_fh</vt:lpstr>
      <vt:lpstr>pen_hc</vt:lpstr>
      <vt:lpstr>pen_longQT</vt:lpstr>
      <vt:lpstr>pen_ls</vt:lpstr>
      <vt:lpstr>pen_mhyp</vt:lpstr>
      <vt:lpstr>pen_rare</vt:lpstr>
      <vt:lpstr>penetrance</vt:lpstr>
      <vt:lpstr>penetrance2</vt:lpstr>
      <vt:lpstr>penetrance3</vt:lpstr>
      <vt:lpstr>ppn_avoid</vt:lpstr>
      <vt:lpstr>ppn_util_arvc</vt:lpstr>
      <vt:lpstr>ppn_util_bc</vt:lpstr>
      <vt:lpstr>ppn_util_fh</vt:lpstr>
      <vt:lpstr>ppn_util_hc</vt:lpstr>
      <vt:lpstr>ppn_util_LQTS</vt:lpstr>
      <vt:lpstr>ppn_util_ls</vt:lpstr>
      <vt:lpstr>ppn_util_mhyp</vt:lpstr>
      <vt:lpstr>ppn_util_rare</vt:lpstr>
      <vt:lpstr>prev_arvc</vt:lpstr>
      <vt:lpstr>prev_bc</vt:lpstr>
      <vt:lpstr>prev_fh</vt:lpstr>
      <vt:lpstr>prev_hc</vt:lpstr>
      <vt:lpstr>prev_LQTS</vt:lpstr>
      <vt:lpstr>prev_ls</vt:lpstr>
      <vt:lpstr>prev_mhyp</vt:lpstr>
      <vt:lpstr>prev_rare</vt:lpstr>
      <vt:lpstr>prevalence</vt:lpstr>
      <vt:lpstr>prevalence2</vt:lpstr>
      <vt:lpstr>prevalence3</vt:lpstr>
      <vt:lpstr>psa</vt:lpstr>
      <vt:lpstr>psa_2</vt:lpstr>
      <vt:lpstr>util_well</vt:lpstr>
      <vt:lpstr>wtp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greguz</dc:creator>
  <cp:lastModifiedBy>Greg Guzauskas</cp:lastModifiedBy>
  <dcterms:created xsi:type="dcterms:W3CDTF">2018-02-07T20:38:08Z</dcterms:created>
  <dcterms:modified xsi:type="dcterms:W3CDTF">2018-08-10T16:52:03Z</dcterms:modified>
</cp:coreProperties>
</file>