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rand\Downloads\"/>
    </mc:Choice>
  </mc:AlternateContent>
  <xr:revisionPtr revIDLastSave="0" documentId="8_{6B8D629A-BFF2-42CA-B764-1B57FED6E34D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napshot" sheetId="1" r:id="rId1"/>
    <sheet name="PhaseAssessment" sheetId="2" r:id="rId2"/>
    <sheet name="KPIs" sheetId="3" r:id="rId3"/>
    <sheet name="CACLTV" sheetId="4" r:id="rId4"/>
    <sheet name="ARDSO" sheetId="5" r:id="rId5"/>
    <sheet name="GMbyService" sheetId="6" r:id="rId6"/>
    <sheet name="Utilization" sheetId="7" r:id="rId7"/>
    <sheet name="BackwardPlan" sheetId="8" r:id="rId8"/>
    <sheet name="Cash90Day" sheetId="9" r:id="rId9"/>
    <sheet name="Checklists" sheetId="10" r:id="rId10"/>
    <sheet name="Data_Validation" sheetId="11" r:id="rId11"/>
  </sheets>
  <calcPr calcId="191029"/>
  <fileRecoveryPr repairLoad="1"/>
</workbook>
</file>

<file path=xl/calcChain.xml><?xml version="1.0" encoding="utf-8"?>
<calcChain xmlns="http://schemas.openxmlformats.org/spreadsheetml/2006/main">
  <c r="D15" i="9" l="1"/>
  <c r="C15" i="9"/>
  <c r="C17" i="9" s="1"/>
  <c r="E12" i="9"/>
  <c r="E14" i="9" s="1"/>
  <c r="D12" i="9"/>
  <c r="D14" i="9" s="1"/>
  <c r="C12" i="9"/>
  <c r="C14" i="9" s="1"/>
  <c r="C23" i="8"/>
  <c r="C22" i="8"/>
  <c r="C21" i="8"/>
  <c r="C18" i="8"/>
  <c r="C17" i="8"/>
  <c r="C16" i="8"/>
  <c r="C15" i="8"/>
  <c r="C14" i="8"/>
  <c r="C13" i="8"/>
  <c r="B7" i="7"/>
  <c r="B8" i="7" s="1"/>
  <c r="B9" i="7" s="1"/>
  <c r="D2" i="7"/>
  <c r="F2" i="7" s="1"/>
  <c r="H2" i="7" s="1"/>
  <c r="E5" i="6"/>
  <c r="G5" i="6" s="1"/>
  <c r="D5" i="6"/>
  <c r="E4" i="6"/>
  <c r="G4" i="6" s="1"/>
  <c r="D4" i="6"/>
  <c r="E3" i="6"/>
  <c r="G3" i="6" s="1"/>
  <c r="D3" i="6"/>
  <c r="G2" i="6"/>
  <c r="E2" i="6"/>
  <c r="D2" i="6"/>
  <c r="E2" i="5"/>
  <c r="G2" i="5" s="1"/>
  <c r="B18" i="4"/>
  <c r="B17" i="4"/>
  <c r="B13" i="4"/>
  <c r="B14" i="4" s="1"/>
  <c r="D14" i="4" s="1"/>
  <c r="B10" i="4"/>
  <c r="J2" i="3"/>
  <c r="H2" i="3"/>
  <c r="B17" i="2"/>
  <c r="B15" i="2"/>
  <c r="B13" i="2"/>
  <c r="B16" i="2" s="1"/>
  <c r="D23" i="1"/>
  <c r="B22" i="1"/>
  <c r="D22" i="1" s="1"/>
  <c r="B19" i="1"/>
  <c r="B17" i="1"/>
  <c r="D17" i="1" s="1"/>
  <c r="B11" i="1"/>
  <c r="D11" i="1" s="1"/>
  <c r="B8" i="1"/>
  <c r="D8" i="1" s="1"/>
  <c r="B5" i="1"/>
  <c r="B13" i="1" s="1"/>
  <c r="B14" i="1" s="1"/>
  <c r="D14" i="1" s="1"/>
  <c r="D18" i="9" l="1"/>
  <c r="D16" i="9"/>
  <c r="E17" i="9" s="1"/>
  <c r="E18" i="9"/>
  <c r="E16" i="9"/>
  <c r="C16" i="9"/>
  <c r="D17" i="9" s="1"/>
  <c r="C18" i="9"/>
  <c r="B6" i="7"/>
</calcChain>
</file>

<file path=xl/sharedStrings.xml><?xml version="1.0" encoding="utf-8"?>
<sst xmlns="http://schemas.openxmlformats.org/spreadsheetml/2006/main" count="272" uniqueCount="182">
  <si>
    <t>Metric</t>
  </si>
  <si>
    <t>Value</t>
  </si>
  <si>
    <t>Target</t>
  </si>
  <si>
    <t>Status</t>
  </si>
  <si>
    <t>ARR</t>
  </si>
  <si>
    <t>MRR</t>
  </si>
  <si>
    <t>MRR clients</t>
  </si>
  <si>
    <t>Avg MRR per client</t>
  </si>
  <si>
    <t>Service revenue monthly</t>
  </si>
  <si>
    <t>Service COGS monthly</t>
  </si>
  <si>
    <t>Service GM %</t>
  </si>
  <si>
    <t>Sales &amp; marketing spend</t>
  </si>
  <si>
    <t>New clients this period</t>
  </si>
  <si>
    <t>CAC</t>
  </si>
  <si>
    <t>Avg retention months</t>
  </si>
  <si>
    <t>LTV</t>
  </si>
  <si>
    <t>LTV/CAC</t>
  </si>
  <si>
    <t>AR balance today</t>
  </si>
  <si>
    <t>Revenue last 90 days</t>
  </si>
  <si>
    <t>DSO</t>
  </si>
  <si>
    <t>FTE count</t>
  </si>
  <si>
    <t>Staff-to-revenue ratio</t>
  </si>
  <si>
    <t>Total available hours/FTE/week</t>
  </si>
  <si>
    <t>Total billable hours last week</t>
  </si>
  <si>
    <t>Utilization %</t>
  </si>
  <si>
    <t>SLA attainment %</t>
  </si>
  <si>
    <t>CSAT/NPS</t>
  </si>
  <si>
    <t>Input</t>
  </si>
  <si>
    <t>Assessment</t>
  </si>
  <si>
    <t>Revenue band</t>
  </si>
  <si>
    <t>&lt;1M</t>
  </si>
  <si>
    <t>Client count</t>
  </si>
  <si>
    <t>Average MRR per client</t>
  </si>
  <si>
    <t>System Maturity (TRUE/FALSE)</t>
  </si>
  <si>
    <t>PSA in place</t>
  </si>
  <si>
    <t>SOPs documented</t>
  </si>
  <si>
    <t>AR automation live</t>
  </si>
  <si>
    <t>AM/TBR cadence</t>
  </si>
  <si>
    <t>Finance controller</t>
  </si>
  <si>
    <t>Red flags count</t>
  </si>
  <si>
    <t>Your Phase</t>
  </si>
  <si>
    <t>Risk Score</t>
  </si>
  <si>
    <t>Pages to read</t>
  </si>
  <si>
    <t>Date</t>
  </si>
  <si>
    <t>Revenue</t>
  </si>
  <si>
    <t>New Clients</t>
  </si>
  <si>
    <t>Churned Clients</t>
  </si>
  <si>
    <t>Service Revenue</t>
  </si>
  <si>
    <t>Service COGS</t>
  </si>
  <si>
    <t>AR Balance</t>
  </si>
  <si>
    <t>FTEs</t>
  </si>
  <si>
    <t>SLA %</t>
  </si>
  <si>
    <t>Benchmark</t>
  </si>
  <si>
    <t>Period start date</t>
  </si>
  <si>
    <t>Period end date</t>
  </si>
  <si>
    <t>New clients acquired</t>
  </si>
  <si>
    <t>Avg MRR per new client</t>
  </si>
  <si>
    <t>SMB CAC benchmark</t>
  </si>
  <si>
    <t>Mid-market CAC benchmark</t>
  </si>
  <si>
    <t>CAC vs SMB benchmark</t>
  </si>
  <si>
    <t>CAC vs Mid-market benchmark</t>
  </si>
  <si>
    <t>Month</t>
  </si>
  <si>
    <t>Collections</t>
  </si>
  <si>
    <t>Ending AR</t>
  </si>
  <si>
    <t>Target DSO</t>
  </si>
  <si>
    <t>Payment Terms</t>
  </si>
  <si>
    <t>% ACH on File</t>
  </si>
  <si>
    <t>% Overdue</t>
  </si>
  <si>
    <t>Actions</t>
  </si>
  <si>
    <t>Service Name</t>
  </si>
  <si>
    <t>Monthly Revenue</t>
  </si>
  <si>
    <t>Monthly COGS</t>
  </si>
  <si>
    <t>GM $</t>
  </si>
  <si>
    <t>GM %</t>
  </si>
  <si>
    <t>Target GM %</t>
  </si>
  <si>
    <t>Managed Services</t>
  </si>
  <si>
    <t>Projects</t>
  </si>
  <si>
    <t>Hardware</t>
  </si>
  <si>
    <t>Software</t>
  </si>
  <si>
    <t>Week Start</t>
  </si>
  <si>
    <t>FTE Count</t>
  </si>
  <si>
    <t>Available Hours/FTE</t>
  </si>
  <si>
    <t>Total Available</t>
  </si>
  <si>
    <t>Billable Hours</t>
  </si>
  <si>
    <t>Target %</t>
  </si>
  <si>
    <t>Capacity Planning</t>
  </si>
  <si>
    <t>Target utilization</t>
  </si>
  <si>
    <t>Current capacity (hours/week)</t>
  </si>
  <si>
    <t>Required billable hours</t>
  </si>
  <si>
    <t>Gap (hours)</t>
  </si>
  <si>
    <t>Additional FTEs needed</t>
  </si>
  <si>
    <t>Planning Inputs</t>
  </si>
  <si>
    <t>Calculations</t>
  </si>
  <si>
    <t>Result</t>
  </si>
  <si>
    <t>Target ARR at exit</t>
  </si>
  <si>
    <t>Target date (YYYY-MM-DD)</t>
  </si>
  <si>
    <t>Current ARR</t>
  </si>
  <si>
    <t>Current MRR</t>
  </si>
  <si>
    <t>Avg MRR per account (ARPA)</t>
  </si>
  <si>
    <t>Logo churn rate (monthly %)</t>
  </si>
  <si>
    <t>Revenue churn rate (monthly %)</t>
  </si>
  <si>
    <t>AM expansion rate (monthly %)</t>
  </si>
  <si>
    <t>Win rate (%)</t>
  </si>
  <si>
    <t>Months to target</t>
  </si>
  <si>
    <t>Required ARR delta</t>
  </si>
  <si>
    <t>Required MRR delta</t>
  </si>
  <si>
    <t>Net-new MRR needed (simplified)</t>
  </si>
  <si>
    <t>Net-new clients needed</t>
  </si>
  <si>
    <t>Pipeline needed (3x rule)</t>
  </si>
  <si>
    <t>Quarterly Breakdown</t>
  </si>
  <si>
    <t>Quarters to target</t>
  </si>
  <si>
    <t>Net-new clients per quarter</t>
  </si>
  <si>
    <t>Pipeline per quarter</t>
  </si>
  <si>
    <t>Inputs</t>
  </si>
  <si>
    <t>Month 1</t>
  </si>
  <si>
    <t>Month 2</t>
  </si>
  <si>
    <t>Month 3</t>
  </si>
  <si>
    <t>Starting cash</t>
  </si>
  <si>
    <t>Starting AR</t>
  </si>
  <si>
    <t>Current DSO</t>
  </si>
  <si>
    <t>Monthly recurring revenue</t>
  </si>
  <si>
    <t>Monthly project revenue</t>
  </si>
  <si>
    <t>Monthly OpEx</t>
  </si>
  <si>
    <t>One-time investments</t>
  </si>
  <si>
    <t>Cash Flow Model</t>
  </si>
  <si>
    <t>Collections from AR</t>
  </si>
  <si>
    <t>Current month collections</t>
  </si>
  <si>
    <t>Total cash inflows</t>
  </si>
  <si>
    <t>Total cash outflows</t>
  </si>
  <si>
    <t>Net cash flow</t>
  </si>
  <si>
    <t>Ending cash</t>
  </si>
  <si>
    <t>Runway (months)</t>
  </si>
  <si>
    <t>Phase</t>
  </si>
  <si>
    <t>Item</t>
  </si>
  <si>
    <t>Owner</t>
  </si>
  <si>
    <t>Due Date</t>
  </si>
  <si>
    <t>Phase 1</t>
  </si>
  <si>
    <t>Document services, SLAs, pricing, margins</t>
  </si>
  <si>
    <t>Not started</t>
  </si>
  <si>
    <t>SOPs for top 10 tickets and onboarding</t>
  </si>
  <si>
    <t>Track profit per client; reprice or exit unprofitable</t>
  </si>
  <si>
    <t>Calculate CAC and compare to benchmarks</t>
  </si>
  <si>
    <t>Define core stack aligned to value lenses</t>
  </si>
  <si>
    <t>Basic AR workflow: invoices, reminders, escalation</t>
  </si>
  <si>
    <t>Phase 2</t>
  </si>
  <si>
    <t>ICP definition locked; no exceptions without approval</t>
  </si>
  <si>
    <t>Productized packages with tiered pricing</t>
  </si>
  <si>
    <t>CRM pipeline live; weekly review cadence</t>
  </si>
  <si>
    <t>TBR calendar set for every MRR client</t>
  </si>
  <si>
    <t>Proposal templates and MSA ready</t>
  </si>
  <si>
    <t>Leadership KPIs defined and reviewed monthly</t>
  </si>
  <si>
    <t>Phase 3</t>
  </si>
  <si>
    <t>Org chart finalized with role scorecards</t>
  </si>
  <si>
    <t>PSA fully adopted; time tracking compliance &gt;95%</t>
  </si>
  <si>
    <t>AR automation and payments on file</t>
  </si>
  <si>
    <t>Financial dashboard live; GM by service visible weekly</t>
  </si>
  <si>
    <t>Standardization playbooks across deploy/support/onboarding</t>
  </si>
  <si>
    <t>Automations built for provisioning, license, monitoring</t>
  </si>
  <si>
    <t>Phase 4</t>
  </si>
  <si>
    <t>Billing audit complete; underbilling fixed; price increases issued</t>
  </si>
  <si>
    <t>DSO reduction actions rolled out; weekly cash meeting</t>
  </si>
  <si>
    <t>Capacity plan and hiring freeze rules defined</t>
  </si>
  <si>
    <t>Quality gates and post-incident reviews instituted</t>
  </si>
  <si>
    <t>ICP enforcement; exit non-fit clients</t>
  </si>
  <si>
    <t>AM pipeline &gt;20% of MRR; weekly forecast review</t>
  </si>
  <si>
    <t>Phase 5</t>
  </si>
  <si>
    <t>BHAG and Financial Freedom Number set</t>
  </si>
  <si>
    <t>Backward plan to exit metrics built</t>
  </si>
  <si>
    <t>Compensation aligned to margin and growth</t>
  </si>
  <si>
    <t>Quarterly churn analysis and save plays</t>
  </si>
  <si>
    <t>Revenue diversification check; no client &gt;10%</t>
  </si>
  <si>
    <t>Quarterly board-style review with KPIs and risks</t>
  </si>
  <si>
    <t>Revenue Bands</t>
  </si>
  <si>
    <t>Status Options</t>
  </si>
  <si>
    <t>Phase Options</t>
  </si>
  <si>
    <t>1-3M</t>
  </si>
  <si>
    <t>In progress</t>
  </si>
  <si>
    <t>3-5M</t>
  </si>
  <si>
    <t>Done</t>
  </si>
  <si>
    <t>~5M plateau</t>
  </si>
  <si>
    <t>5-10M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</si>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</sst>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3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1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4"/>
  <sheetViews>
    <sheetView tabSelected="1" workbookViewId="0">
      <selection activeCell="H15" sqref="H15"/>
    </sheetView>
  </sheetViews>
  <sheetFormatPr defaultColWidth="12.6640625" defaultRowHeight="15.75" customHeight="1" x14ac:dyDescent="0.25"/>
  <cols>
    <col min="1" max="1" width="24.109375" customWidth="1"/>
    <col min="2" max="2" width="12.77734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</row>
    <row r="3" spans="1:4" x14ac:dyDescent="0.25">
      <c r="A3" s="2" t="s">
        <v>5</v>
      </c>
    </row>
    <row r="4" spans="1:4" x14ac:dyDescent="0.25">
      <c r="A4" s="2" t="s">
        <v>6</v>
      </c>
    </row>
    <row r="5" spans="1:4" x14ac:dyDescent="0.25">
      <c r="A5" s="2" t="s">
        <v>7</v>
      </c>
      <c r="B5" s="2" t="str">
        <f>IF(B4=0,"",B3/B4)</f>
        <v/>
      </c>
    </row>
    <row r="6" spans="1:4" x14ac:dyDescent="0.25">
      <c r="A6" s="2" t="s">
        <v>8</v>
      </c>
    </row>
    <row r="7" spans="1:4" x14ac:dyDescent="0.25">
      <c r="A7" s="2" t="s">
        <v>9</v>
      </c>
    </row>
    <row r="8" spans="1:4" x14ac:dyDescent="0.25">
      <c r="A8" s="2" t="s">
        <v>10</v>
      </c>
      <c r="B8" s="2" t="str">
        <f>IF(B6=0,"",ROUND((B6-B7)/B6,3))</f>
        <v/>
      </c>
      <c r="C8" s="3">
        <v>0.65</v>
      </c>
      <c r="D8" s="2" t="str">
        <f>IF(B8&gt;=0.65,"✓","⚠")</f>
        <v>✓</v>
      </c>
    </row>
    <row r="9" spans="1:4" x14ac:dyDescent="0.25">
      <c r="A9" s="2" t="s">
        <v>11</v>
      </c>
    </row>
    <row r="10" spans="1:4" x14ac:dyDescent="0.25">
      <c r="A10" s="2" t="s">
        <v>12</v>
      </c>
    </row>
    <row r="11" spans="1:4" x14ac:dyDescent="0.25">
      <c r="A11" s="2" t="s">
        <v>13</v>
      </c>
      <c r="B11" s="2" t="str">
        <f>IF(B10=0,"",B9/B10)</f>
        <v/>
      </c>
      <c r="C11" s="4">
        <v>585</v>
      </c>
      <c r="D11" s="2" t="str">
        <f>IF(B11&lt;=585,"✓","⚠")</f>
        <v>⚠</v>
      </c>
    </row>
    <row r="12" spans="1:4" x14ac:dyDescent="0.25">
      <c r="A12" s="2" t="s">
        <v>14</v>
      </c>
    </row>
    <row r="13" spans="1:4" x14ac:dyDescent="0.25">
      <c r="A13" s="2" t="s">
        <v>15</v>
      </c>
      <c r="B13" s="2" t="str">
        <f>IF(OR(B5=0,B12=0),"",B5B8B12)</f>
        <v/>
      </c>
    </row>
    <row r="14" spans="1:4" x14ac:dyDescent="0.25">
      <c r="A14" s="2" t="s">
        <v>16</v>
      </c>
      <c r="B14" s="2" t="e">
        <f>IF(OR(B13=0,B11=0),"",ROUND(B13/B11,1))</f>
        <v>#VALUE!</v>
      </c>
      <c r="C14" s="2">
        <v>3</v>
      </c>
      <c r="D14" s="2" t="e">
        <f>IF(B14&gt;=3,"✓","⚠")</f>
        <v>#VALUE!</v>
      </c>
    </row>
    <row r="15" spans="1:4" x14ac:dyDescent="0.25">
      <c r="A15" s="2" t="s">
        <v>17</v>
      </c>
    </row>
    <row r="16" spans="1:4" x14ac:dyDescent="0.25">
      <c r="A16" s="2" t="s">
        <v>18</v>
      </c>
    </row>
    <row r="17" spans="1:4" x14ac:dyDescent="0.25">
      <c r="A17" s="2" t="s">
        <v>19</v>
      </c>
      <c r="B17" s="2" t="str">
        <f>IF(B16=0,"",ROUND(B15/(B16/90),0))</f>
        <v/>
      </c>
      <c r="C17" s="2">
        <v>35</v>
      </c>
      <c r="D17" s="2" t="str">
        <f>IF(B17&lt;=35,"✓","⚠")</f>
        <v>⚠</v>
      </c>
    </row>
    <row r="18" spans="1:4" x14ac:dyDescent="0.25">
      <c r="A18" s="2" t="s">
        <v>20</v>
      </c>
    </row>
    <row r="19" spans="1:4" x14ac:dyDescent="0.25">
      <c r="A19" s="2" t="s">
        <v>21</v>
      </c>
      <c r="B19" s="2" t="str">
        <f>IF(B18=0,"",ROUND(B2/B18,0))</f>
        <v/>
      </c>
    </row>
    <row r="20" spans="1:4" x14ac:dyDescent="0.25">
      <c r="A20" s="2" t="s">
        <v>22</v>
      </c>
      <c r="B20" s="2">
        <v>40</v>
      </c>
    </row>
    <row r="21" spans="1:4" x14ac:dyDescent="0.25">
      <c r="A21" s="2" t="s">
        <v>23</v>
      </c>
    </row>
    <row r="22" spans="1:4" x14ac:dyDescent="0.25">
      <c r="A22" s="2" t="s">
        <v>24</v>
      </c>
      <c r="B22" s="2" t="str">
        <f>IF(OR(B18=0,B20=0),"",ROUND(B21/(B18*B20),3))</f>
        <v/>
      </c>
      <c r="C22" s="3">
        <v>0.75</v>
      </c>
      <c r="D22" s="2" t="str">
        <f>IF(B22&gt;=0.7,"✓","⚠")</f>
        <v>✓</v>
      </c>
    </row>
    <row r="23" spans="1:4" x14ac:dyDescent="0.25">
      <c r="A23" s="2" t="s">
        <v>25</v>
      </c>
      <c r="C23" s="3">
        <v>0.9</v>
      </c>
      <c r="D23" s="2" t="str">
        <f>IF(B23&gt;=0.9,"✓","⚠")</f>
        <v>⚠</v>
      </c>
    </row>
    <row r="24" spans="1:4" x14ac:dyDescent="0.25">
      <c r="A24" s="2" t="s">
        <v>26</v>
      </c>
    </row>
  </sheetData>
  <conditionalFormatting sqref="D2:D24">
    <cfRule type="cellIs" dxfId="9" priority="1" stopIfTrue="1" operator="equal">
      <formula>"✓"</formula>
    </cfRule>
    <cfRule type="cellIs" dxfId="8" priority="2" stopIfTrue="1" operator="equal">
      <formula>"⚠"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32"/>
  <sheetViews>
    <sheetView workbookViewId="0"/>
  </sheetViews>
  <sheetFormatPr defaultColWidth="12.6640625" defaultRowHeight="15.75" customHeight="1" x14ac:dyDescent="0.25"/>
  <cols>
    <col min="2" max="2" width="47.6640625" customWidth="1"/>
    <col min="3" max="3" width="14.109375" customWidth="1"/>
    <col min="4" max="4" width="15.21875" customWidth="1"/>
  </cols>
  <sheetData>
    <row r="1" spans="1:5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3</v>
      </c>
    </row>
    <row r="2" spans="1:5" x14ac:dyDescent="0.25">
      <c r="A2" s="2" t="s">
        <v>136</v>
      </c>
      <c r="B2" s="2" t="s">
        <v>137</v>
      </c>
      <c r="E2" s="2" t="s">
        <v>138</v>
      </c>
    </row>
    <row r="3" spans="1:5" x14ac:dyDescent="0.25">
      <c r="A3" s="2" t="s">
        <v>136</v>
      </c>
      <c r="B3" s="2" t="s">
        <v>139</v>
      </c>
      <c r="E3" s="2" t="s">
        <v>138</v>
      </c>
    </row>
    <row r="4" spans="1:5" x14ac:dyDescent="0.25">
      <c r="A4" s="2" t="s">
        <v>136</v>
      </c>
      <c r="B4" s="2" t="s">
        <v>140</v>
      </c>
      <c r="E4" s="2" t="s">
        <v>138</v>
      </c>
    </row>
    <row r="5" spans="1:5" x14ac:dyDescent="0.25">
      <c r="A5" s="2" t="s">
        <v>136</v>
      </c>
      <c r="B5" s="2" t="s">
        <v>141</v>
      </c>
      <c r="E5" s="2" t="s">
        <v>138</v>
      </c>
    </row>
    <row r="6" spans="1:5" x14ac:dyDescent="0.25">
      <c r="A6" s="2" t="s">
        <v>136</v>
      </c>
      <c r="B6" s="2" t="s">
        <v>142</v>
      </c>
      <c r="E6" s="2" t="s">
        <v>138</v>
      </c>
    </row>
    <row r="7" spans="1:5" x14ac:dyDescent="0.25">
      <c r="A7" s="2" t="s">
        <v>136</v>
      </c>
      <c r="B7" s="2" t="s">
        <v>143</v>
      </c>
      <c r="E7" s="2" t="s">
        <v>138</v>
      </c>
    </row>
    <row r="8" spans="1:5" x14ac:dyDescent="0.25">
      <c r="A8" s="2" t="s">
        <v>144</v>
      </c>
      <c r="B8" s="2" t="s">
        <v>145</v>
      </c>
      <c r="E8" s="2" t="s">
        <v>138</v>
      </c>
    </row>
    <row r="9" spans="1:5" x14ac:dyDescent="0.25">
      <c r="A9" s="2" t="s">
        <v>144</v>
      </c>
      <c r="B9" s="2" t="s">
        <v>146</v>
      </c>
      <c r="E9" s="2" t="s">
        <v>138</v>
      </c>
    </row>
    <row r="10" spans="1:5" x14ac:dyDescent="0.25">
      <c r="A10" s="2" t="s">
        <v>144</v>
      </c>
      <c r="B10" s="2" t="s">
        <v>147</v>
      </c>
      <c r="E10" s="2" t="s">
        <v>138</v>
      </c>
    </row>
    <row r="11" spans="1:5" x14ac:dyDescent="0.25">
      <c r="A11" s="2" t="s">
        <v>144</v>
      </c>
      <c r="B11" s="2" t="s">
        <v>148</v>
      </c>
      <c r="E11" s="2" t="s">
        <v>138</v>
      </c>
    </row>
    <row r="12" spans="1:5" x14ac:dyDescent="0.25">
      <c r="A12" s="2" t="s">
        <v>144</v>
      </c>
      <c r="B12" s="2" t="s">
        <v>149</v>
      </c>
      <c r="E12" s="2" t="s">
        <v>138</v>
      </c>
    </row>
    <row r="13" spans="1:5" x14ac:dyDescent="0.25">
      <c r="A13" s="2" t="s">
        <v>144</v>
      </c>
      <c r="B13" s="2" t="s">
        <v>150</v>
      </c>
      <c r="E13" s="2" t="s">
        <v>138</v>
      </c>
    </row>
    <row r="14" spans="1:5" x14ac:dyDescent="0.25">
      <c r="A14" s="2" t="s">
        <v>151</v>
      </c>
      <c r="B14" s="2" t="s">
        <v>152</v>
      </c>
      <c r="E14" s="2" t="s">
        <v>138</v>
      </c>
    </row>
    <row r="15" spans="1:5" x14ac:dyDescent="0.25">
      <c r="A15" s="2" t="s">
        <v>151</v>
      </c>
      <c r="B15" s="2" t="s">
        <v>153</v>
      </c>
      <c r="E15" s="2" t="s">
        <v>138</v>
      </c>
    </row>
    <row r="16" spans="1:5" x14ac:dyDescent="0.25">
      <c r="A16" s="2" t="s">
        <v>151</v>
      </c>
      <c r="B16" s="2" t="s">
        <v>154</v>
      </c>
      <c r="E16" s="2" t="s">
        <v>138</v>
      </c>
    </row>
    <row r="17" spans="1:5" x14ac:dyDescent="0.25">
      <c r="A17" s="2" t="s">
        <v>151</v>
      </c>
      <c r="B17" s="2" t="s">
        <v>155</v>
      </c>
      <c r="E17" s="2" t="s">
        <v>138</v>
      </c>
    </row>
    <row r="18" spans="1:5" x14ac:dyDescent="0.25">
      <c r="A18" s="2" t="s">
        <v>151</v>
      </c>
      <c r="B18" s="2" t="s">
        <v>156</v>
      </c>
      <c r="E18" s="2" t="s">
        <v>138</v>
      </c>
    </row>
    <row r="19" spans="1:5" x14ac:dyDescent="0.25">
      <c r="A19" s="2" t="s">
        <v>151</v>
      </c>
      <c r="B19" s="2" t="s">
        <v>157</v>
      </c>
      <c r="E19" s="2" t="s">
        <v>138</v>
      </c>
    </row>
    <row r="20" spans="1:5" x14ac:dyDescent="0.25">
      <c r="A20" s="2" t="s">
        <v>158</v>
      </c>
      <c r="B20" s="2" t="s">
        <v>159</v>
      </c>
      <c r="E20" s="2" t="s">
        <v>138</v>
      </c>
    </row>
    <row r="21" spans="1:5" x14ac:dyDescent="0.25">
      <c r="A21" s="2" t="s">
        <v>158</v>
      </c>
      <c r="B21" s="2" t="s">
        <v>160</v>
      </c>
      <c r="E21" s="2" t="s">
        <v>138</v>
      </c>
    </row>
    <row r="22" spans="1:5" x14ac:dyDescent="0.25">
      <c r="A22" s="2" t="s">
        <v>158</v>
      </c>
      <c r="B22" s="2" t="s">
        <v>161</v>
      </c>
      <c r="E22" s="2" t="s">
        <v>138</v>
      </c>
    </row>
    <row r="23" spans="1:5" x14ac:dyDescent="0.25">
      <c r="A23" s="2" t="s">
        <v>158</v>
      </c>
      <c r="B23" s="2" t="s">
        <v>162</v>
      </c>
      <c r="E23" s="2" t="s">
        <v>138</v>
      </c>
    </row>
    <row r="24" spans="1:5" x14ac:dyDescent="0.25">
      <c r="A24" s="2" t="s">
        <v>158</v>
      </c>
      <c r="B24" s="2" t="s">
        <v>163</v>
      </c>
      <c r="E24" s="2" t="s">
        <v>138</v>
      </c>
    </row>
    <row r="25" spans="1:5" x14ac:dyDescent="0.25">
      <c r="A25" s="2" t="s">
        <v>158</v>
      </c>
      <c r="B25" s="2" t="s">
        <v>164</v>
      </c>
      <c r="E25" s="2" t="s">
        <v>138</v>
      </c>
    </row>
    <row r="26" spans="1:5" x14ac:dyDescent="0.25">
      <c r="A26" s="2" t="s">
        <v>165</v>
      </c>
      <c r="B26" s="2" t="s">
        <v>166</v>
      </c>
      <c r="E26" s="2" t="s">
        <v>138</v>
      </c>
    </row>
    <row r="27" spans="1:5" x14ac:dyDescent="0.25">
      <c r="A27" s="2" t="s">
        <v>165</v>
      </c>
      <c r="B27" s="2" t="s">
        <v>167</v>
      </c>
      <c r="E27" s="2" t="s">
        <v>138</v>
      </c>
    </row>
    <row r="28" spans="1:5" x14ac:dyDescent="0.25">
      <c r="A28" s="2" t="s">
        <v>165</v>
      </c>
      <c r="B28" s="2" t="s">
        <v>168</v>
      </c>
      <c r="E28" s="2" t="s">
        <v>138</v>
      </c>
    </row>
    <row r="29" spans="1:5" x14ac:dyDescent="0.25">
      <c r="A29" s="2" t="s">
        <v>165</v>
      </c>
      <c r="B29" s="2" t="s">
        <v>169</v>
      </c>
      <c r="E29" s="2" t="s">
        <v>138</v>
      </c>
    </row>
    <row r="30" spans="1:5" x14ac:dyDescent="0.25">
      <c r="A30" s="2" t="s">
        <v>165</v>
      </c>
      <c r="B30" s="2" t="s">
        <v>170</v>
      </c>
      <c r="E30" s="2" t="s">
        <v>138</v>
      </c>
    </row>
    <row r="31" spans="1:5" x14ac:dyDescent="0.25">
      <c r="A31" s="2" t="s">
        <v>165</v>
      </c>
      <c r="B31" s="2" t="s">
        <v>171</v>
      </c>
      <c r="E31" s="2" t="s">
        <v>138</v>
      </c>
    </row>
    <row r="32" spans="1:5" x14ac:dyDescent="0.25">
      <c r="E32" s="2"/>
    </row>
  </sheetData>
  <conditionalFormatting sqref="E2:E32">
    <cfRule type="cellIs" dxfId="2" priority="1" stopIfTrue="1" operator="equal">
      <formula>"Done"</formula>
    </cfRule>
    <cfRule type="cellIs" dxfId="1" priority="2" stopIfTrue="1" operator="equal">
      <formula>"In progress"</formula>
    </cfRule>
    <cfRule type="cellIs" dxfId="0" priority="3" stopIfTrue="1" operator="equal">
      <formula>"Not started"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Data_Validation!$C$2:$C$4</xm:f>
          </x14:formula1>
          <xm:sqref>E2:E32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6"/>
  <sheetViews>
    <sheetView workbookViewId="0">
      <selection activeCell="B13" sqref="B13"/>
    </sheetView>
  </sheetViews>
  <sheetFormatPr defaultColWidth="12.6640625" defaultRowHeight="15.75" customHeight="1" x14ac:dyDescent="0.25"/>
  <cols>
    <col min="1" max="1" width="14" bestFit="1" customWidth="1"/>
  </cols>
  <sheetData>
    <row r="1" spans="1:5" x14ac:dyDescent="0.25">
      <c r="A1" s="2" t="s">
        <v>172</v>
      </c>
      <c r="C1" s="2" t="s">
        <v>173</v>
      </c>
      <c r="E1" s="2" t="s">
        <v>174</v>
      </c>
    </row>
    <row r="2" spans="1:5" x14ac:dyDescent="0.25">
      <c r="A2" s="2" t="s">
        <v>30</v>
      </c>
      <c r="C2" s="2" t="s">
        <v>138</v>
      </c>
      <c r="E2" s="2" t="s">
        <v>136</v>
      </c>
    </row>
    <row r="3" spans="1:5" x14ac:dyDescent="0.25">
      <c r="A3" s="2" t="s">
        <v>175</v>
      </c>
      <c r="C3" s="2" t="s">
        <v>176</v>
      </c>
      <c r="E3" s="2" t="s">
        <v>144</v>
      </c>
    </row>
    <row r="4" spans="1:5" x14ac:dyDescent="0.25">
      <c r="A4" s="2" t="s">
        <v>177</v>
      </c>
      <c r="C4" s="2" t="s">
        <v>178</v>
      </c>
      <c r="E4" s="2" t="s">
        <v>151</v>
      </c>
    </row>
    <row r="5" spans="1:5" x14ac:dyDescent="0.25">
      <c r="A5" s="2" t="s">
        <v>179</v>
      </c>
      <c r="E5" s="2" t="s">
        <v>158</v>
      </c>
    </row>
    <row r="6" spans="1:5" x14ac:dyDescent="0.25">
      <c r="A6" s="2" t="s">
        <v>180</v>
      </c>
      <c r="E6" s="2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>
      <selection activeCell="B13" sqref="B13"/>
    </sheetView>
  </sheetViews>
  <sheetFormatPr defaultColWidth="12.6640625" defaultRowHeight="15.75" customHeight="1" x14ac:dyDescent="0.25"/>
  <cols>
    <col min="1" max="1" width="27.44140625" bestFit="1" customWidth="1"/>
  </cols>
  <sheetData>
    <row r="1" spans="1:3" x14ac:dyDescent="0.25">
      <c r="A1" s="1" t="s">
        <v>27</v>
      </c>
      <c r="B1" s="1" t="s">
        <v>1</v>
      </c>
      <c r="C1" s="1" t="s">
        <v>28</v>
      </c>
    </row>
    <row r="2" spans="1:3" x14ac:dyDescent="0.25">
      <c r="A2" s="2" t="s">
        <v>29</v>
      </c>
      <c r="B2" s="2" t="s">
        <v>30</v>
      </c>
    </row>
    <row r="3" spans="1:3" x14ac:dyDescent="0.25">
      <c r="A3" s="2" t="s">
        <v>31</v>
      </c>
    </row>
    <row r="4" spans="1:3" x14ac:dyDescent="0.25">
      <c r="A4" s="2" t="s">
        <v>32</v>
      </c>
    </row>
    <row r="6" spans="1:3" x14ac:dyDescent="0.25">
      <c r="A6" s="2" t="s">
        <v>33</v>
      </c>
    </row>
    <row r="7" spans="1:3" x14ac:dyDescent="0.25">
      <c r="A7" s="2" t="s">
        <v>34</v>
      </c>
      <c r="B7" s="2" t="b">
        <v>0</v>
      </c>
    </row>
    <row r="8" spans="1:3" x14ac:dyDescent="0.25">
      <c r="A8" s="2" t="s">
        <v>35</v>
      </c>
      <c r="B8" s="2" t="b">
        <v>0</v>
      </c>
    </row>
    <row r="9" spans="1:3" x14ac:dyDescent="0.25">
      <c r="A9" s="2" t="s">
        <v>36</v>
      </c>
      <c r="B9" s="2" t="b">
        <v>0</v>
      </c>
    </row>
    <row r="10" spans="1:3" x14ac:dyDescent="0.25">
      <c r="A10" s="2" t="s">
        <v>37</v>
      </c>
      <c r="B10" s="2" t="b">
        <v>0</v>
      </c>
    </row>
    <row r="11" spans="1:3" x14ac:dyDescent="0.25">
      <c r="A11" s="2" t="s">
        <v>38</v>
      </c>
      <c r="B11" s="2" t="b">
        <v>0</v>
      </c>
    </row>
    <row r="13" spans="1:3" x14ac:dyDescent="0.25">
      <c r="A13" s="2" t="s">
        <v>39</v>
      </c>
      <c r="B13" s="2">
        <f>COUNTIF(B7:B11,FALSE)</f>
        <v>5</v>
      </c>
    </row>
    <row r="15" spans="1:3" x14ac:dyDescent="0.25">
      <c r="A15" s="2" t="s">
        <v>40</v>
      </c>
      <c r="B15" s="2" t="str">
        <f>IF(B2="&lt;1M","Phase 1",IF(B2="1-3M","Phase 2",IF(B2="3-5M","Phase 3",IF(AND(OR(B2="~5M plateau",B2="5-10M"),B13&gt;=2),"Phase 4",IF(B2="5-10M","Phase 5","Review inputs")))))</f>
        <v>Phase 1</v>
      </c>
    </row>
    <row r="16" spans="1:3" x14ac:dyDescent="0.25">
      <c r="A16" s="2" t="s">
        <v>41</v>
      </c>
      <c r="B16" s="2" t="str">
        <f>IF(B13&gt;=3,"High",IF(B13=2,"Medium","Low"))</f>
        <v>High</v>
      </c>
    </row>
    <row r="17" spans="1:2" x14ac:dyDescent="0.25">
      <c r="A17" s="2" t="s">
        <v>42</v>
      </c>
      <c r="B17" s="2" t="str">
        <f>IF(B15="Phase 1","5-6",IF(B15="Phase 2","7-8",IF(B15="Phase 3","9-10",IF(B15="Phase 4","11-13",IF(B15="Phase 5","14-15","All")))))</f>
        <v>5-6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Data_Validation!$A$2:$A$6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"/>
  <sheetViews>
    <sheetView workbookViewId="0">
      <selection activeCell="I3" sqref="I3"/>
    </sheetView>
  </sheetViews>
  <sheetFormatPr defaultColWidth="12.6640625" defaultRowHeight="15.75" customHeight="1" x14ac:dyDescent="0.25"/>
  <sheetData>
    <row r="1" spans="1:13" x14ac:dyDescent="0.25">
      <c r="A1" s="1" t="s">
        <v>43</v>
      </c>
      <c r="B1" s="1" t="s">
        <v>44</v>
      </c>
      <c r="C1" s="1" t="s">
        <v>5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10</v>
      </c>
      <c r="I1" s="1" t="s">
        <v>49</v>
      </c>
      <c r="J1" s="1" t="s">
        <v>19</v>
      </c>
      <c r="K1" s="1" t="s">
        <v>50</v>
      </c>
      <c r="L1" s="1" t="s">
        <v>24</v>
      </c>
      <c r="M1" s="1" t="s">
        <v>51</v>
      </c>
    </row>
    <row r="2" spans="1:13" x14ac:dyDescent="0.25">
      <c r="H2" s="2" t="str">
        <f>IF(F2=0,"",ROUND((F2-G2)/F2,3))</f>
        <v/>
      </c>
      <c r="J2" s="2" t="str">
        <f>IF(B2=0,"",ROUND(I2/(B2/30),0))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>
      <selection activeCell="C7" sqref="C7"/>
    </sheetView>
  </sheetViews>
  <sheetFormatPr defaultColWidth="12.6640625" defaultRowHeight="15.75" customHeight="1" x14ac:dyDescent="0.25"/>
  <cols>
    <col min="1" max="1" width="24.109375" customWidth="1"/>
  </cols>
  <sheetData>
    <row r="1" spans="1:4" x14ac:dyDescent="0.25">
      <c r="A1" s="1" t="s">
        <v>0</v>
      </c>
      <c r="B1" s="1" t="s">
        <v>1</v>
      </c>
      <c r="C1" s="1" t="s">
        <v>52</v>
      </c>
      <c r="D1" s="1" t="s">
        <v>3</v>
      </c>
    </row>
    <row r="2" spans="1:4" x14ac:dyDescent="0.25">
      <c r="A2" s="2" t="s">
        <v>53</v>
      </c>
    </row>
    <row r="3" spans="1:4" x14ac:dyDescent="0.25">
      <c r="A3" s="2" t="s">
        <v>54</v>
      </c>
    </row>
    <row r="4" spans="1:4" x14ac:dyDescent="0.25">
      <c r="A4" s="2" t="s">
        <v>11</v>
      </c>
    </row>
    <row r="5" spans="1:4" x14ac:dyDescent="0.25">
      <c r="A5" s="2" t="s">
        <v>55</v>
      </c>
    </row>
    <row r="6" spans="1:4" x14ac:dyDescent="0.25">
      <c r="A6" s="2" t="s">
        <v>56</v>
      </c>
    </row>
    <row r="7" spans="1:4" x14ac:dyDescent="0.25">
      <c r="A7" s="2" t="s">
        <v>10</v>
      </c>
      <c r="C7" s="3">
        <v>0.65</v>
      </c>
    </row>
    <row r="8" spans="1:4" x14ac:dyDescent="0.25">
      <c r="A8" s="2" t="s">
        <v>14</v>
      </c>
    </row>
    <row r="10" spans="1:4" x14ac:dyDescent="0.25">
      <c r="A10" s="2" t="s">
        <v>13</v>
      </c>
      <c r="B10" s="2" t="str">
        <f>IF(B5=0,"",B4/B5)</f>
        <v/>
      </c>
    </row>
    <row r="11" spans="1:4" x14ac:dyDescent="0.25">
      <c r="A11" s="2" t="s">
        <v>57</v>
      </c>
      <c r="B11" s="2">
        <v>585</v>
      </c>
    </row>
    <row r="12" spans="1:4" x14ac:dyDescent="0.25">
      <c r="A12" s="2" t="s">
        <v>58</v>
      </c>
      <c r="B12" s="2">
        <v>4438</v>
      </c>
    </row>
    <row r="13" spans="1:4" x14ac:dyDescent="0.25">
      <c r="A13" s="2" t="s">
        <v>15</v>
      </c>
      <c r="B13" s="2" t="str">
        <f>IF(OR(B6=0,B7=0,B8=0),"",B6B7B8)</f>
        <v/>
      </c>
    </row>
    <row r="14" spans="1:4" x14ac:dyDescent="0.25">
      <c r="A14" s="2" t="s">
        <v>16</v>
      </c>
      <c r="B14" s="2" t="e">
        <f>IF(OR(B13=0,B10=0),"",ROUND(B13/B10,1))</f>
        <v>#VALUE!</v>
      </c>
      <c r="C14" s="2">
        <v>3</v>
      </c>
      <c r="D14" s="2" t="e">
        <f>IF(B14&gt;=3,"✓","⚠")</f>
        <v>#VALUE!</v>
      </c>
    </row>
    <row r="16" spans="1:4" x14ac:dyDescent="0.25">
      <c r="A16" s="2" t="s">
        <v>28</v>
      </c>
    </row>
    <row r="17" spans="1:2" x14ac:dyDescent="0.25">
      <c r="A17" s="2" t="s">
        <v>59</v>
      </c>
      <c r="B17" s="2" t="str">
        <f ca="1">IFERROR(__xludf.DUMMYFUNCTION("IF(B10=0,"""",IF(B10&lt;=B111.5,""Good"",""High""))"),"#REF!")</f>
        <v>#REF!</v>
      </c>
    </row>
    <row r="18" spans="1:2" x14ac:dyDescent="0.25">
      <c r="A18" s="2" t="s">
        <v>60</v>
      </c>
      <c r="B18" s="2" t="str">
        <f ca="1">IFERROR(__xludf.DUMMYFUNCTION("IF(B10=0,"""",IF(B10&lt;=B121.5,""Good"",""High""))"),"#REF!")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"/>
  <sheetViews>
    <sheetView workbookViewId="0">
      <selection activeCell="I6" sqref="I6"/>
    </sheetView>
  </sheetViews>
  <sheetFormatPr defaultColWidth="12.6640625" defaultRowHeight="15.75" customHeight="1" x14ac:dyDescent="0.25"/>
  <sheetData>
    <row r="1" spans="1:11" x14ac:dyDescent="0.25">
      <c r="A1" s="1" t="s">
        <v>61</v>
      </c>
      <c r="B1" s="1" t="s">
        <v>44</v>
      </c>
      <c r="C1" s="1" t="s">
        <v>62</v>
      </c>
      <c r="D1" s="1" t="s">
        <v>63</v>
      </c>
      <c r="E1" s="1" t="s">
        <v>19</v>
      </c>
      <c r="F1" s="1" t="s">
        <v>64</v>
      </c>
      <c r="G1" s="1" t="s">
        <v>3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 x14ac:dyDescent="0.25">
      <c r="E2" s="2" t="str">
        <f>IF(B2=0,"",ROUND(D2/(B2/30),0))</f>
        <v/>
      </c>
      <c r="F2" s="2">
        <v>35</v>
      </c>
      <c r="G2" s="2" t="str">
        <f>IF(E2&lt;=35,"✓","⚠")</f>
        <v>⚠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F2" sqref="F2"/>
    </sheetView>
  </sheetViews>
  <sheetFormatPr defaultColWidth="12.6640625" defaultRowHeight="15.75" customHeight="1" x14ac:dyDescent="0.25"/>
  <cols>
    <col min="1" max="1" width="16.109375" bestFit="1" customWidth="1"/>
  </cols>
  <sheetData>
    <row r="1" spans="1:7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3</v>
      </c>
    </row>
    <row r="2" spans="1:7" x14ac:dyDescent="0.25">
      <c r="A2" s="2" t="s">
        <v>75</v>
      </c>
      <c r="D2" s="2">
        <f t="shared" ref="D2:D5" si="0">B2-C2</f>
        <v>0</v>
      </c>
      <c r="E2" s="2" t="str">
        <f t="shared" ref="E2:E5" si="1">IF(B2=0,"",ROUND((B2-C2)/B2,3))</f>
        <v/>
      </c>
      <c r="F2" s="3">
        <v>0.65</v>
      </c>
      <c r="G2" s="2" t="str">
        <f>IF(E2&gt;=0.65,"✓","⚠")</f>
        <v>✓</v>
      </c>
    </row>
    <row r="3" spans="1:7" x14ac:dyDescent="0.25">
      <c r="A3" s="2" t="s">
        <v>76</v>
      </c>
      <c r="D3" s="2">
        <f t="shared" si="0"/>
        <v>0</v>
      </c>
      <c r="E3" s="2" t="str">
        <f t="shared" si="1"/>
        <v/>
      </c>
      <c r="F3" s="3">
        <v>0.4</v>
      </c>
      <c r="G3" s="2" t="str">
        <f>IF(E3&gt;=0.4,"✓","⚠")</f>
        <v>✓</v>
      </c>
    </row>
    <row r="4" spans="1:7" x14ac:dyDescent="0.25">
      <c r="A4" s="2" t="s">
        <v>77</v>
      </c>
      <c r="D4" s="2">
        <f t="shared" si="0"/>
        <v>0</v>
      </c>
      <c r="E4" s="2" t="str">
        <f t="shared" si="1"/>
        <v/>
      </c>
      <c r="F4" s="3">
        <v>0.15</v>
      </c>
      <c r="G4" s="2" t="str">
        <f>IF(E4&gt;=0.15,"✓","⚠")</f>
        <v>✓</v>
      </c>
    </row>
    <row r="5" spans="1:7" x14ac:dyDescent="0.25">
      <c r="A5" s="2" t="s">
        <v>78</v>
      </c>
      <c r="D5" s="2">
        <f t="shared" si="0"/>
        <v>0</v>
      </c>
      <c r="E5" s="2" t="str">
        <f t="shared" si="1"/>
        <v/>
      </c>
      <c r="F5" s="3">
        <v>0.2</v>
      </c>
      <c r="G5" s="2" t="str">
        <f>IF(E5&gt;=0.2,"✓","⚠")</f>
        <v>✓</v>
      </c>
    </row>
  </sheetData>
  <conditionalFormatting sqref="E2:E5">
    <cfRule type="cellIs" dxfId="7" priority="1" stopIfTrue="1" operator="lessThan">
      <formula>0.3</formula>
    </cfRule>
    <cfRule type="cellIs" dxfId="6" priority="2" stopIfTrue="1" operator="between">
      <formula>0.3</formula>
      <formula>0.6</formula>
    </cfRule>
    <cfRule type="cellIs" dxfId="5" priority="3" stopIfTrue="1" operator="greaterThan">
      <formula>0.6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"/>
  <sheetViews>
    <sheetView workbookViewId="0">
      <selection activeCell="D2" sqref="D2"/>
    </sheetView>
  </sheetViews>
  <sheetFormatPr defaultColWidth="12.6640625" defaultRowHeight="15.75" customHeight="1" x14ac:dyDescent="0.25"/>
  <cols>
    <col min="1" max="1" width="26.109375" bestFit="1" customWidth="1"/>
    <col min="2" max="2" width="10.33203125" bestFit="1" customWidth="1"/>
    <col min="3" max="3" width="17.109375" customWidth="1"/>
    <col min="4" max="4" width="12.6640625" customWidth="1"/>
    <col min="6" max="6" width="10.88671875" customWidth="1"/>
  </cols>
  <sheetData>
    <row r="1" spans="1:8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24</v>
      </c>
      <c r="G1" s="1" t="s">
        <v>84</v>
      </c>
      <c r="H1" s="1" t="s">
        <v>3</v>
      </c>
    </row>
    <row r="2" spans="1:8" x14ac:dyDescent="0.25">
      <c r="C2" s="2">
        <v>40</v>
      </c>
      <c r="D2" s="2" t="e">
        <f>B2C2</f>
        <v>#NAME?</v>
      </c>
      <c r="F2" s="5" t="e">
        <f>IF(D2=0,"",ROUND(E2/D2,3))</f>
        <v>#NAME?</v>
      </c>
      <c r="G2" s="3">
        <v>0.75</v>
      </c>
      <c r="H2" s="2" t="e">
        <f>IF(F2&gt;=0.7,"✓","⚠")</f>
        <v>#NAME?</v>
      </c>
    </row>
    <row r="4" spans="1:8" x14ac:dyDescent="0.25">
      <c r="A4" s="6" t="s">
        <v>85</v>
      </c>
      <c r="B4" s="6"/>
      <c r="C4" s="6"/>
      <c r="D4" s="6"/>
      <c r="E4" s="6"/>
      <c r="F4" s="6"/>
      <c r="G4" s="6"/>
      <c r="H4" s="6"/>
    </row>
    <row r="5" spans="1:8" x14ac:dyDescent="0.25">
      <c r="A5" s="2" t="s">
        <v>86</v>
      </c>
      <c r="B5" s="3">
        <v>0.75</v>
      </c>
    </row>
    <row r="6" spans="1:8" x14ac:dyDescent="0.25">
      <c r="A6" s="2" t="s">
        <v>87</v>
      </c>
      <c r="B6" s="2" t="e">
        <f>D2</f>
        <v>#NAME?</v>
      </c>
    </row>
    <row r="7" spans="1:8" x14ac:dyDescent="0.25">
      <c r="A7" s="2" t="s">
        <v>88</v>
      </c>
      <c r="B7" s="2" t="e">
        <f>D2B5</f>
        <v>#NAME?</v>
      </c>
    </row>
    <row r="8" spans="1:8" x14ac:dyDescent="0.25">
      <c r="A8" s="2" t="s">
        <v>89</v>
      </c>
      <c r="B8" s="2" t="e">
        <f>B7-E2</f>
        <v>#NAME?</v>
      </c>
    </row>
    <row r="9" spans="1:8" x14ac:dyDescent="0.25">
      <c r="A9" s="2" t="s">
        <v>90</v>
      </c>
      <c r="B9" s="2" t="e">
        <f>IF(B8&lt;=0,0,ROUNDUP(B8/C2,0))</f>
        <v>#NAME?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3"/>
  <sheetViews>
    <sheetView workbookViewId="0"/>
  </sheetViews>
  <sheetFormatPr defaultColWidth="12.6640625" defaultRowHeight="15.75" customHeight="1" x14ac:dyDescent="0.25"/>
  <cols>
    <col min="1" max="1" width="28.77734375" bestFit="1" customWidth="1"/>
    <col min="2" max="2" width="11.77734375" customWidth="1"/>
  </cols>
  <sheetData>
    <row r="1" spans="1:4" x14ac:dyDescent="0.25">
      <c r="A1" s="1" t="s">
        <v>91</v>
      </c>
      <c r="B1" s="1" t="s">
        <v>1</v>
      </c>
      <c r="C1" s="1" t="s">
        <v>92</v>
      </c>
      <c r="D1" s="1" t="s">
        <v>93</v>
      </c>
    </row>
    <row r="2" spans="1:4" x14ac:dyDescent="0.25">
      <c r="A2" s="2" t="s">
        <v>94</v>
      </c>
    </row>
    <row r="3" spans="1:4" x14ac:dyDescent="0.25">
      <c r="A3" s="2" t="s">
        <v>95</v>
      </c>
    </row>
    <row r="4" spans="1:4" x14ac:dyDescent="0.25">
      <c r="A4" s="2" t="s">
        <v>96</v>
      </c>
    </row>
    <row r="5" spans="1:4" x14ac:dyDescent="0.25">
      <c r="A5" s="2" t="s">
        <v>97</v>
      </c>
    </row>
    <row r="6" spans="1:4" x14ac:dyDescent="0.25">
      <c r="A6" s="2" t="s">
        <v>98</v>
      </c>
    </row>
    <row r="7" spans="1:4" x14ac:dyDescent="0.25">
      <c r="A7" s="2" t="s">
        <v>99</v>
      </c>
    </row>
    <row r="8" spans="1:4" x14ac:dyDescent="0.25">
      <c r="A8" s="2" t="s">
        <v>100</v>
      </c>
    </row>
    <row r="9" spans="1:4" x14ac:dyDescent="0.25">
      <c r="A9" s="2" t="s">
        <v>101</v>
      </c>
    </row>
    <row r="10" spans="1:4" x14ac:dyDescent="0.25">
      <c r="A10" s="2" t="s">
        <v>102</v>
      </c>
    </row>
    <row r="11" spans="1:4" x14ac:dyDescent="0.25">
      <c r="A11" s="6"/>
      <c r="B11" s="6"/>
      <c r="C11" s="6"/>
      <c r="D11" s="6"/>
    </row>
    <row r="12" spans="1:4" x14ac:dyDescent="0.25">
      <c r="A12" s="2" t="s">
        <v>92</v>
      </c>
    </row>
    <row r="13" spans="1:4" x14ac:dyDescent="0.25">
      <c r="A13" s="2" t="s">
        <v>103</v>
      </c>
      <c r="C13" s="2" t="str">
        <f ca="1">IF(B3="","",DATEDIF(TODAY(),B3,"M"))</f>
        <v/>
      </c>
    </row>
    <row r="14" spans="1:4" x14ac:dyDescent="0.25">
      <c r="A14" s="2" t="s">
        <v>104</v>
      </c>
      <c r="C14" s="2">
        <f>B2-B4</f>
        <v>0</v>
      </c>
    </row>
    <row r="15" spans="1:4" x14ac:dyDescent="0.25">
      <c r="A15" s="2" t="s">
        <v>105</v>
      </c>
      <c r="C15" s="2">
        <f>D14/12</f>
        <v>0</v>
      </c>
    </row>
    <row r="16" spans="1:4" x14ac:dyDescent="0.25">
      <c r="A16" s="2" t="s">
        <v>106</v>
      </c>
      <c r="C16" s="2">
        <f>D15</f>
        <v>0</v>
      </c>
    </row>
    <row r="17" spans="1:4" x14ac:dyDescent="0.25">
      <c r="A17" s="2" t="s">
        <v>107</v>
      </c>
      <c r="C17" s="2" t="str">
        <f>IF(B6=0,"",D16/B6)</f>
        <v/>
      </c>
    </row>
    <row r="18" spans="1:4" x14ac:dyDescent="0.25">
      <c r="A18" s="2" t="s">
        <v>108</v>
      </c>
      <c r="C18" s="2" t="str">
        <f>IF(B10=0,"",D17/B10*3)</f>
        <v/>
      </c>
    </row>
    <row r="19" spans="1:4" x14ac:dyDescent="0.25">
      <c r="A19" s="6"/>
      <c r="B19" s="6"/>
      <c r="C19" s="6"/>
      <c r="D19" s="6"/>
    </row>
    <row r="20" spans="1:4" x14ac:dyDescent="0.25">
      <c r="A20" s="2" t="s">
        <v>109</v>
      </c>
    </row>
    <row r="21" spans="1:4" x14ac:dyDescent="0.25">
      <c r="A21" s="2" t="s">
        <v>110</v>
      </c>
      <c r="C21" s="2">
        <f>ROUNDUP(D13/3,0)</f>
        <v>0</v>
      </c>
    </row>
    <row r="22" spans="1:4" x14ac:dyDescent="0.25">
      <c r="A22" s="2" t="s">
        <v>111</v>
      </c>
      <c r="C22" s="2" t="str">
        <f>IF(D20=0,"",D17/D20)</f>
        <v/>
      </c>
    </row>
    <row r="23" spans="1:4" x14ac:dyDescent="0.25">
      <c r="A23" s="2" t="s">
        <v>112</v>
      </c>
      <c r="C23" s="2" t="str">
        <f>IF(D20=0,"",D18/D20)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8"/>
  <sheetViews>
    <sheetView workbookViewId="0"/>
  </sheetViews>
  <sheetFormatPr defaultColWidth="12.6640625" defaultRowHeight="15.75" customHeight="1" x14ac:dyDescent="0.25"/>
  <cols>
    <col min="1" max="1" width="22.5546875" bestFit="1" customWidth="1"/>
  </cols>
  <sheetData>
    <row r="1" spans="1:5" x14ac:dyDescent="0.25">
      <c r="A1" s="1" t="s">
        <v>113</v>
      </c>
      <c r="B1" s="1" t="s">
        <v>1</v>
      </c>
      <c r="C1" s="1" t="s">
        <v>114</v>
      </c>
      <c r="D1" s="1" t="s">
        <v>115</v>
      </c>
      <c r="E1" s="1" t="s">
        <v>116</v>
      </c>
    </row>
    <row r="2" spans="1:5" x14ac:dyDescent="0.25">
      <c r="A2" s="2" t="s">
        <v>117</v>
      </c>
    </row>
    <row r="3" spans="1:5" x14ac:dyDescent="0.25">
      <c r="A3" s="2" t="s">
        <v>118</v>
      </c>
    </row>
    <row r="4" spans="1:5" x14ac:dyDescent="0.25">
      <c r="A4" s="2" t="s">
        <v>119</v>
      </c>
    </row>
    <row r="5" spans="1:5" x14ac:dyDescent="0.25">
      <c r="A5" s="2" t="s">
        <v>120</v>
      </c>
    </row>
    <row r="6" spans="1:5" x14ac:dyDescent="0.25">
      <c r="A6" s="2" t="s">
        <v>121</v>
      </c>
    </row>
    <row r="7" spans="1:5" x14ac:dyDescent="0.25">
      <c r="A7" s="2" t="s">
        <v>71</v>
      </c>
    </row>
    <row r="8" spans="1:5" x14ac:dyDescent="0.25">
      <c r="A8" s="2" t="s">
        <v>122</v>
      </c>
    </row>
    <row r="9" spans="1:5" x14ac:dyDescent="0.25">
      <c r="A9" s="2" t="s">
        <v>123</v>
      </c>
    </row>
    <row r="10" spans="1:5" x14ac:dyDescent="0.25">
      <c r="A10" s="6"/>
      <c r="B10" s="6"/>
      <c r="C10" s="6"/>
      <c r="D10" s="6"/>
      <c r="E10" s="6"/>
    </row>
    <row r="11" spans="1:5" x14ac:dyDescent="0.25">
      <c r="A11" s="2" t="s">
        <v>124</v>
      </c>
    </row>
    <row r="12" spans="1:5" x14ac:dyDescent="0.25">
      <c r="A12" s="2" t="s">
        <v>125</v>
      </c>
      <c r="C12" s="2" t="str">
        <f ca="1">IFERROR(__xludf.DUMMYFUNCTION("B30.33"),"#REF!")</f>
        <v>#REF!</v>
      </c>
      <c r="D12" s="2" t="str">
        <f ca="1">IFERROR(__xludf.DUMMYFUNCTION("B30.33"),"#REF!")</f>
        <v>#REF!</v>
      </c>
      <c r="E12" s="2" t="str">
        <f ca="1">IFERROR(__xludf.DUMMYFUNCTION("B30.33"),"#REF!")</f>
        <v>#REF!</v>
      </c>
    </row>
    <row r="13" spans="1:5" x14ac:dyDescent="0.25">
      <c r="A13" s="2" t="s">
        <v>126</v>
      </c>
      <c r="C13" s="2" t="s">
        <v>181</v>
      </c>
      <c r="D13" s="2" t="s">
        <v>181</v>
      </c>
      <c r="E13" s="2" t="s">
        <v>181</v>
      </c>
    </row>
    <row r="14" spans="1:5" x14ac:dyDescent="0.25">
      <c r="A14" s="2" t="s">
        <v>127</v>
      </c>
      <c r="C14" s="2" t="e">
        <f t="shared" ref="C14:E14" ca="1" si="0">C11+C12</f>
        <v>#VALUE!</v>
      </c>
      <c r="D14" s="2" t="e">
        <f t="shared" ca="1" si="0"/>
        <v>#VALUE!</v>
      </c>
      <c r="E14" s="2" t="e">
        <f t="shared" ca="1" si="0"/>
        <v>#VALUE!</v>
      </c>
    </row>
    <row r="15" spans="1:5" x14ac:dyDescent="0.25">
      <c r="A15" s="2" t="s">
        <v>128</v>
      </c>
      <c r="C15" s="2">
        <f>B7+B8+B9</f>
        <v>0</v>
      </c>
      <c r="D15" s="2">
        <f>B7+B8</f>
        <v>0</v>
      </c>
      <c r="E15" s="2" t="s">
        <v>181</v>
      </c>
    </row>
    <row r="16" spans="1:5" x14ac:dyDescent="0.25">
      <c r="A16" s="2" t="s">
        <v>129</v>
      </c>
      <c r="C16" s="2" t="e">
        <f t="shared" ref="C16:E16" ca="1" si="1">C13-C14</f>
        <v>#VALUE!</v>
      </c>
      <c r="D16" s="2" t="e">
        <f t="shared" ca="1" si="1"/>
        <v>#VALUE!</v>
      </c>
      <c r="E16" s="2" t="e">
        <f t="shared" ca="1" si="1"/>
        <v>#VALUE!</v>
      </c>
    </row>
    <row r="17" spans="1:5" x14ac:dyDescent="0.25">
      <c r="A17" s="2" t="s">
        <v>130</v>
      </c>
      <c r="C17" s="2">
        <f>B2+C15</f>
        <v>0</v>
      </c>
      <c r="D17" s="2" t="e">
        <f t="shared" ref="D17:E17" ca="1" si="2">C16+D15</f>
        <v>#VALUE!</v>
      </c>
      <c r="E17" s="2" t="e">
        <f t="shared" ca="1" si="2"/>
        <v>#VALUE!</v>
      </c>
    </row>
    <row r="18" spans="1:5" x14ac:dyDescent="0.25">
      <c r="A18" s="2" t="s">
        <v>131</v>
      </c>
      <c r="C18" s="2" t="e">
        <f t="shared" ref="C18:E18" ca="1" si="3">IF(C14=0,"∞",C16/C14)</f>
        <v>#VALUE!</v>
      </c>
      <c r="D18" s="2" t="e">
        <f t="shared" ca="1" si="3"/>
        <v>#VALUE!</v>
      </c>
      <c r="E18" s="2" t="e">
        <f t="shared" ca="1" si="3"/>
        <v>#VALUE!</v>
      </c>
    </row>
  </sheetData>
  <conditionalFormatting sqref="C17:E17">
    <cfRule type="cellIs" dxfId="4" priority="1" stopIfTrue="1" operator="lessThan">
      <formula>3</formula>
    </cfRule>
    <cfRule type="cellIs" dxfId="3" priority="2" stopIfTrue="1" operator="between">
      <formula>3</formula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PhaseAssessment</vt:lpstr>
      <vt:lpstr>KPIs</vt:lpstr>
      <vt:lpstr>CACLTV</vt:lpstr>
      <vt:lpstr>ARDSO</vt:lpstr>
      <vt:lpstr>GMbyService</vt:lpstr>
      <vt:lpstr>Utilization</vt:lpstr>
      <vt:lpstr>BackwardPlan</vt:lpstr>
      <vt:lpstr>Cash90Day</vt:lpstr>
      <vt:lpstr>Checklists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Granda Willis</dc:creator>
  <cp:lastModifiedBy>Granda Willis</cp:lastModifiedBy>
  <dcterms:created xsi:type="dcterms:W3CDTF">2025-10-22T02:37:05Z</dcterms:created>
  <dcterms:modified xsi:type="dcterms:W3CDTF">2025-10-22T02:37:05Z</dcterms:modified>
</cp:coreProperties>
</file>