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kai\Desktop\"/>
    </mc:Choice>
  </mc:AlternateContent>
  <xr:revisionPtr revIDLastSave="0" documentId="13_ncr:1_{8D2101E5-75A7-4618-BAF1-0EA61983FE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surance_policy_comp" sheetId="3" r:id="rId1"/>
    <sheet name="college_finacial_aid" sheetId="1" r:id="rId2"/>
    <sheet name="net_income" sheetId="2" r:id="rId3"/>
    <sheet name="rental_home_invest" sheetId="4" r:id="rId4"/>
    <sheet name="US_mortality_table" sheetId="5" r:id="rId5"/>
    <sheet name="SPY_return_study" sheetId="6" r:id="rId6"/>
    <sheet name="SPY_yearly_history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3" l="1"/>
  <c r="B29" i="3"/>
  <c r="B28" i="3"/>
  <c r="C105" i="7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101" i="7"/>
  <c r="C102" i="7" s="1"/>
  <c r="C103" i="7" s="1"/>
  <c r="C104" i="7" s="1"/>
  <c r="C100" i="7"/>
  <c r="M97" i="7"/>
  <c r="L97" i="7"/>
  <c r="K97" i="7"/>
  <c r="J97" i="7"/>
  <c r="I97" i="7"/>
  <c r="H97" i="7"/>
  <c r="G97" i="7"/>
  <c r="F97" i="7"/>
  <c r="E97" i="7"/>
  <c r="M96" i="7"/>
  <c r="L96" i="7"/>
  <c r="K96" i="7"/>
  <c r="J96" i="7"/>
  <c r="I96" i="7"/>
  <c r="H96" i="7"/>
  <c r="G96" i="7"/>
  <c r="F96" i="7"/>
  <c r="E96" i="7"/>
  <c r="C96" i="7"/>
  <c r="M95" i="7"/>
  <c r="L95" i="7"/>
  <c r="K95" i="7"/>
  <c r="J95" i="7"/>
  <c r="I95" i="7"/>
  <c r="H95" i="7"/>
  <c r="G95" i="7"/>
  <c r="F95" i="7"/>
  <c r="E95" i="7"/>
  <c r="C95" i="7"/>
  <c r="M94" i="7"/>
  <c r="L94" i="7"/>
  <c r="K94" i="7"/>
  <c r="J94" i="7"/>
  <c r="I94" i="7"/>
  <c r="H94" i="7"/>
  <c r="G94" i="7"/>
  <c r="F94" i="7"/>
  <c r="E94" i="7"/>
  <c r="C94" i="7"/>
  <c r="M93" i="7"/>
  <c r="L93" i="7"/>
  <c r="K93" i="7"/>
  <c r="J93" i="7"/>
  <c r="I93" i="7"/>
  <c r="H93" i="7"/>
  <c r="G93" i="7"/>
  <c r="F93" i="7"/>
  <c r="E93" i="7"/>
  <c r="C93" i="7"/>
  <c r="M92" i="7"/>
  <c r="L92" i="7"/>
  <c r="K92" i="7"/>
  <c r="J92" i="7"/>
  <c r="I92" i="7"/>
  <c r="H92" i="7"/>
  <c r="G92" i="7"/>
  <c r="F92" i="7"/>
  <c r="E92" i="7"/>
  <c r="C92" i="7"/>
  <c r="M91" i="7"/>
  <c r="L91" i="7"/>
  <c r="K91" i="7"/>
  <c r="J91" i="7"/>
  <c r="I91" i="7"/>
  <c r="H91" i="7"/>
  <c r="G91" i="7"/>
  <c r="F91" i="7"/>
  <c r="E91" i="7"/>
  <c r="C91" i="7"/>
  <c r="M90" i="7"/>
  <c r="L90" i="7"/>
  <c r="K90" i="7"/>
  <c r="J90" i="7"/>
  <c r="I90" i="7"/>
  <c r="H90" i="7"/>
  <c r="G90" i="7"/>
  <c r="F90" i="7"/>
  <c r="E90" i="7"/>
  <c r="C90" i="7"/>
  <c r="M89" i="7"/>
  <c r="L89" i="7"/>
  <c r="K89" i="7"/>
  <c r="J89" i="7"/>
  <c r="I89" i="7"/>
  <c r="H89" i="7"/>
  <c r="G89" i="7"/>
  <c r="F89" i="7"/>
  <c r="E89" i="7"/>
  <c r="C89" i="7"/>
  <c r="M88" i="7"/>
  <c r="L88" i="7"/>
  <c r="K88" i="7"/>
  <c r="J88" i="7"/>
  <c r="I88" i="7"/>
  <c r="H88" i="7"/>
  <c r="G88" i="7"/>
  <c r="F88" i="7"/>
  <c r="E88" i="7"/>
  <c r="C88" i="7"/>
  <c r="M87" i="7"/>
  <c r="L87" i="7"/>
  <c r="K87" i="7"/>
  <c r="J87" i="7"/>
  <c r="I87" i="7"/>
  <c r="H87" i="7"/>
  <c r="G87" i="7"/>
  <c r="F87" i="7"/>
  <c r="E87" i="7"/>
  <c r="C87" i="7"/>
  <c r="M86" i="7"/>
  <c r="L86" i="7"/>
  <c r="K86" i="7"/>
  <c r="J86" i="7"/>
  <c r="I86" i="7"/>
  <c r="H86" i="7"/>
  <c r="G86" i="7"/>
  <c r="F86" i="7"/>
  <c r="E86" i="7"/>
  <c r="C86" i="7"/>
  <c r="M85" i="7"/>
  <c r="L85" i="7"/>
  <c r="K85" i="7"/>
  <c r="J85" i="7"/>
  <c r="I85" i="7"/>
  <c r="H85" i="7"/>
  <c r="G85" i="7"/>
  <c r="F85" i="7"/>
  <c r="E85" i="7"/>
  <c r="C85" i="7"/>
  <c r="M84" i="7"/>
  <c r="L84" i="7"/>
  <c r="K84" i="7"/>
  <c r="J84" i="7"/>
  <c r="I84" i="7"/>
  <c r="H84" i="7"/>
  <c r="G84" i="7"/>
  <c r="F84" i="7"/>
  <c r="E84" i="7"/>
  <c r="C84" i="7"/>
  <c r="M83" i="7"/>
  <c r="L83" i="7"/>
  <c r="K83" i="7"/>
  <c r="J83" i="7"/>
  <c r="I83" i="7"/>
  <c r="H83" i="7"/>
  <c r="G83" i="7"/>
  <c r="F83" i="7"/>
  <c r="E83" i="7"/>
  <c r="C83" i="7"/>
  <c r="M82" i="7"/>
  <c r="L82" i="7"/>
  <c r="K82" i="7"/>
  <c r="J82" i="7"/>
  <c r="I82" i="7"/>
  <c r="H82" i="7"/>
  <c r="G82" i="7"/>
  <c r="F82" i="7"/>
  <c r="E82" i="7"/>
  <c r="C82" i="7"/>
  <c r="M81" i="7"/>
  <c r="L81" i="7"/>
  <c r="K81" i="7"/>
  <c r="J81" i="7"/>
  <c r="I81" i="7"/>
  <c r="H81" i="7"/>
  <c r="G81" i="7"/>
  <c r="F81" i="7"/>
  <c r="E81" i="7"/>
  <c r="C81" i="7"/>
  <c r="M80" i="7"/>
  <c r="L80" i="7"/>
  <c r="K80" i="7"/>
  <c r="J80" i="7"/>
  <c r="I80" i="7"/>
  <c r="H80" i="7"/>
  <c r="G80" i="7"/>
  <c r="F80" i="7"/>
  <c r="E80" i="7"/>
  <c r="C80" i="7"/>
  <c r="M79" i="7"/>
  <c r="L79" i="7"/>
  <c r="K79" i="7"/>
  <c r="J79" i="7"/>
  <c r="I79" i="7"/>
  <c r="H79" i="7"/>
  <c r="G79" i="7"/>
  <c r="F79" i="7"/>
  <c r="E79" i="7"/>
  <c r="C79" i="7"/>
  <c r="M78" i="7"/>
  <c r="L78" i="7"/>
  <c r="K78" i="7"/>
  <c r="J78" i="7"/>
  <c r="I78" i="7"/>
  <c r="H78" i="7"/>
  <c r="G78" i="7"/>
  <c r="F78" i="7"/>
  <c r="E78" i="7"/>
  <c r="C78" i="7"/>
  <c r="M77" i="7"/>
  <c r="L77" i="7"/>
  <c r="K77" i="7"/>
  <c r="J77" i="7"/>
  <c r="I77" i="7"/>
  <c r="H77" i="7"/>
  <c r="G77" i="7"/>
  <c r="F77" i="7"/>
  <c r="E77" i="7"/>
  <c r="C77" i="7"/>
  <c r="M76" i="7"/>
  <c r="L76" i="7"/>
  <c r="K76" i="7"/>
  <c r="J76" i="7"/>
  <c r="I76" i="7"/>
  <c r="H76" i="7"/>
  <c r="G76" i="7"/>
  <c r="F76" i="7"/>
  <c r="E76" i="7"/>
  <c r="C76" i="7"/>
  <c r="M75" i="7"/>
  <c r="L75" i="7"/>
  <c r="K75" i="7"/>
  <c r="J75" i="7"/>
  <c r="I75" i="7"/>
  <c r="H75" i="7"/>
  <c r="G75" i="7"/>
  <c r="F75" i="7"/>
  <c r="E75" i="7"/>
  <c r="C75" i="7"/>
  <c r="M74" i="7"/>
  <c r="L74" i="7"/>
  <c r="K74" i="7"/>
  <c r="J74" i="7"/>
  <c r="I74" i="7"/>
  <c r="H74" i="7"/>
  <c r="G74" i="7"/>
  <c r="F74" i="7"/>
  <c r="E74" i="7"/>
  <c r="C74" i="7"/>
  <c r="M73" i="7"/>
  <c r="L73" i="7"/>
  <c r="K73" i="7"/>
  <c r="J73" i="7"/>
  <c r="I73" i="7"/>
  <c r="H73" i="7"/>
  <c r="G73" i="7"/>
  <c r="F73" i="7"/>
  <c r="E73" i="7"/>
  <c r="C73" i="7"/>
  <c r="M72" i="7"/>
  <c r="L72" i="7"/>
  <c r="K72" i="7"/>
  <c r="J72" i="7"/>
  <c r="I72" i="7"/>
  <c r="H72" i="7"/>
  <c r="G72" i="7"/>
  <c r="F72" i="7"/>
  <c r="E72" i="7"/>
  <c r="C72" i="7"/>
  <c r="M71" i="7"/>
  <c r="L71" i="7"/>
  <c r="K71" i="7"/>
  <c r="J71" i="7"/>
  <c r="I71" i="7"/>
  <c r="H71" i="7"/>
  <c r="G71" i="7"/>
  <c r="F71" i="7"/>
  <c r="E71" i="7"/>
  <c r="C71" i="7"/>
  <c r="M70" i="7"/>
  <c r="L70" i="7"/>
  <c r="K70" i="7"/>
  <c r="J70" i="7"/>
  <c r="I70" i="7"/>
  <c r="H70" i="7"/>
  <c r="G70" i="7"/>
  <c r="F70" i="7"/>
  <c r="E70" i="7"/>
  <c r="C70" i="7"/>
  <c r="M69" i="7"/>
  <c r="L69" i="7"/>
  <c r="K69" i="7"/>
  <c r="J69" i="7"/>
  <c r="I69" i="7"/>
  <c r="H69" i="7"/>
  <c r="G69" i="7"/>
  <c r="F69" i="7"/>
  <c r="E69" i="7"/>
  <c r="C69" i="7"/>
  <c r="M68" i="7"/>
  <c r="L68" i="7"/>
  <c r="K68" i="7"/>
  <c r="J68" i="7"/>
  <c r="I68" i="7"/>
  <c r="H68" i="7"/>
  <c r="G68" i="7"/>
  <c r="F68" i="7"/>
  <c r="E68" i="7"/>
  <c r="C68" i="7"/>
  <c r="M67" i="7"/>
  <c r="L67" i="7"/>
  <c r="K67" i="7"/>
  <c r="J67" i="7"/>
  <c r="I67" i="7"/>
  <c r="H67" i="7"/>
  <c r="G67" i="7"/>
  <c r="F67" i="7"/>
  <c r="E67" i="7"/>
  <c r="C67" i="7"/>
  <c r="M66" i="7"/>
  <c r="L66" i="7"/>
  <c r="K66" i="7"/>
  <c r="J66" i="7"/>
  <c r="I66" i="7"/>
  <c r="H66" i="7"/>
  <c r="G66" i="7"/>
  <c r="F66" i="7"/>
  <c r="E66" i="7"/>
  <c r="C66" i="7"/>
  <c r="M65" i="7"/>
  <c r="L65" i="7"/>
  <c r="K65" i="7"/>
  <c r="J65" i="7"/>
  <c r="I65" i="7"/>
  <c r="H65" i="7"/>
  <c r="G65" i="7"/>
  <c r="F65" i="7"/>
  <c r="E65" i="7"/>
  <c r="C65" i="7"/>
  <c r="M64" i="7"/>
  <c r="L64" i="7"/>
  <c r="K64" i="7"/>
  <c r="J64" i="7"/>
  <c r="I64" i="7"/>
  <c r="H64" i="7"/>
  <c r="G64" i="7"/>
  <c r="F64" i="7"/>
  <c r="E64" i="7"/>
  <c r="C64" i="7"/>
  <c r="M63" i="7"/>
  <c r="L63" i="7"/>
  <c r="K63" i="7"/>
  <c r="J63" i="7"/>
  <c r="I63" i="7"/>
  <c r="H63" i="7"/>
  <c r="G63" i="7"/>
  <c r="F63" i="7"/>
  <c r="E63" i="7"/>
  <c r="C63" i="7"/>
  <c r="M62" i="7"/>
  <c r="L62" i="7"/>
  <c r="K62" i="7"/>
  <c r="J62" i="7"/>
  <c r="I62" i="7"/>
  <c r="H62" i="7"/>
  <c r="G62" i="7"/>
  <c r="F62" i="7"/>
  <c r="E62" i="7"/>
  <c r="C62" i="7"/>
  <c r="M61" i="7"/>
  <c r="L61" i="7"/>
  <c r="K61" i="7"/>
  <c r="J61" i="7"/>
  <c r="I61" i="7"/>
  <c r="H61" i="7"/>
  <c r="G61" i="7"/>
  <c r="F61" i="7"/>
  <c r="E61" i="7"/>
  <c r="C61" i="7"/>
  <c r="M60" i="7"/>
  <c r="L60" i="7"/>
  <c r="K60" i="7"/>
  <c r="J60" i="7"/>
  <c r="I60" i="7"/>
  <c r="H60" i="7"/>
  <c r="G60" i="7"/>
  <c r="F60" i="7"/>
  <c r="E60" i="7"/>
  <c r="C60" i="7"/>
  <c r="M59" i="7"/>
  <c r="L59" i="7"/>
  <c r="K59" i="7"/>
  <c r="J59" i="7"/>
  <c r="I59" i="7"/>
  <c r="H59" i="7"/>
  <c r="G59" i="7"/>
  <c r="F59" i="7"/>
  <c r="E59" i="7"/>
  <c r="C59" i="7"/>
  <c r="M58" i="7"/>
  <c r="L58" i="7"/>
  <c r="K58" i="7"/>
  <c r="J58" i="7"/>
  <c r="I58" i="7"/>
  <c r="H58" i="7"/>
  <c r="G58" i="7"/>
  <c r="F58" i="7"/>
  <c r="E58" i="7"/>
  <c r="C58" i="7"/>
  <c r="M57" i="7"/>
  <c r="L57" i="7"/>
  <c r="K57" i="7"/>
  <c r="J57" i="7"/>
  <c r="I57" i="7"/>
  <c r="H57" i="7"/>
  <c r="G57" i="7"/>
  <c r="F57" i="7"/>
  <c r="E57" i="7"/>
  <c r="C57" i="7"/>
  <c r="M56" i="7"/>
  <c r="L56" i="7"/>
  <c r="K56" i="7"/>
  <c r="J56" i="7"/>
  <c r="I56" i="7"/>
  <c r="H56" i="7"/>
  <c r="G56" i="7"/>
  <c r="F56" i="7"/>
  <c r="E56" i="7"/>
  <c r="C56" i="7"/>
  <c r="M55" i="7"/>
  <c r="L55" i="7"/>
  <c r="K55" i="7"/>
  <c r="J55" i="7"/>
  <c r="I55" i="7"/>
  <c r="H55" i="7"/>
  <c r="G55" i="7"/>
  <c r="F55" i="7"/>
  <c r="E55" i="7"/>
  <c r="C55" i="7"/>
  <c r="M54" i="7"/>
  <c r="L54" i="7"/>
  <c r="K54" i="7"/>
  <c r="J54" i="7"/>
  <c r="I54" i="7"/>
  <c r="H54" i="7"/>
  <c r="G54" i="7"/>
  <c r="F54" i="7"/>
  <c r="E54" i="7"/>
  <c r="C54" i="7"/>
  <c r="M53" i="7"/>
  <c r="L53" i="7"/>
  <c r="K53" i="7"/>
  <c r="J53" i="7"/>
  <c r="I53" i="7"/>
  <c r="H53" i="7"/>
  <c r="G53" i="7"/>
  <c r="F53" i="7"/>
  <c r="E53" i="7"/>
  <c r="C53" i="7"/>
  <c r="M52" i="7"/>
  <c r="L52" i="7"/>
  <c r="K52" i="7"/>
  <c r="J52" i="7"/>
  <c r="I52" i="7"/>
  <c r="H52" i="7"/>
  <c r="G52" i="7"/>
  <c r="F52" i="7"/>
  <c r="E52" i="7"/>
  <c r="C52" i="7"/>
  <c r="M51" i="7"/>
  <c r="L51" i="7"/>
  <c r="K51" i="7"/>
  <c r="J51" i="7"/>
  <c r="I51" i="7"/>
  <c r="H51" i="7"/>
  <c r="G51" i="7"/>
  <c r="F51" i="7"/>
  <c r="E51" i="7"/>
  <c r="C51" i="7"/>
  <c r="M50" i="7"/>
  <c r="L50" i="7"/>
  <c r="K50" i="7"/>
  <c r="J50" i="7"/>
  <c r="I50" i="7"/>
  <c r="H50" i="7"/>
  <c r="G50" i="7"/>
  <c r="F50" i="7"/>
  <c r="E50" i="7"/>
  <c r="C50" i="7"/>
  <c r="M49" i="7"/>
  <c r="L49" i="7"/>
  <c r="K49" i="7"/>
  <c r="J49" i="7"/>
  <c r="I49" i="7"/>
  <c r="H49" i="7"/>
  <c r="G49" i="7"/>
  <c r="F49" i="7"/>
  <c r="E49" i="7"/>
  <c r="C49" i="7"/>
  <c r="M48" i="7"/>
  <c r="L48" i="7"/>
  <c r="K48" i="7"/>
  <c r="J48" i="7"/>
  <c r="I48" i="7"/>
  <c r="H48" i="7"/>
  <c r="G48" i="7"/>
  <c r="F48" i="7"/>
  <c r="E48" i="7"/>
  <c r="C48" i="7"/>
  <c r="M47" i="7"/>
  <c r="L47" i="7"/>
  <c r="K47" i="7"/>
  <c r="J47" i="7"/>
  <c r="I47" i="7"/>
  <c r="H47" i="7"/>
  <c r="G47" i="7"/>
  <c r="F47" i="7"/>
  <c r="E47" i="7"/>
  <c r="C47" i="7"/>
  <c r="M46" i="7"/>
  <c r="L46" i="7"/>
  <c r="K46" i="7"/>
  <c r="J46" i="7"/>
  <c r="I46" i="7"/>
  <c r="H46" i="7"/>
  <c r="G46" i="7"/>
  <c r="F46" i="7"/>
  <c r="E46" i="7"/>
  <c r="C46" i="7"/>
  <c r="M45" i="7"/>
  <c r="L45" i="7"/>
  <c r="K45" i="7"/>
  <c r="J45" i="7"/>
  <c r="I45" i="7"/>
  <c r="H45" i="7"/>
  <c r="G45" i="7"/>
  <c r="F45" i="7"/>
  <c r="E45" i="7"/>
  <c r="C45" i="7"/>
  <c r="M44" i="7"/>
  <c r="L44" i="7"/>
  <c r="K44" i="7"/>
  <c r="J44" i="7"/>
  <c r="I44" i="7"/>
  <c r="H44" i="7"/>
  <c r="G44" i="7"/>
  <c r="F44" i="7"/>
  <c r="E44" i="7"/>
  <c r="C44" i="7"/>
  <c r="M43" i="7"/>
  <c r="L43" i="7"/>
  <c r="K43" i="7"/>
  <c r="J43" i="7"/>
  <c r="I43" i="7"/>
  <c r="H43" i="7"/>
  <c r="G43" i="7"/>
  <c r="F43" i="7"/>
  <c r="E43" i="7"/>
  <c r="C43" i="7"/>
  <c r="L42" i="7"/>
  <c r="K42" i="7"/>
  <c r="J42" i="7"/>
  <c r="I42" i="7"/>
  <c r="H42" i="7"/>
  <c r="G42" i="7"/>
  <c r="F42" i="7"/>
  <c r="E42" i="7"/>
  <c r="C42" i="7"/>
  <c r="L41" i="7"/>
  <c r="AC36" i="7" s="1"/>
  <c r="K41" i="7"/>
  <c r="J41" i="7"/>
  <c r="I41" i="7"/>
  <c r="H41" i="7"/>
  <c r="G41" i="7"/>
  <c r="F41" i="7"/>
  <c r="E41" i="7"/>
  <c r="C41" i="7"/>
  <c r="L40" i="7"/>
  <c r="K40" i="7"/>
  <c r="J40" i="7"/>
  <c r="I40" i="7"/>
  <c r="H40" i="7"/>
  <c r="G40" i="7"/>
  <c r="F40" i="7"/>
  <c r="E40" i="7"/>
  <c r="C40" i="7"/>
  <c r="L39" i="7"/>
  <c r="K39" i="7"/>
  <c r="J39" i="7"/>
  <c r="I39" i="7"/>
  <c r="H39" i="7"/>
  <c r="G39" i="7"/>
  <c r="F39" i="7"/>
  <c r="E39" i="7"/>
  <c r="C39" i="7"/>
  <c r="L38" i="7"/>
  <c r="K38" i="7"/>
  <c r="J38" i="7"/>
  <c r="I38" i="7"/>
  <c r="H38" i="7"/>
  <c r="G38" i="7"/>
  <c r="F38" i="7"/>
  <c r="E38" i="7"/>
  <c r="C38" i="7"/>
  <c r="AD37" i="7"/>
  <c r="K37" i="7"/>
  <c r="J37" i="7"/>
  <c r="I37" i="7"/>
  <c r="H37" i="7"/>
  <c r="G37" i="7"/>
  <c r="F37" i="7"/>
  <c r="E37" i="7"/>
  <c r="C37" i="7"/>
  <c r="AD36" i="7"/>
  <c r="AA36" i="7"/>
  <c r="K36" i="7"/>
  <c r="J36" i="7"/>
  <c r="I36" i="7"/>
  <c r="H36" i="7"/>
  <c r="G36" i="7"/>
  <c r="F36" i="7"/>
  <c r="E36" i="7"/>
  <c r="C36" i="7"/>
  <c r="AD35" i="7"/>
  <c r="AB35" i="7"/>
  <c r="X35" i="7"/>
  <c r="K35" i="7"/>
  <c r="J35" i="7"/>
  <c r="I35" i="7"/>
  <c r="H35" i="7"/>
  <c r="G35" i="7"/>
  <c r="F35" i="7"/>
  <c r="E35" i="7"/>
  <c r="C35" i="7"/>
  <c r="K34" i="7"/>
  <c r="J34" i="7"/>
  <c r="I34" i="7"/>
  <c r="H34" i="7"/>
  <c r="G34" i="7"/>
  <c r="F34" i="7"/>
  <c r="E34" i="7"/>
  <c r="C34" i="7"/>
  <c r="K33" i="7"/>
  <c r="J33" i="7"/>
  <c r="I33" i="7"/>
  <c r="H33" i="7"/>
  <c r="G33" i="7"/>
  <c r="F33" i="7"/>
  <c r="E33" i="7"/>
  <c r="C33" i="7"/>
  <c r="J32" i="7"/>
  <c r="I32" i="7"/>
  <c r="H32" i="7"/>
  <c r="G32" i="7"/>
  <c r="F32" i="7"/>
  <c r="E32" i="7"/>
  <c r="C32" i="7"/>
  <c r="J31" i="7"/>
  <c r="I31" i="7"/>
  <c r="H31" i="7"/>
  <c r="G31" i="7"/>
  <c r="F31" i="7"/>
  <c r="E31" i="7"/>
  <c r="C31" i="7"/>
  <c r="J30" i="7"/>
  <c r="I30" i="7"/>
  <c r="H30" i="7"/>
  <c r="G30" i="7"/>
  <c r="F30" i="7"/>
  <c r="E30" i="7"/>
  <c r="C30" i="7"/>
  <c r="J29" i="7"/>
  <c r="I29" i="7"/>
  <c r="H29" i="7"/>
  <c r="G29" i="7"/>
  <c r="F29" i="7"/>
  <c r="E29" i="7"/>
  <c r="C29" i="7"/>
  <c r="J28" i="7"/>
  <c r="I28" i="7"/>
  <c r="H28" i="7"/>
  <c r="G28" i="7"/>
  <c r="F28" i="7"/>
  <c r="E28" i="7"/>
  <c r="C28" i="7"/>
  <c r="I27" i="7"/>
  <c r="H27" i="7"/>
  <c r="G27" i="7"/>
  <c r="F27" i="7"/>
  <c r="E27" i="7"/>
  <c r="C27" i="7"/>
  <c r="I26" i="7"/>
  <c r="H26" i="7"/>
  <c r="G26" i="7"/>
  <c r="F26" i="7"/>
  <c r="E26" i="7"/>
  <c r="C26" i="7"/>
  <c r="I25" i="7"/>
  <c r="H25" i="7"/>
  <c r="G25" i="7"/>
  <c r="F25" i="7"/>
  <c r="E25" i="7"/>
  <c r="C25" i="7"/>
  <c r="I24" i="7"/>
  <c r="Z37" i="7" s="1"/>
  <c r="H24" i="7"/>
  <c r="G24" i="7"/>
  <c r="F24" i="7"/>
  <c r="E24" i="7"/>
  <c r="C24" i="7"/>
  <c r="I23" i="7"/>
  <c r="Z36" i="7" s="1"/>
  <c r="H23" i="7"/>
  <c r="G23" i="7"/>
  <c r="F23" i="7"/>
  <c r="E23" i="7"/>
  <c r="C23" i="7"/>
  <c r="H22" i="7"/>
  <c r="G22" i="7"/>
  <c r="F22" i="7"/>
  <c r="E22" i="7"/>
  <c r="C22" i="7"/>
  <c r="H21" i="7"/>
  <c r="G21" i="7"/>
  <c r="F21" i="7"/>
  <c r="E21" i="7"/>
  <c r="C21" i="7"/>
  <c r="H20" i="7"/>
  <c r="G20" i="7"/>
  <c r="F20" i="7"/>
  <c r="E20" i="7"/>
  <c r="C20" i="7"/>
  <c r="H19" i="7"/>
  <c r="G19" i="7"/>
  <c r="F19" i="7"/>
  <c r="E19" i="7"/>
  <c r="C19" i="7"/>
  <c r="H18" i="7"/>
  <c r="G18" i="7"/>
  <c r="F18" i="7"/>
  <c r="E18" i="7"/>
  <c r="C18" i="7"/>
  <c r="G17" i="7"/>
  <c r="F17" i="7"/>
  <c r="E17" i="7"/>
  <c r="C17" i="7"/>
  <c r="G16" i="7"/>
  <c r="F16" i="7"/>
  <c r="E16" i="7"/>
  <c r="C16" i="7"/>
  <c r="G15" i="7"/>
  <c r="F15" i="7"/>
  <c r="E15" i="7"/>
  <c r="C15" i="7"/>
  <c r="G14" i="7"/>
  <c r="F14" i="7"/>
  <c r="E14" i="7"/>
  <c r="C14" i="7"/>
  <c r="G13" i="7"/>
  <c r="X37" i="7" s="1"/>
  <c r="F13" i="7"/>
  <c r="E13" i="7"/>
  <c r="C13" i="7"/>
  <c r="F12" i="7"/>
  <c r="E12" i="7"/>
  <c r="C12" i="7"/>
  <c r="F11" i="7"/>
  <c r="E11" i="7"/>
  <c r="C11" i="7"/>
  <c r="F10" i="7"/>
  <c r="E10" i="7"/>
  <c r="C10" i="7"/>
  <c r="F9" i="7"/>
  <c r="W36" i="7" s="1"/>
  <c r="E9" i="7"/>
  <c r="C9" i="7"/>
  <c r="F8" i="7"/>
  <c r="W35" i="7" s="1"/>
  <c r="E8" i="7"/>
  <c r="C8" i="7"/>
  <c r="E7" i="7"/>
  <c r="C7" i="7"/>
  <c r="E6" i="7"/>
  <c r="C6" i="7"/>
  <c r="E5" i="7"/>
  <c r="C5" i="7"/>
  <c r="E4" i="7"/>
  <c r="V37" i="7" s="1"/>
  <c r="C4" i="7"/>
  <c r="C3" i="7"/>
  <c r="I450" i="6"/>
  <c r="I449" i="6"/>
  <c r="I448" i="6"/>
  <c r="I447" i="6"/>
  <c r="I446" i="6"/>
  <c r="I445" i="6"/>
  <c r="I444" i="6"/>
  <c r="I443" i="6"/>
  <c r="I442" i="6"/>
  <c r="I441" i="6"/>
  <c r="I440" i="6"/>
  <c r="J439" i="6"/>
  <c r="R439" i="6" s="1"/>
  <c r="I439" i="6"/>
  <c r="R438" i="6"/>
  <c r="J438" i="6"/>
  <c r="I438" i="6"/>
  <c r="J437" i="6"/>
  <c r="R437" i="6" s="1"/>
  <c r="I437" i="6"/>
  <c r="J436" i="6"/>
  <c r="R436" i="6" s="1"/>
  <c r="I436" i="6"/>
  <c r="J435" i="6"/>
  <c r="R435" i="6" s="1"/>
  <c r="I435" i="6"/>
  <c r="R434" i="6"/>
  <c r="J434" i="6"/>
  <c r="I434" i="6"/>
  <c r="J433" i="6"/>
  <c r="R433" i="6" s="1"/>
  <c r="I433" i="6"/>
  <c r="R432" i="6"/>
  <c r="J432" i="6"/>
  <c r="I432" i="6"/>
  <c r="J431" i="6"/>
  <c r="R431" i="6" s="1"/>
  <c r="I431" i="6"/>
  <c r="R430" i="6"/>
  <c r="J430" i="6"/>
  <c r="I430" i="6"/>
  <c r="R429" i="6"/>
  <c r="J429" i="6"/>
  <c r="I429" i="6"/>
  <c r="R428" i="6"/>
  <c r="J428" i="6"/>
  <c r="I428" i="6"/>
  <c r="J427" i="6"/>
  <c r="R427" i="6" s="1"/>
  <c r="I427" i="6"/>
  <c r="R426" i="6"/>
  <c r="J426" i="6"/>
  <c r="I426" i="6"/>
  <c r="R425" i="6"/>
  <c r="J425" i="6"/>
  <c r="I425" i="6"/>
  <c r="J424" i="6"/>
  <c r="R424" i="6" s="1"/>
  <c r="I424" i="6"/>
  <c r="J423" i="6"/>
  <c r="R423" i="6" s="1"/>
  <c r="I423" i="6"/>
  <c r="R422" i="6"/>
  <c r="J422" i="6"/>
  <c r="I422" i="6"/>
  <c r="J421" i="6"/>
  <c r="R421" i="6" s="1"/>
  <c r="I421" i="6"/>
  <c r="J420" i="6"/>
  <c r="R420" i="6" s="1"/>
  <c r="I420" i="6"/>
  <c r="J419" i="6"/>
  <c r="R419" i="6" s="1"/>
  <c r="I419" i="6"/>
  <c r="R418" i="6"/>
  <c r="J418" i="6"/>
  <c r="I418" i="6"/>
  <c r="J417" i="6"/>
  <c r="R417" i="6" s="1"/>
  <c r="I417" i="6"/>
  <c r="R416" i="6"/>
  <c r="J416" i="6"/>
  <c r="I416" i="6"/>
  <c r="J415" i="6"/>
  <c r="R415" i="6" s="1"/>
  <c r="I415" i="6"/>
  <c r="R414" i="6"/>
  <c r="J414" i="6"/>
  <c r="I414" i="6"/>
  <c r="R413" i="6"/>
  <c r="J413" i="6"/>
  <c r="I413" i="6"/>
  <c r="R412" i="6"/>
  <c r="J412" i="6"/>
  <c r="I412" i="6"/>
  <c r="J411" i="6"/>
  <c r="R411" i="6" s="1"/>
  <c r="I411" i="6"/>
  <c r="R410" i="6"/>
  <c r="J410" i="6"/>
  <c r="I410" i="6"/>
  <c r="R409" i="6"/>
  <c r="J409" i="6"/>
  <c r="I409" i="6"/>
  <c r="J408" i="6"/>
  <c r="R408" i="6" s="1"/>
  <c r="I408" i="6"/>
  <c r="J407" i="6"/>
  <c r="R407" i="6" s="1"/>
  <c r="I407" i="6"/>
  <c r="R406" i="6"/>
  <c r="J406" i="6"/>
  <c r="I406" i="6"/>
  <c r="J405" i="6"/>
  <c r="R405" i="6" s="1"/>
  <c r="I405" i="6"/>
  <c r="J404" i="6"/>
  <c r="R404" i="6" s="1"/>
  <c r="I404" i="6"/>
  <c r="J403" i="6"/>
  <c r="R403" i="6" s="1"/>
  <c r="I403" i="6"/>
  <c r="R402" i="6"/>
  <c r="J402" i="6"/>
  <c r="I402" i="6"/>
  <c r="J401" i="6"/>
  <c r="R401" i="6" s="1"/>
  <c r="I401" i="6"/>
  <c r="R400" i="6"/>
  <c r="J400" i="6"/>
  <c r="I400" i="6"/>
  <c r="J399" i="6"/>
  <c r="R399" i="6" s="1"/>
  <c r="I399" i="6"/>
  <c r="R398" i="6"/>
  <c r="J398" i="6"/>
  <c r="I398" i="6"/>
  <c r="R397" i="6"/>
  <c r="J397" i="6"/>
  <c r="I397" i="6"/>
  <c r="R396" i="6"/>
  <c r="J396" i="6"/>
  <c r="I396" i="6"/>
  <c r="J395" i="6"/>
  <c r="R395" i="6" s="1"/>
  <c r="I395" i="6"/>
  <c r="R394" i="6"/>
  <c r="J394" i="6"/>
  <c r="I394" i="6"/>
  <c r="R393" i="6"/>
  <c r="J393" i="6"/>
  <c r="I393" i="6"/>
  <c r="J392" i="6"/>
  <c r="R392" i="6" s="1"/>
  <c r="I392" i="6"/>
  <c r="K391" i="6"/>
  <c r="J391" i="6"/>
  <c r="R391" i="6" s="1"/>
  <c r="I391" i="6"/>
  <c r="K390" i="6"/>
  <c r="J390" i="6"/>
  <c r="R390" i="6" s="1"/>
  <c r="I390" i="6"/>
  <c r="K389" i="6"/>
  <c r="J389" i="6"/>
  <c r="R389" i="6" s="1"/>
  <c r="I389" i="6"/>
  <c r="K388" i="6"/>
  <c r="J388" i="6"/>
  <c r="R388" i="6" s="1"/>
  <c r="I388" i="6"/>
  <c r="K387" i="6"/>
  <c r="J387" i="6"/>
  <c r="R387" i="6" s="1"/>
  <c r="I387" i="6"/>
  <c r="K386" i="6"/>
  <c r="J386" i="6"/>
  <c r="R386" i="6" s="1"/>
  <c r="I386" i="6"/>
  <c r="K385" i="6"/>
  <c r="J385" i="6"/>
  <c r="R385" i="6" s="1"/>
  <c r="I385" i="6"/>
  <c r="K384" i="6"/>
  <c r="J384" i="6"/>
  <c r="R384" i="6" s="1"/>
  <c r="I384" i="6"/>
  <c r="K383" i="6"/>
  <c r="J383" i="6"/>
  <c r="R383" i="6" s="1"/>
  <c r="I383" i="6"/>
  <c r="K382" i="6"/>
  <c r="J382" i="6"/>
  <c r="R382" i="6" s="1"/>
  <c r="I382" i="6"/>
  <c r="K381" i="6"/>
  <c r="J381" i="6"/>
  <c r="R381" i="6" s="1"/>
  <c r="I381" i="6"/>
  <c r="K380" i="6"/>
  <c r="J380" i="6"/>
  <c r="R380" i="6" s="1"/>
  <c r="I380" i="6"/>
  <c r="K379" i="6"/>
  <c r="J379" i="6"/>
  <c r="R379" i="6" s="1"/>
  <c r="I379" i="6"/>
  <c r="K378" i="6"/>
  <c r="J378" i="6"/>
  <c r="R378" i="6" s="1"/>
  <c r="I378" i="6"/>
  <c r="K377" i="6"/>
  <c r="J377" i="6"/>
  <c r="R377" i="6" s="1"/>
  <c r="I377" i="6"/>
  <c r="K376" i="6"/>
  <c r="J376" i="6"/>
  <c r="R376" i="6" s="1"/>
  <c r="I376" i="6"/>
  <c r="K375" i="6"/>
  <c r="J375" i="6"/>
  <c r="R375" i="6" s="1"/>
  <c r="I375" i="6"/>
  <c r="K374" i="6"/>
  <c r="J374" i="6"/>
  <c r="R374" i="6" s="1"/>
  <c r="I374" i="6"/>
  <c r="K373" i="6"/>
  <c r="J373" i="6"/>
  <c r="R373" i="6" s="1"/>
  <c r="I373" i="6"/>
  <c r="K372" i="6"/>
  <c r="J372" i="6"/>
  <c r="R372" i="6" s="1"/>
  <c r="I372" i="6"/>
  <c r="K371" i="6"/>
  <c r="J371" i="6"/>
  <c r="R371" i="6" s="1"/>
  <c r="I371" i="6"/>
  <c r="K370" i="6"/>
  <c r="J370" i="6"/>
  <c r="R370" i="6" s="1"/>
  <c r="I370" i="6"/>
  <c r="K369" i="6"/>
  <c r="J369" i="6"/>
  <c r="R369" i="6" s="1"/>
  <c r="I369" i="6"/>
  <c r="K368" i="6"/>
  <c r="J368" i="6"/>
  <c r="R368" i="6" s="1"/>
  <c r="I368" i="6"/>
  <c r="K367" i="6"/>
  <c r="J367" i="6"/>
  <c r="R367" i="6" s="1"/>
  <c r="I367" i="6"/>
  <c r="K366" i="6"/>
  <c r="J366" i="6"/>
  <c r="R366" i="6" s="1"/>
  <c r="I366" i="6"/>
  <c r="K365" i="6"/>
  <c r="J365" i="6"/>
  <c r="R365" i="6" s="1"/>
  <c r="I365" i="6"/>
  <c r="K364" i="6"/>
  <c r="J364" i="6"/>
  <c r="R364" i="6" s="1"/>
  <c r="I364" i="6"/>
  <c r="K363" i="6"/>
  <c r="J363" i="6"/>
  <c r="R363" i="6" s="1"/>
  <c r="I363" i="6"/>
  <c r="K362" i="6"/>
  <c r="J362" i="6"/>
  <c r="R362" i="6" s="1"/>
  <c r="I362" i="6"/>
  <c r="K361" i="6"/>
  <c r="J361" i="6"/>
  <c r="R361" i="6" s="1"/>
  <c r="I361" i="6"/>
  <c r="K360" i="6"/>
  <c r="J360" i="6"/>
  <c r="R360" i="6" s="1"/>
  <c r="I360" i="6"/>
  <c r="K359" i="6"/>
  <c r="J359" i="6"/>
  <c r="R359" i="6" s="1"/>
  <c r="I359" i="6"/>
  <c r="K358" i="6"/>
  <c r="J358" i="6"/>
  <c r="R358" i="6" s="1"/>
  <c r="I358" i="6"/>
  <c r="K357" i="6"/>
  <c r="J357" i="6"/>
  <c r="R357" i="6" s="1"/>
  <c r="I357" i="6"/>
  <c r="K356" i="6"/>
  <c r="J356" i="6"/>
  <c r="R356" i="6" s="1"/>
  <c r="I356" i="6"/>
  <c r="K355" i="6"/>
  <c r="J355" i="6"/>
  <c r="R355" i="6" s="1"/>
  <c r="I355" i="6"/>
  <c r="K354" i="6"/>
  <c r="J354" i="6"/>
  <c r="R354" i="6" s="1"/>
  <c r="I354" i="6"/>
  <c r="K353" i="6"/>
  <c r="J353" i="6"/>
  <c r="R353" i="6" s="1"/>
  <c r="I353" i="6"/>
  <c r="K352" i="6"/>
  <c r="J352" i="6"/>
  <c r="R352" i="6" s="1"/>
  <c r="I352" i="6"/>
  <c r="K351" i="6"/>
  <c r="J351" i="6"/>
  <c r="R351" i="6" s="1"/>
  <c r="I351" i="6"/>
  <c r="K350" i="6"/>
  <c r="J350" i="6"/>
  <c r="R350" i="6" s="1"/>
  <c r="I350" i="6"/>
  <c r="K349" i="6"/>
  <c r="J349" i="6"/>
  <c r="R349" i="6" s="1"/>
  <c r="I349" i="6"/>
  <c r="K348" i="6"/>
  <c r="J348" i="6"/>
  <c r="R348" i="6" s="1"/>
  <c r="I348" i="6"/>
  <c r="K347" i="6"/>
  <c r="J347" i="6"/>
  <c r="R347" i="6" s="1"/>
  <c r="I347" i="6"/>
  <c r="K346" i="6"/>
  <c r="J346" i="6"/>
  <c r="R346" i="6" s="1"/>
  <c r="I346" i="6"/>
  <c r="K345" i="6"/>
  <c r="J345" i="6"/>
  <c r="R345" i="6" s="1"/>
  <c r="I345" i="6"/>
  <c r="K344" i="6"/>
  <c r="J344" i="6"/>
  <c r="R344" i="6" s="1"/>
  <c r="I344" i="6"/>
  <c r="K343" i="6"/>
  <c r="J343" i="6"/>
  <c r="R343" i="6" s="1"/>
  <c r="I343" i="6"/>
  <c r="K342" i="6"/>
  <c r="J342" i="6"/>
  <c r="R342" i="6" s="1"/>
  <c r="I342" i="6"/>
  <c r="K341" i="6"/>
  <c r="J341" i="6"/>
  <c r="R341" i="6" s="1"/>
  <c r="I341" i="6"/>
  <c r="K340" i="6"/>
  <c r="J340" i="6"/>
  <c r="R340" i="6" s="1"/>
  <c r="I340" i="6"/>
  <c r="K339" i="6"/>
  <c r="J339" i="6"/>
  <c r="R339" i="6" s="1"/>
  <c r="I339" i="6"/>
  <c r="K338" i="6"/>
  <c r="J338" i="6"/>
  <c r="R338" i="6" s="1"/>
  <c r="I338" i="6"/>
  <c r="K337" i="6"/>
  <c r="J337" i="6"/>
  <c r="R337" i="6" s="1"/>
  <c r="I337" i="6"/>
  <c r="K336" i="6"/>
  <c r="J336" i="6"/>
  <c r="R336" i="6" s="1"/>
  <c r="I336" i="6"/>
  <c r="K335" i="6"/>
  <c r="J335" i="6"/>
  <c r="R335" i="6" s="1"/>
  <c r="I335" i="6"/>
  <c r="K334" i="6"/>
  <c r="J334" i="6"/>
  <c r="R334" i="6" s="1"/>
  <c r="I334" i="6"/>
  <c r="K333" i="6"/>
  <c r="J333" i="6"/>
  <c r="R333" i="6" s="1"/>
  <c r="I333" i="6"/>
  <c r="K332" i="6"/>
  <c r="J332" i="6"/>
  <c r="R332" i="6" s="1"/>
  <c r="I332" i="6"/>
  <c r="R331" i="6"/>
  <c r="L331" i="6"/>
  <c r="K331" i="6"/>
  <c r="J331" i="6"/>
  <c r="I331" i="6"/>
  <c r="R330" i="6"/>
  <c r="L330" i="6"/>
  <c r="K330" i="6"/>
  <c r="J330" i="6"/>
  <c r="I330" i="6"/>
  <c r="L329" i="6"/>
  <c r="K329" i="6"/>
  <c r="J329" i="6"/>
  <c r="R329" i="6" s="1"/>
  <c r="I329" i="6"/>
  <c r="L328" i="6"/>
  <c r="K328" i="6"/>
  <c r="J328" i="6"/>
  <c r="R328" i="6" s="1"/>
  <c r="I328" i="6"/>
  <c r="R327" i="6"/>
  <c r="L327" i="6"/>
  <c r="K327" i="6"/>
  <c r="J327" i="6"/>
  <c r="I327" i="6"/>
  <c r="R326" i="6"/>
  <c r="L326" i="6"/>
  <c r="K326" i="6"/>
  <c r="J326" i="6"/>
  <c r="I326" i="6"/>
  <c r="L325" i="6"/>
  <c r="K325" i="6"/>
  <c r="J325" i="6"/>
  <c r="R325" i="6" s="1"/>
  <c r="I325" i="6"/>
  <c r="L324" i="6"/>
  <c r="K324" i="6"/>
  <c r="J324" i="6"/>
  <c r="R324" i="6" s="1"/>
  <c r="I324" i="6"/>
  <c r="R323" i="6"/>
  <c r="L323" i="6"/>
  <c r="K323" i="6"/>
  <c r="J323" i="6"/>
  <c r="I323" i="6"/>
  <c r="R322" i="6"/>
  <c r="L322" i="6"/>
  <c r="K322" i="6"/>
  <c r="J322" i="6"/>
  <c r="I322" i="6"/>
  <c r="L321" i="6"/>
  <c r="K321" i="6"/>
  <c r="J321" i="6"/>
  <c r="R321" i="6" s="1"/>
  <c r="I321" i="6"/>
  <c r="L320" i="6"/>
  <c r="K320" i="6"/>
  <c r="J320" i="6"/>
  <c r="R320" i="6" s="1"/>
  <c r="I320" i="6"/>
  <c r="R319" i="6"/>
  <c r="L319" i="6"/>
  <c r="K319" i="6"/>
  <c r="J319" i="6"/>
  <c r="I319" i="6"/>
  <c r="R318" i="6"/>
  <c r="L318" i="6"/>
  <c r="K318" i="6"/>
  <c r="J318" i="6"/>
  <c r="I318" i="6"/>
  <c r="L317" i="6"/>
  <c r="K317" i="6"/>
  <c r="J317" i="6"/>
  <c r="R317" i="6" s="1"/>
  <c r="I317" i="6"/>
  <c r="L316" i="6"/>
  <c r="K316" i="6"/>
  <c r="J316" i="6"/>
  <c r="R316" i="6" s="1"/>
  <c r="I316" i="6"/>
  <c r="R315" i="6"/>
  <c r="L315" i="6"/>
  <c r="K315" i="6"/>
  <c r="J315" i="6"/>
  <c r="I315" i="6"/>
  <c r="R314" i="6"/>
  <c r="L314" i="6"/>
  <c r="K314" i="6"/>
  <c r="J314" i="6"/>
  <c r="I314" i="6"/>
  <c r="L313" i="6"/>
  <c r="K313" i="6"/>
  <c r="J313" i="6"/>
  <c r="R313" i="6" s="1"/>
  <c r="I313" i="6"/>
  <c r="L312" i="6"/>
  <c r="K312" i="6"/>
  <c r="J312" i="6"/>
  <c r="R312" i="6" s="1"/>
  <c r="I312" i="6"/>
  <c r="R311" i="6"/>
  <c r="L311" i="6"/>
  <c r="K311" i="6"/>
  <c r="J311" i="6"/>
  <c r="I311" i="6"/>
  <c r="R310" i="6"/>
  <c r="L310" i="6"/>
  <c r="K310" i="6"/>
  <c r="J310" i="6"/>
  <c r="I310" i="6"/>
  <c r="L309" i="6"/>
  <c r="K309" i="6"/>
  <c r="J309" i="6"/>
  <c r="R309" i="6" s="1"/>
  <c r="I309" i="6"/>
  <c r="L308" i="6"/>
  <c r="K308" i="6"/>
  <c r="J308" i="6"/>
  <c r="R308" i="6" s="1"/>
  <c r="I308" i="6"/>
  <c r="R307" i="6"/>
  <c r="L307" i="6"/>
  <c r="K307" i="6"/>
  <c r="J307" i="6"/>
  <c r="I307" i="6"/>
  <c r="R306" i="6"/>
  <c r="L306" i="6"/>
  <c r="K306" i="6"/>
  <c r="J306" i="6"/>
  <c r="I306" i="6"/>
  <c r="L305" i="6"/>
  <c r="K305" i="6"/>
  <c r="J305" i="6"/>
  <c r="R305" i="6" s="1"/>
  <c r="I305" i="6"/>
  <c r="L304" i="6"/>
  <c r="K304" i="6"/>
  <c r="J304" i="6"/>
  <c r="R304" i="6" s="1"/>
  <c r="I304" i="6"/>
  <c r="R303" i="6"/>
  <c r="L303" i="6"/>
  <c r="K303" i="6"/>
  <c r="J303" i="6"/>
  <c r="I303" i="6"/>
  <c r="R302" i="6"/>
  <c r="L302" i="6"/>
  <c r="K302" i="6"/>
  <c r="J302" i="6"/>
  <c r="I302" i="6"/>
  <c r="L301" i="6"/>
  <c r="K301" i="6"/>
  <c r="J301" i="6"/>
  <c r="R301" i="6" s="1"/>
  <c r="I301" i="6"/>
  <c r="L300" i="6"/>
  <c r="K300" i="6"/>
  <c r="J300" i="6"/>
  <c r="R300" i="6" s="1"/>
  <c r="I300" i="6"/>
  <c r="R299" i="6"/>
  <c r="L299" i="6"/>
  <c r="K299" i="6"/>
  <c r="J299" i="6"/>
  <c r="I299" i="6"/>
  <c r="R298" i="6"/>
  <c r="L298" i="6"/>
  <c r="K298" i="6"/>
  <c r="J298" i="6"/>
  <c r="I298" i="6"/>
  <c r="L297" i="6"/>
  <c r="K297" i="6"/>
  <c r="J297" i="6"/>
  <c r="R297" i="6" s="1"/>
  <c r="I297" i="6"/>
  <c r="L296" i="6"/>
  <c r="K296" i="6"/>
  <c r="J296" i="6"/>
  <c r="R296" i="6" s="1"/>
  <c r="I296" i="6"/>
  <c r="R295" i="6"/>
  <c r="L295" i="6"/>
  <c r="K295" i="6"/>
  <c r="J295" i="6"/>
  <c r="I295" i="6"/>
  <c r="R294" i="6"/>
  <c r="L294" i="6"/>
  <c r="K294" i="6"/>
  <c r="J294" i="6"/>
  <c r="I294" i="6"/>
  <c r="L293" i="6"/>
  <c r="K293" i="6"/>
  <c r="J293" i="6"/>
  <c r="R293" i="6" s="1"/>
  <c r="I293" i="6"/>
  <c r="L292" i="6"/>
  <c r="K292" i="6"/>
  <c r="J292" i="6"/>
  <c r="R292" i="6" s="1"/>
  <c r="I292" i="6"/>
  <c r="R291" i="6"/>
  <c r="L291" i="6"/>
  <c r="K291" i="6"/>
  <c r="J291" i="6"/>
  <c r="I291" i="6"/>
  <c r="R290" i="6"/>
  <c r="L290" i="6"/>
  <c r="K290" i="6"/>
  <c r="J290" i="6"/>
  <c r="I290" i="6"/>
  <c r="L289" i="6"/>
  <c r="K289" i="6"/>
  <c r="J289" i="6"/>
  <c r="R289" i="6" s="1"/>
  <c r="I289" i="6"/>
  <c r="L288" i="6"/>
  <c r="K288" i="6"/>
  <c r="J288" i="6"/>
  <c r="R288" i="6" s="1"/>
  <c r="I288" i="6"/>
  <c r="R287" i="6"/>
  <c r="L287" i="6"/>
  <c r="K287" i="6"/>
  <c r="J287" i="6"/>
  <c r="I287" i="6"/>
  <c r="R286" i="6"/>
  <c r="L286" i="6"/>
  <c r="K286" i="6"/>
  <c r="J286" i="6"/>
  <c r="I286" i="6"/>
  <c r="L285" i="6"/>
  <c r="K285" i="6"/>
  <c r="J285" i="6"/>
  <c r="R285" i="6" s="1"/>
  <c r="I285" i="6"/>
  <c r="L284" i="6"/>
  <c r="K284" i="6"/>
  <c r="J284" i="6"/>
  <c r="R284" i="6" s="1"/>
  <c r="I284" i="6"/>
  <c r="R283" i="6"/>
  <c r="L283" i="6"/>
  <c r="K283" i="6"/>
  <c r="J283" i="6"/>
  <c r="I283" i="6"/>
  <c r="R282" i="6"/>
  <c r="L282" i="6"/>
  <c r="K282" i="6"/>
  <c r="J282" i="6"/>
  <c r="I282" i="6"/>
  <c r="L281" i="6"/>
  <c r="K281" i="6"/>
  <c r="J281" i="6"/>
  <c r="R281" i="6" s="1"/>
  <c r="I281" i="6"/>
  <c r="L280" i="6"/>
  <c r="K280" i="6"/>
  <c r="J280" i="6"/>
  <c r="R280" i="6" s="1"/>
  <c r="I280" i="6"/>
  <c r="R279" i="6"/>
  <c r="L279" i="6"/>
  <c r="K279" i="6"/>
  <c r="J279" i="6"/>
  <c r="I279" i="6"/>
  <c r="R278" i="6"/>
  <c r="L278" i="6"/>
  <c r="K278" i="6"/>
  <c r="J278" i="6"/>
  <c r="I278" i="6"/>
  <c r="L277" i="6"/>
  <c r="K277" i="6"/>
  <c r="J277" i="6"/>
  <c r="R277" i="6" s="1"/>
  <c r="I277" i="6"/>
  <c r="L276" i="6"/>
  <c r="K276" i="6"/>
  <c r="J276" i="6"/>
  <c r="R276" i="6" s="1"/>
  <c r="I276" i="6"/>
  <c r="R275" i="6"/>
  <c r="L275" i="6"/>
  <c r="K275" i="6"/>
  <c r="J275" i="6"/>
  <c r="I275" i="6"/>
  <c r="R274" i="6"/>
  <c r="L274" i="6"/>
  <c r="K274" i="6"/>
  <c r="J274" i="6"/>
  <c r="I274" i="6"/>
  <c r="L273" i="6"/>
  <c r="K273" i="6"/>
  <c r="J273" i="6"/>
  <c r="R273" i="6" s="1"/>
  <c r="I273" i="6"/>
  <c r="L272" i="6"/>
  <c r="K272" i="6"/>
  <c r="J272" i="6"/>
  <c r="R272" i="6" s="1"/>
  <c r="I272" i="6"/>
  <c r="M271" i="6"/>
  <c r="L271" i="6"/>
  <c r="K271" i="6"/>
  <c r="J271" i="6"/>
  <c r="R271" i="6" s="1"/>
  <c r="I271" i="6"/>
  <c r="M270" i="6"/>
  <c r="L270" i="6"/>
  <c r="K270" i="6"/>
  <c r="J270" i="6"/>
  <c r="R270" i="6" s="1"/>
  <c r="I270" i="6"/>
  <c r="M269" i="6"/>
  <c r="L269" i="6"/>
  <c r="K269" i="6"/>
  <c r="J269" i="6"/>
  <c r="R269" i="6" s="1"/>
  <c r="I269" i="6"/>
  <c r="M268" i="6"/>
  <c r="L268" i="6"/>
  <c r="K268" i="6"/>
  <c r="J268" i="6"/>
  <c r="R268" i="6" s="1"/>
  <c r="I268" i="6"/>
  <c r="M267" i="6"/>
  <c r="L267" i="6"/>
  <c r="K267" i="6"/>
  <c r="J267" i="6"/>
  <c r="R267" i="6" s="1"/>
  <c r="I267" i="6"/>
  <c r="M266" i="6"/>
  <c r="L266" i="6"/>
  <c r="K266" i="6"/>
  <c r="J266" i="6"/>
  <c r="R266" i="6" s="1"/>
  <c r="I266" i="6"/>
  <c r="M265" i="6"/>
  <c r="L265" i="6"/>
  <c r="K265" i="6"/>
  <c r="J265" i="6"/>
  <c r="R265" i="6" s="1"/>
  <c r="I265" i="6"/>
  <c r="M264" i="6"/>
  <c r="L264" i="6"/>
  <c r="K264" i="6"/>
  <c r="J264" i="6"/>
  <c r="R264" i="6" s="1"/>
  <c r="I264" i="6"/>
  <c r="M263" i="6"/>
  <c r="L263" i="6"/>
  <c r="K263" i="6"/>
  <c r="J263" i="6"/>
  <c r="R263" i="6" s="1"/>
  <c r="I263" i="6"/>
  <c r="M262" i="6"/>
  <c r="L262" i="6"/>
  <c r="K262" i="6"/>
  <c r="J262" i="6"/>
  <c r="R262" i="6" s="1"/>
  <c r="I262" i="6"/>
  <c r="M261" i="6"/>
  <c r="L261" i="6"/>
  <c r="K261" i="6"/>
  <c r="J261" i="6"/>
  <c r="R261" i="6" s="1"/>
  <c r="I261" i="6"/>
  <c r="M260" i="6"/>
  <c r="L260" i="6"/>
  <c r="K260" i="6"/>
  <c r="J260" i="6"/>
  <c r="R260" i="6" s="1"/>
  <c r="I260" i="6"/>
  <c r="M259" i="6"/>
  <c r="L259" i="6"/>
  <c r="K259" i="6"/>
  <c r="J259" i="6"/>
  <c r="R259" i="6" s="1"/>
  <c r="I259" i="6"/>
  <c r="M258" i="6"/>
  <c r="L258" i="6"/>
  <c r="K258" i="6"/>
  <c r="J258" i="6"/>
  <c r="R258" i="6" s="1"/>
  <c r="I258" i="6"/>
  <c r="M257" i="6"/>
  <c r="L257" i="6"/>
  <c r="K257" i="6"/>
  <c r="J257" i="6"/>
  <c r="R257" i="6" s="1"/>
  <c r="I257" i="6"/>
  <c r="M256" i="6"/>
  <c r="L256" i="6"/>
  <c r="K256" i="6"/>
  <c r="J256" i="6"/>
  <c r="R256" i="6" s="1"/>
  <c r="I256" i="6"/>
  <c r="M255" i="6"/>
  <c r="L255" i="6"/>
  <c r="K255" i="6"/>
  <c r="J255" i="6"/>
  <c r="R255" i="6" s="1"/>
  <c r="I255" i="6"/>
  <c r="M254" i="6"/>
  <c r="L254" i="6"/>
  <c r="K254" i="6"/>
  <c r="J254" i="6"/>
  <c r="R254" i="6" s="1"/>
  <c r="I254" i="6"/>
  <c r="M253" i="6"/>
  <c r="L253" i="6"/>
  <c r="K253" i="6"/>
  <c r="J253" i="6"/>
  <c r="R253" i="6" s="1"/>
  <c r="I253" i="6"/>
  <c r="M252" i="6"/>
  <c r="L252" i="6"/>
  <c r="K252" i="6"/>
  <c r="J252" i="6"/>
  <c r="R252" i="6" s="1"/>
  <c r="I252" i="6"/>
  <c r="M251" i="6"/>
  <c r="L251" i="6"/>
  <c r="K251" i="6"/>
  <c r="J251" i="6"/>
  <c r="R251" i="6" s="1"/>
  <c r="I251" i="6"/>
  <c r="M250" i="6"/>
  <c r="L250" i="6"/>
  <c r="K250" i="6"/>
  <c r="J250" i="6"/>
  <c r="R250" i="6" s="1"/>
  <c r="I250" i="6"/>
  <c r="M249" i="6"/>
  <c r="L249" i="6"/>
  <c r="K249" i="6"/>
  <c r="J249" i="6"/>
  <c r="R249" i="6" s="1"/>
  <c r="I249" i="6"/>
  <c r="M248" i="6"/>
  <c r="L248" i="6"/>
  <c r="K248" i="6"/>
  <c r="J248" i="6"/>
  <c r="R248" i="6" s="1"/>
  <c r="I248" i="6"/>
  <c r="M247" i="6"/>
  <c r="L247" i="6"/>
  <c r="K247" i="6"/>
  <c r="J247" i="6"/>
  <c r="R247" i="6" s="1"/>
  <c r="I247" i="6"/>
  <c r="M246" i="6"/>
  <c r="L246" i="6"/>
  <c r="K246" i="6"/>
  <c r="J246" i="6"/>
  <c r="R246" i="6" s="1"/>
  <c r="I246" i="6"/>
  <c r="M245" i="6"/>
  <c r="L245" i="6"/>
  <c r="K245" i="6"/>
  <c r="J245" i="6"/>
  <c r="R245" i="6" s="1"/>
  <c r="I245" i="6"/>
  <c r="M244" i="6"/>
  <c r="L244" i="6"/>
  <c r="K244" i="6"/>
  <c r="J244" i="6"/>
  <c r="R244" i="6" s="1"/>
  <c r="I244" i="6"/>
  <c r="M243" i="6"/>
  <c r="L243" i="6"/>
  <c r="K243" i="6"/>
  <c r="J243" i="6"/>
  <c r="R243" i="6" s="1"/>
  <c r="I243" i="6"/>
  <c r="M242" i="6"/>
  <c r="L242" i="6"/>
  <c r="K242" i="6"/>
  <c r="J242" i="6"/>
  <c r="R242" i="6" s="1"/>
  <c r="I242" i="6"/>
  <c r="M241" i="6"/>
  <c r="L241" i="6"/>
  <c r="K241" i="6"/>
  <c r="J241" i="6"/>
  <c r="R241" i="6" s="1"/>
  <c r="I241" i="6"/>
  <c r="M240" i="6"/>
  <c r="L240" i="6"/>
  <c r="K240" i="6"/>
  <c r="J240" i="6"/>
  <c r="R240" i="6" s="1"/>
  <c r="I240" i="6"/>
  <c r="M239" i="6"/>
  <c r="L239" i="6"/>
  <c r="K239" i="6"/>
  <c r="J239" i="6"/>
  <c r="R239" i="6" s="1"/>
  <c r="I239" i="6"/>
  <c r="M238" i="6"/>
  <c r="L238" i="6"/>
  <c r="K238" i="6"/>
  <c r="J238" i="6"/>
  <c r="R238" i="6" s="1"/>
  <c r="I238" i="6"/>
  <c r="M237" i="6"/>
  <c r="L237" i="6"/>
  <c r="K237" i="6"/>
  <c r="J237" i="6"/>
  <c r="R237" i="6" s="1"/>
  <c r="I237" i="6"/>
  <c r="M236" i="6"/>
  <c r="L236" i="6"/>
  <c r="K236" i="6"/>
  <c r="J236" i="6"/>
  <c r="R236" i="6" s="1"/>
  <c r="I236" i="6"/>
  <c r="M235" i="6"/>
  <c r="L235" i="6"/>
  <c r="K235" i="6"/>
  <c r="J235" i="6"/>
  <c r="R235" i="6" s="1"/>
  <c r="I235" i="6"/>
  <c r="M234" i="6"/>
  <c r="L234" i="6"/>
  <c r="K234" i="6"/>
  <c r="J234" i="6"/>
  <c r="R234" i="6" s="1"/>
  <c r="I234" i="6"/>
  <c r="M233" i="6"/>
  <c r="L233" i="6"/>
  <c r="K233" i="6"/>
  <c r="J233" i="6"/>
  <c r="R233" i="6" s="1"/>
  <c r="I233" i="6"/>
  <c r="M232" i="6"/>
  <c r="L232" i="6"/>
  <c r="K232" i="6"/>
  <c r="J232" i="6"/>
  <c r="R232" i="6" s="1"/>
  <c r="I232" i="6"/>
  <c r="M231" i="6"/>
  <c r="L231" i="6"/>
  <c r="K231" i="6"/>
  <c r="J231" i="6"/>
  <c r="R231" i="6" s="1"/>
  <c r="I231" i="6"/>
  <c r="M230" i="6"/>
  <c r="L230" i="6"/>
  <c r="K230" i="6"/>
  <c r="J230" i="6"/>
  <c r="R230" i="6" s="1"/>
  <c r="I230" i="6"/>
  <c r="M229" i="6"/>
  <c r="L229" i="6"/>
  <c r="K229" i="6"/>
  <c r="J229" i="6"/>
  <c r="R229" i="6" s="1"/>
  <c r="I229" i="6"/>
  <c r="M228" i="6"/>
  <c r="L228" i="6"/>
  <c r="K228" i="6"/>
  <c r="J228" i="6"/>
  <c r="R228" i="6" s="1"/>
  <c r="I228" i="6"/>
  <c r="M227" i="6"/>
  <c r="L227" i="6"/>
  <c r="K227" i="6"/>
  <c r="J227" i="6"/>
  <c r="R227" i="6" s="1"/>
  <c r="I227" i="6"/>
  <c r="M226" i="6"/>
  <c r="L226" i="6"/>
  <c r="K226" i="6"/>
  <c r="J226" i="6"/>
  <c r="R226" i="6" s="1"/>
  <c r="I226" i="6"/>
  <c r="M225" i="6"/>
  <c r="L225" i="6"/>
  <c r="K225" i="6"/>
  <c r="J225" i="6"/>
  <c r="R225" i="6" s="1"/>
  <c r="I225" i="6"/>
  <c r="M224" i="6"/>
  <c r="L224" i="6"/>
  <c r="K224" i="6"/>
  <c r="J224" i="6"/>
  <c r="R224" i="6" s="1"/>
  <c r="I224" i="6"/>
  <c r="M223" i="6"/>
  <c r="L223" i="6"/>
  <c r="K223" i="6"/>
  <c r="J223" i="6"/>
  <c r="R223" i="6" s="1"/>
  <c r="I223" i="6"/>
  <c r="M222" i="6"/>
  <c r="L222" i="6"/>
  <c r="K222" i="6"/>
  <c r="J222" i="6"/>
  <c r="R222" i="6" s="1"/>
  <c r="I222" i="6"/>
  <c r="M221" i="6"/>
  <c r="L221" i="6"/>
  <c r="K221" i="6"/>
  <c r="J221" i="6"/>
  <c r="R221" i="6" s="1"/>
  <c r="I221" i="6"/>
  <c r="M220" i="6"/>
  <c r="L220" i="6"/>
  <c r="K220" i="6"/>
  <c r="J220" i="6"/>
  <c r="R220" i="6" s="1"/>
  <c r="I220" i="6"/>
  <c r="M219" i="6"/>
  <c r="L219" i="6"/>
  <c r="K219" i="6"/>
  <c r="J219" i="6"/>
  <c r="R219" i="6" s="1"/>
  <c r="I219" i="6"/>
  <c r="M218" i="6"/>
  <c r="L218" i="6"/>
  <c r="K218" i="6"/>
  <c r="J218" i="6"/>
  <c r="R218" i="6" s="1"/>
  <c r="I218" i="6"/>
  <c r="M217" i="6"/>
  <c r="L217" i="6"/>
  <c r="K217" i="6"/>
  <c r="J217" i="6"/>
  <c r="R217" i="6" s="1"/>
  <c r="I217" i="6"/>
  <c r="M216" i="6"/>
  <c r="L216" i="6"/>
  <c r="K216" i="6"/>
  <c r="J216" i="6"/>
  <c r="R216" i="6" s="1"/>
  <c r="I216" i="6"/>
  <c r="M215" i="6"/>
  <c r="L215" i="6"/>
  <c r="K215" i="6"/>
  <c r="J215" i="6"/>
  <c r="R215" i="6" s="1"/>
  <c r="I215" i="6"/>
  <c r="M214" i="6"/>
  <c r="L214" i="6"/>
  <c r="K214" i="6"/>
  <c r="J214" i="6"/>
  <c r="R214" i="6" s="1"/>
  <c r="I214" i="6"/>
  <c r="M213" i="6"/>
  <c r="L213" i="6"/>
  <c r="K213" i="6"/>
  <c r="J213" i="6"/>
  <c r="R213" i="6" s="1"/>
  <c r="I213" i="6"/>
  <c r="M212" i="6"/>
  <c r="L212" i="6"/>
  <c r="K212" i="6"/>
  <c r="J212" i="6"/>
  <c r="R212" i="6" s="1"/>
  <c r="I212" i="6"/>
  <c r="N211" i="6"/>
  <c r="M211" i="6"/>
  <c r="L211" i="6"/>
  <c r="K211" i="6"/>
  <c r="J211" i="6"/>
  <c r="R211" i="6" s="1"/>
  <c r="I211" i="6"/>
  <c r="N210" i="6"/>
  <c r="M210" i="6"/>
  <c r="L210" i="6"/>
  <c r="K210" i="6"/>
  <c r="J210" i="6"/>
  <c r="R210" i="6" s="1"/>
  <c r="I210" i="6"/>
  <c r="R209" i="6"/>
  <c r="N209" i="6"/>
  <c r="M209" i="6"/>
  <c r="L209" i="6"/>
  <c r="K209" i="6"/>
  <c r="J209" i="6"/>
  <c r="I209" i="6"/>
  <c r="R208" i="6"/>
  <c r="N208" i="6"/>
  <c r="M208" i="6"/>
  <c r="L208" i="6"/>
  <c r="K208" i="6"/>
  <c r="J208" i="6"/>
  <c r="I208" i="6"/>
  <c r="N207" i="6"/>
  <c r="M207" i="6"/>
  <c r="L207" i="6"/>
  <c r="K207" i="6"/>
  <c r="J207" i="6"/>
  <c r="R207" i="6" s="1"/>
  <c r="I207" i="6"/>
  <c r="N206" i="6"/>
  <c r="M206" i="6"/>
  <c r="L206" i="6"/>
  <c r="K206" i="6"/>
  <c r="J206" i="6"/>
  <c r="R206" i="6" s="1"/>
  <c r="I206" i="6"/>
  <c r="R205" i="6"/>
  <c r="N205" i="6"/>
  <c r="M205" i="6"/>
  <c r="L205" i="6"/>
  <c r="K205" i="6"/>
  <c r="J205" i="6"/>
  <c r="I205" i="6"/>
  <c r="R204" i="6"/>
  <c r="N204" i="6"/>
  <c r="M204" i="6"/>
  <c r="L204" i="6"/>
  <c r="K204" i="6"/>
  <c r="J204" i="6"/>
  <c r="I204" i="6"/>
  <c r="N203" i="6"/>
  <c r="M203" i="6"/>
  <c r="L203" i="6"/>
  <c r="K203" i="6"/>
  <c r="J203" i="6"/>
  <c r="R203" i="6" s="1"/>
  <c r="I203" i="6"/>
  <c r="N202" i="6"/>
  <c r="M202" i="6"/>
  <c r="L202" i="6"/>
  <c r="K202" i="6"/>
  <c r="J202" i="6"/>
  <c r="R202" i="6" s="1"/>
  <c r="I202" i="6"/>
  <c r="R201" i="6"/>
  <c r="N201" i="6"/>
  <c r="M201" i="6"/>
  <c r="L201" i="6"/>
  <c r="K201" i="6"/>
  <c r="J201" i="6"/>
  <c r="I201" i="6"/>
  <c r="R200" i="6"/>
  <c r="N200" i="6"/>
  <c r="M200" i="6"/>
  <c r="L200" i="6"/>
  <c r="K200" i="6"/>
  <c r="J200" i="6"/>
  <c r="I200" i="6"/>
  <c r="N199" i="6"/>
  <c r="M199" i="6"/>
  <c r="L199" i="6"/>
  <c r="K199" i="6"/>
  <c r="J199" i="6"/>
  <c r="R199" i="6" s="1"/>
  <c r="I199" i="6"/>
  <c r="N198" i="6"/>
  <c r="M198" i="6"/>
  <c r="L198" i="6"/>
  <c r="K198" i="6"/>
  <c r="J198" i="6"/>
  <c r="R198" i="6" s="1"/>
  <c r="I198" i="6"/>
  <c r="R197" i="6"/>
  <c r="N197" i="6"/>
  <c r="M197" i="6"/>
  <c r="L197" i="6"/>
  <c r="K197" i="6"/>
  <c r="J197" i="6"/>
  <c r="I197" i="6"/>
  <c r="R196" i="6"/>
  <c r="N196" i="6"/>
  <c r="M196" i="6"/>
  <c r="L196" i="6"/>
  <c r="K196" i="6"/>
  <c r="J196" i="6"/>
  <c r="I196" i="6"/>
  <c r="N195" i="6"/>
  <c r="M195" i="6"/>
  <c r="L195" i="6"/>
  <c r="K195" i="6"/>
  <c r="J195" i="6"/>
  <c r="R195" i="6" s="1"/>
  <c r="I195" i="6"/>
  <c r="N194" i="6"/>
  <c r="M194" i="6"/>
  <c r="L194" i="6"/>
  <c r="K194" i="6"/>
  <c r="J194" i="6"/>
  <c r="R194" i="6" s="1"/>
  <c r="I194" i="6"/>
  <c r="R193" i="6"/>
  <c r="N193" i="6"/>
  <c r="M193" i="6"/>
  <c r="L193" i="6"/>
  <c r="K193" i="6"/>
  <c r="J193" i="6"/>
  <c r="I193" i="6"/>
  <c r="R192" i="6"/>
  <c r="N192" i="6"/>
  <c r="M192" i="6"/>
  <c r="L192" i="6"/>
  <c r="K192" i="6"/>
  <c r="J192" i="6"/>
  <c r="I192" i="6"/>
  <c r="N191" i="6"/>
  <c r="M191" i="6"/>
  <c r="L191" i="6"/>
  <c r="K191" i="6"/>
  <c r="J191" i="6"/>
  <c r="R191" i="6" s="1"/>
  <c r="I191" i="6"/>
  <c r="N190" i="6"/>
  <c r="M190" i="6"/>
  <c r="L190" i="6"/>
  <c r="K190" i="6"/>
  <c r="J190" i="6"/>
  <c r="R190" i="6" s="1"/>
  <c r="I190" i="6"/>
  <c r="R189" i="6"/>
  <c r="N189" i="6"/>
  <c r="M189" i="6"/>
  <c r="L189" i="6"/>
  <c r="K189" i="6"/>
  <c r="J189" i="6"/>
  <c r="I189" i="6"/>
  <c r="R188" i="6"/>
  <c r="N188" i="6"/>
  <c r="M188" i="6"/>
  <c r="L188" i="6"/>
  <c r="K188" i="6"/>
  <c r="J188" i="6"/>
  <c r="I188" i="6"/>
  <c r="N187" i="6"/>
  <c r="M187" i="6"/>
  <c r="L187" i="6"/>
  <c r="K187" i="6"/>
  <c r="J187" i="6"/>
  <c r="R187" i="6" s="1"/>
  <c r="I187" i="6"/>
  <c r="N186" i="6"/>
  <c r="M186" i="6"/>
  <c r="L186" i="6"/>
  <c r="K186" i="6"/>
  <c r="J186" i="6"/>
  <c r="R186" i="6" s="1"/>
  <c r="I186" i="6"/>
  <c r="R185" i="6"/>
  <c r="N185" i="6"/>
  <c r="M185" i="6"/>
  <c r="L185" i="6"/>
  <c r="K185" i="6"/>
  <c r="J185" i="6"/>
  <c r="I185" i="6"/>
  <c r="R184" i="6"/>
  <c r="N184" i="6"/>
  <c r="M184" i="6"/>
  <c r="L184" i="6"/>
  <c r="K184" i="6"/>
  <c r="J184" i="6"/>
  <c r="I184" i="6"/>
  <c r="N183" i="6"/>
  <c r="M183" i="6"/>
  <c r="L183" i="6"/>
  <c r="K183" i="6"/>
  <c r="J183" i="6"/>
  <c r="R183" i="6" s="1"/>
  <c r="I183" i="6"/>
  <c r="N182" i="6"/>
  <c r="M182" i="6"/>
  <c r="L182" i="6"/>
  <c r="K182" i="6"/>
  <c r="J182" i="6"/>
  <c r="R182" i="6" s="1"/>
  <c r="I182" i="6"/>
  <c r="R181" i="6"/>
  <c r="N181" i="6"/>
  <c r="M181" i="6"/>
  <c r="L181" i="6"/>
  <c r="K181" i="6"/>
  <c r="J181" i="6"/>
  <c r="I181" i="6"/>
  <c r="R180" i="6"/>
  <c r="N180" i="6"/>
  <c r="M180" i="6"/>
  <c r="L180" i="6"/>
  <c r="K180" i="6"/>
  <c r="J180" i="6"/>
  <c r="I180" i="6"/>
  <c r="N179" i="6"/>
  <c r="M179" i="6"/>
  <c r="L179" i="6"/>
  <c r="K179" i="6"/>
  <c r="J179" i="6"/>
  <c r="R179" i="6" s="1"/>
  <c r="I179" i="6"/>
  <c r="N178" i="6"/>
  <c r="M178" i="6"/>
  <c r="L178" i="6"/>
  <c r="K178" i="6"/>
  <c r="J178" i="6"/>
  <c r="R178" i="6" s="1"/>
  <c r="I178" i="6"/>
  <c r="R177" i="6"/>
  <c r="N177" i="6"/>
  <c r="M177" i="6"/>
  <c r="L177" i="6"/>
  <c r="K177" i="6"/>
  <c r="J177" i="6"/>
  <c r="I177" i="6"/>
  <c r="R176" i="6"/>
  <c r="N176" i="6"/>
  <c r="M176" i="6"/>
  <c r="L176" i="6"/>
  <c r="K176" i="6"/>
  <c r="J176" i="6"/>
  <c r="I176" i="6"/>
  <c r="N175" i="6"/>
  <c r="M175" i="6"/>
  <c r="L175" i="6"/>
  <c r="K175" i="6"/>
  <c r="J175" i="6"/>
  <c r="R175" i="6" s="1"/>
  <c r="I175" i="6"/>
  <c r="N174" i="6"/>
  <c r="M174" i="6"/>
  <c r="L174" i="6"/>
  <c r="K174" i="6"/>
  <c r="J174" i="6"/>
  <c r="R174" i="6" s="1"/>
  <c r="I174" i="6"/>
  <c r="R173" i="6"/>
  <c r="N173" i="6"/>
  <c r="M173" i="6"/>
  <c r="L173" i="6"/>
  <c r="K173" i="6"/>
  <c r="J173" i="6"/>
  <c r="I173" i="6"/>
  <c r="R172" i="6"/>
  <c r="N172" i="6"/>
  <c r="M172" i="6"/>
  <c r="L172" i="6"/>
  <c r="K172" i="6"/>
  <c r="J172" i="6"/>
  <c r="I172" i="6"/>
  <c r="N171" i="6"/>
  <c r="M171" i="6"/>
  <c r="L171" i="6"/>
  <c r="K171" i="6"/>
  <c r="J171" i="6"/>
  <c r="R171" i="6" s="1"/>
  <c r="I171" i="6"/>
  <c r="N170" i="6"/>
  <c r="M170" i="6"/>
  <c r="L170" i="6"/>
  <c r="K170" i="6"/>
  <c r="J170" i="6"/>
  <c r="R170" i="6" s="1"/>
  <c r="I170" i="6"/>
  <c r="R169" i="6"/>
  <c r="N169" i="6"/>
  <c r="M169" i="6"/>
  <c r="L169" i="6"/>
  <c r="K169" i="6"/>
  <c r="J169" i="6"/>
  <c r="I169" i="6"/>
  <c r="R168" i="6"/>
  <c r="N168" i="6"/>
  <c r="M168" i="6"/>
  <c r="L168" i="6"/>
  <c r="K168" i="6"/>
  <c r="J168" i="6"/>
  <c r="I168" i="6"/>
  <c r="N167" i="6"/>
  <c r="M167" i="6"/>
  <c r="L167" i="6"/>
  <c r="K167" i="6"/>
  <c r="J167" i="6"/>
  <c r="R167" i="6" s="1"/>
  <c r="I167" i="6"/>
  <c r="N166" i="6"/>
  <c r="M166" i="6"/>
  <c r="L166" i="6"/>
  <c r="K166" i="6"/>
  <c r="J166" i="6"/>
  <c r="R166" i="6" s="1"/>
  <c r="I166" i="6"/>
  <c r="R165" i="6"/>
  <c r="N165" i="6"/>
  <c r="M165" i="6"/>
  <c r="L165" i="6"/>
  <c r="K165" i="6"/>
  <c r="J165" i="6"/>
  <c r="I165" i="6"/>
  <c r="R164" i="6"/>
  <c r="N164" i="6"/>
  <c r="M164" i="6"/>
  <c r="L164" i="6"/>
  <c r="K164" i="6"/>
  <c r="J164" i="6"/>
  <c r="I164" i="6"/>
  <c r="N163" i="6"/>
  <c r="M163" i="6"/>
  <c r="L163" i="6"/>
  <c r="K163" i="6"/>
  <c r="J163" i="6"/>
  <c r="R163" i="6" s="1"/>
  <c r="I163" i="6"/>
  <c r="N162" i="6"/>
  <c r="M162" i="6"/>
  <c r="L162" i="6"/>
  <c r="K162" i="6"/>
  <c r="J162" i="6"/>
  <c r="R162" i="6" s="1"/>
  <c r="I162" i="6"/>
  <c r="R161" i="6"/>
  <c r="N161" i="6"/>
  <c r="M161" i="6"/>
  <c r="L161" i="6"/>
  <c r="K161" i="6"/>
  <c r="J161" i="6"/>
  <c r="I161" i="6"/>
  <c r="R160" i="6"/>
  <c r="N160" i="6"/>
  <c r="M160" i="6"/>
  <c r="L160" i="6"/>
  <c r="K160" i="6"/>
  <c r="J160" i="6"/>
  <c r="I160" i="6"/>
  <c r="N159" i="6"/>
  <c r="M159" i="6"/>
  <c r="L159" i="6"/>
  <c r="K159" i="6"/>
  <c r="J159" i="6"/>
  <c r="R159" i="6" s="1"/>
  <c r="I159" i="6"/>
  <c r="N158" i="6"/>
  <c r="M158" i="6"/>
  <c r="L158" i="6"/>
  <c r="K158" i="6"/>
  <c r="J158" i="6"/>
  <c r="R158" i="6" s="1"/>
  <c r="I158" i="6"/>
  <c r="R157" i="6"/>
  <c r="N157" i="6"/>
  <c r="M157" i="6"/>
  <c r="L157" i="6"/>
  <c r="K157" i="6"/>
  <c r="J157" i="6"/>
  <c r="I157" i="6"/>
  <c r="R156" i="6"/>
  <c r="N156" i="6"/>
  <c r="M156" i="6"/>
  <c r="L156" i="6"/>
  <c r="K156" i="6"/>
  <c r="J156" i="6"/>
  <c r="I156" i="6"/>
  <c r="N155" i="6"/>
  <c r="M155" i="6"/>
  <c r="L155" i="6"/>
  <c r="K155" i="6"/>
  <c r="J155" i="6"/>
  <c r="R155" i="6" s="1"/>
  <c r="I155" i="6"/>
  <c r="N154" i="6"/>
  <c r="M154" i="6"/>
  <c r="L154" i="6"/>
  <c r="K154" i="6"/>
  <c r="J154" i="6"/>
  <c r="R154" i="6" s="1"/>
  <c r="I154" i="6"/>
  <c r="R153" i="6"/>
  <c r="N153" i="6"/>
  <c r="M153" i="6"/>
  <c r="L153" i="6"/>
  <c r="K153" i="6"/>
  <c r="J153" i="6"/>
  <c r="I153" i="6"/>
  <c r="R152" i="6"/>
  <c r="N152" i="6"/>
  <c r="M152" i="6"/>
  <c r="L152" i="6"/>
  <c r="K152" i="6"/>
  <c r="J152" i="6"/>
  <c r="I152" i="6"/>
  <c r="O151" i="6"/>
  <c r="N151" i="6"/>
  <c r="M151" i="6"/>
  <c r="L151" i="6"/>
  <c r="K151" i="6"/>
  <c r="J151" i="6"/>
  <c r="R151" i="6" s="1"/>
  <c r="I151" i="6"/>
  <c r="O150" i="6"/>
  <c r="N150" i="6"/>
  <c r="M150" i="6"/>
  <c r="L150" i="6"/>
  <c r="K150" i="6"/>
  <c r="J150" i="6"/>
  <c r="R150" i="6" s="1"/>
  <c r="I150" i="6"/>
  <c r="O149" i="6"/>
  <c r="N149" i="6"/>
  <c r="M149" i="6"/>
  <c r="L149" i="6"/>
  <c r="K149" i="6"/>
  <c r="J149" i="6"/>
  <c r="R149" i="6" s="1"/>
  <c r="I149" i="6"/>
  <c r="O148" i="6"/>
  <c r="N148" i="6"/>
  <c r="M148" i="6"/>
  <c r="L148" i="6"/>
  <c r="K148" i="6"/>
  <c r="J148" i="6"/>
  <c r="R148" i="6" s="1"/>
  <c r="I148" i="6"/>
  <c r="O147" i="6"/>
  <c r="N147" i="6"/>
  <c r="M147" i="6"/>
  <c r="L147" i="6"/>
  <c r="K147" i="6"/>
  <c r="J147" i="6"/>
  <c r="R147" i="6" s="1"/>
  <c r="I147" i="6"/>
  <c r="O146" i="6"/>
  <c r="N146" i="6"/>
  <c r="M146" i="6"/>
  <c r="L146" i="6"/>
  <c r="K146" i="6"/>
  <c r="J146" i="6"/>
  <c r="R146" i="6" s="1"/>
  <c r="I146" i="6"/>
  <c r="O145" i="6"/>
  <c r="N145" i="6"/>
  <c r="M145" i="6"/>
  <c r="L145" i="6"/>
  <c r="K145" i="6"/>
  <c r="J145" i="6"/>
  <c r="R145" i="6" s="1"/>
  <c r="I145" i="6"/>
  <c r="O144" i="6"/>
  <c r="N144" i="6"/>
  <c r="M144" i="6"/>
  <c r="L144" i="6"/>
  <c r="K144" i="6"/>
  <c r="J144" i="6"/>
  <c r="R144" i="6" s="1"/>
  <c r="I144" i="6"/>
  <c r="O143" i="6"/>
  <c r="N143" i="6"/>
  <c r="M143" i="6"/>
  <c r="L143" i="6"/>
  <c r="K143" i="6"/>
  <c r="J143" i="6"/>
  <c r="R143" i="6" s="1"/>
  <c r="I143" i="6"/>
  <c r="O142" i="6"/>
  <c r="N142" i="6"/>
  <c r="M142" i="6"/>
  <c r="L142" i="6"/>
  <c r="K142" i="6"/>
  <c r="J142" i="6"/>
  <c r="R142" i="6" s="1"/>
  <c r="I142" i="6"/>
  <c r="O141" i="6"/>
  <c r="N141" i="6"/>
  <c r="M141" i="6"/>
  <c r="L141" i="6"/>
  <c r="K141" i="6"/>
  <c r="J141" i="6"/>
  <c r="R141" i="6" s="1"/>
  <c r="I141" i="6"/>
  <c r="O140" i="6"/>
  <c r="N140" i="6"/>
  <c r="M140" i="6"/>
  <c r="L140" i="6"/>
  <c r="K140" i="6"/>
  <c r="J140" i="6"/>
  <c r="R140" i="6" s="1"/>
  <c r="I140" i="6"/>
  <c r="O139" i="6"/>
  <c r="N139" i="6"/>
  <c r="M139" i="6"/>
  <c r="L139" i="6"/>
  <c r="K139" i="6"/>
  <c r="J139" i="6"/>
  <c r="R139" i="6" s="1"/>
  <c r="I139" i="6"/>
  <c r="O138" i="6"/>
  <c r="N138" i="6"/>
  <c r="M138" i="6"/>
  <c r="L138" i="6"/>
  <c r="K138" i="6"/>
  <c r="J138" i="6"/>
  <c r="R138" i="6" s="1"/>
  <c r="I138" i="6"/>
  <c r="O137" i="6"/>
  <c r="N137" i="6"/>
  <c r="M137" i="6"/>
  <c r="L137" i="6"/>
  <c r="K137" i="6"/>
  <c r="J137" i="6"/>
  <c r="R137" i="6" s="1"/>
  <c r="I137" i="6"/>
  <c r="O136" i="6"/>
  <c r="N136" i="6"/>
  <c r="M136" i="6"/>
  <c r="L136" i="6"/>
  <c r="K136" i="6"/>
  <c r="J136" i="6"/>
  <c r="R136" i="6" s="1"/>
  <c r="I136" i="6"/>
  <c r="O135" i="6"/>
  <c r="N135" i="6"/>
  <c r="M135" i="6"/>
  <c r="L135" i="6"/>
  <c r="K135" i="6"/>
  <c r="J135" i="6"/>
  <c r="R135" i="6" s="1"/>
  <c r="I135" i="6"/>
  <c r="O134" i="6"/>
  <c r="N134" i="6"/>
  <c r="M134" i="6"/>
  <c r="L134" i="6"/>
  <c r="K134" i="6"/>
  <c r="J134" i="6"/>
  <c r="R134" i="6" s="1"/>
  <c r="I134" i="6"/>
  <c r="O133" i="6"/>
  <c r="N133" i="6"/>
  <c r="M133" i="6"/>
  <c r="L133" i="6"/>
  <c r="K133" i="6"/>
  <c r="J133" i="6"/>
  <c r="R133" i="6" s="1"/>
  <c r="I133" i="6"/>
  <c r="O132" i="6"/>
  <c r="N132" i="6"/>
  <c r="M132" i="6"/>
  <c r="L132" i="6"/>
  <c r="K132" i="6"/>
  <c r="J132" i="6"/>
  <c r="R132" i="6" s="1"/>
  <c r="I132" i="6"/>
  <c r="O131" i="6"/>
  <c r="N131" i="6"/>
  <c r="M131" i="6"/>
  <c r="L131" i="6"/>
  <c r="K131" i="6"/>
  <c r="J131" i="6"/>
  <c r="R131" i="6" s="1"/>
  <c r="I131" i="6"/>
  <c r="O130" i="6"/>
  <c r="N130" i="6"/>
  <c r="M130" i="6"/>
  <c r="L130" i="6"/>
  <c r="K130" i="6"/>
  <c r="J130" i="6"/>
  <c r="R130" i="6" s="1"/>
  <c r="I130" i="6"/>
  <c r="O129" i="6"/>
  <c r="N129" i="6"/>
  <c r="M129" i="6"/>
  <c r="L129" i="6"/>
  <c r="K129" i="6"/>
  <c r="J129" i="6"/>
  <c r="R129" i="6" s="1"/>
  <c r="I129" i="6"/>
  <c r="O128" i="6"/>
  <c r="N128" i="6"/>
  <c r="M128" i="6"/>
  <c r="L128" i="6"/>
  <c r="K128" i="6"/>
  <c r="J128" i="6"/>
  <c r="R128" i="6" s="1"/>
  <c r="I128" i="6"/>
  <c r="O127" i="6"/>
  <c r="N127" i="6"/>
  <c r="M127" i="6"/>
  <c r="L127" i="6"/>
  <c r="K127" i="6"/>
  <c r="J127" i="6"/>
  <c r="R127" i="6" s="1"/>
  <c r="I127" i="6"/>
  <c r="O126" i="6"/>
  <c r="N126" i="6"/>
  <c r="M126" i="6"/>
  <c r="L126" i="6"/>
  <c r="K126" i="6"/>
  <c r="J126" i="6"/>
  <c r="R126" i="6" s="1"/>
  <c r="I126" i="6"/>
  <c r="O125" i="6"/>
  <c r="N125" i="6"/>
  <c r="M125" i="6"/>
  <c r="L125" i="6"/>
  <c r="K125" i="6"/>
  <c r="J125" i="6"/>
  <c r="R125" i="6" s="1"/>
  <c r="I125" i="6"/>
  <c r="O124" i="6"/>
  <c r="N124" i="6"/>
  <c r="M124" i="6"/>
  <c r="L124" i="6"/>
  <c r="K124" i="6"/>
  <c r="J124" i="6"/>
  <c r="R124" i="6" s="1"/>
  <c r="I124" i="6"/>
  <c r="O123" i="6"/>
  <c r="N123" i="6"/>
  <c r="M123" i="6"/>
  <c r="L123" i="6"/>
  <c r="K123" i="6"/>
  <c r="J123" i="6"/>
  <c r="R123" i="6" s="1"/>
  <c r="I123" i="6"/>
  <c r="O122" i="6"/>
  <c r="N122" i="6"/>
  <c r="M122" i="6"/>
  <c r="L122" i="6"/>
  <c r="K122" i="6"/>
  <c r="J122" i="6"/>
  <c r="R122" i="6" s="1"/>
  <c r="I122" i="6"/>
  <c r="O121" i="6"/>
  <c r="N121" i="6"/>
  <c r="M121" i="6"/>
  <c r="L121" i="6"/>
  <c r="K121" i="6"/>
  <c r="J121" i="6"/>
  <c r="R121" i="6" s="1"/>
  <c r="I121" i="6"/>
  <c r="O120" i="6"/>
  <c r="N120" i="6"/>
  <c r="M120" i="6"/>
  <c r="L120" i="6"/>
  <c r="K120" i="6"/>
  <c r="J120" i="6"/>
  <c r="R120" i="6" s="1"/>
  <c r="I120" i="6"/>
  <c r="O119" i="6"/>
  <c r="N119" i="6"/>
  <c r="M119" i="6"/>
  <c r="L119" i="6"/>
  <c r="K119" i="6"/>
  <c r="J119" i="6"/>
  <c r="R119" i="6" s="1"/>
  <c r="I119" i="6"/>
  <c r="O118" i="6"/>
  <c r="N118" i="6"/>
  <c r="M118" i="6"/>
  <c r="L118" i="6"/>
  <c r="K118" i="6"/>
  <c r="J118" i="6"/>
  <c r="R118" i="6" s="1"/>
  <c r="I118" i="6"/>
  <c r="O117" i="6"/>
  <c r="N117" i="6"/>
  <c r="M117" i="6"/>
  <c r="L117" i="6"/>
  <c r="K117" i="6"/>
  <c r="J117" i="6"/>
  <c r="R117" i="6" s="1"/>
  <c r="I117" i="6"/>
  <c r="O116" i="6"/>
  <c r="N116" i="6"/>
  <c r="M116" i="6"/>
  <c r="L116" i="6"/>
  <c r="K116" i="6"/>
  <c r="J116" i="6"/>
  <c r="R116" i="6" s="1"/>
  <c r="I116" i="6"/>
  <c r="O115" i="6"/>
  <c r="N115" i="6"/>
  <c r="M115" i="6"/>
  <c r="L115" i="6"/>
  <c r="K115" i="6"/>
  <c r="J115" i="6"/>
  <c r="R115" i="6" s="1"/>
  <c r="I115" i="6"/>
  <c r="O114" i="6"/>
  <c r="N114" i="6"/>
  <c r="M114" i="6"/>
  <c r="L114" i="6"/>
  <c r="K114" i="6"/>
  <c r="J114" i="6"/>
  <c r="R114" i="6" s="1"/>
  <c r="I114" i="6"/>
  <c r="O113" i="6"/>
  <c r="N113" i="6"/>
  <c r="M113" i="6"/>
  <c r="L113" i="6"/>
  <c r="K113" i="6"/>
  <c r="J113" i="6"/>
  <c r="R113" i="6" s="1"/>
  <c r="I113" i="6"/>
  <c r="O112" i="6"/>
  <c r="N112" i="6"/>
  <c r="M112" i="6"/>
  <c r="L112" i="6"/>
  <c r="K112" i="6"/>
  <c r="J112" i="6"/>
  <c r="R112" i="6" s="1"/>
  <c r="I112" i="6"/>
  <c r="O111" i="6"/>
  <c r="N111" i="6"/>
  <c r="M111" i="6"/>
  <c r="L111" i="6"/>
  <c r="K111" i="6"/>
  <c r="J111" i="6"/>
  <c r="R111" i="6" s="1"/>
  <c r="I111" i="6"/>
  <c r="O110" i="6"/>
  <c r="N110" i="6"/>
  <c r="M110" i="6"/>
  <c r="L110" i="6"/>
  <c r="K110" i="6"/>
  <c r="J110" i="6"/>
  <c r="R110" i="6" s="1"/>
  <c r="I110" i="6"/>
  <c r="O109" i="6"/>
  <c r="N109" i="6"/>
  <c r="M109" i="6"/>
  <c r="L109" i="6"/>
  <c r="K109" i="6"/>
  <c r="J109" i="6"/>
  <c r="R109" i="6" s="1"/>
  <c r="I109" i="6"/>
  <c r="O108" i="6"/>
  <c r="N108" i="6"/>
  <c r="M108" i="6"/>
  <c r="L108" i="6"/>
  <c r="K108" i="6"/>
  <c r="J108" i="6"/>
  <c r="R108" i="6" s="1"/>
  <c r="I108" i="6"/>
  <c r="O107" i="6"/>
  <c r="N107" i="6"/>
  <c r="M107" i="6"/>
  <c r="L107" i="6"/>
  <c r="K107" i="6"/>
  <c r="J107" i="6"/>
  <c r="R107" i="6" s="1"/>
  <c r="I107" i="6"/>
  <c r="O106" i="6"/>
  <c r="N106" i="6"/>
  <c r="M106" i="6"/>
  <c r="L106" i="6"/>
  <c r="K106" i="6"/>
  <c r="J106" i="6"/>
  <c r="R106" i="6" s="1"/>
  <c r="I106" i="6"/>
  <c r="O105" i="6"/>
  <c r="N105" i="6"/>
  <c r="M105" i="6"/>
  <c r="L105" i="6"/>
  <c r="K105" i="6"/>
  <c r="J105" i="6"/>
  <c r="R105" i="6" s="1"/>
  <c r="I105" i="6"/>
  <c r="O104" i="6"/>
  <c r="N104" i="6"/>
  <c r="M104" i="6"/>
  <c r="L104" i="6"/>
  <c r="K104" i="6"/>
  <c r="J104" i="6"/>
  <c r="R104" i="6" s="1"/>
  <c r="I104" i="6"/>
  <c r="O103" i="6"/>
  <c r="N103" i="6"/>
  <c r="M103" i="6"/>
  <c r="L103" i="6"/>
  <c r="K103" i="6"/>
  <c r="J103" i="6"/>
  <c r="R103" i="6" s="1"/>
  <c r="I103" i="6"/>
  <c r="O102" i="6"/>
  <c r="N102" i="6"/>
  <c r="M102" i="6"/>
  <c r="L102" i="6"/>
  <c r="K102" i="6"/>
  <c r="J102" i="6"/>
  <c r="R102" i="6" s="1"/>
  <c r="I102" i="6"/>
  <c r="O101" i="6"/>
  <c r="N101" i="6"/>
  <c r="M101" i="6"/>
  <c r="L101" i="6"/>
  <c r="K101" i="6"/>
  <c r="J101" i="6"/>
  <c r="R101" i="6" s="1"/>
  <c r="I101" i="6"/>
  <c r="O100" i="6"/>
  <c r="N100" i="6"/>
  <c r="M100" i="6"/>
  <c r="L100" i="6"/>
  <c r="K100" i="6"/>
  <c r="J100" i="6"/>
  <c r="R100" i="6" s="1"/>
  <c r="I100" i="6"/>
  <c r="O99" i="6"/>
  <c r="N99" i="6"/>
  <c r="M99" i="6"/>
  <c r="L99" i="6"/>
  <c r="K99" i="6"/>
  <c r="J99" i="6"/>
  <c r="R99" i="6" s="1"/>
  <c r="I99" i="6"/>
  <c r="O98" i="6"/>
  <c r="N98" i="6"/>
  <c r="M98" i="6"/>
  <c r="L98" i="6"/>
  <c r="K98" i="6"/>
  <c r="J98" i="6"/>
  <c r="R98" i="6" s="1"/>
  <c r="I98" i="6"/>
  <c r="O97" i="6"/>
  <c r="N97" i="6"/>
  <c r="M97" i="6"/>
  <c r="L97" i="6"/>
  <c r="K97" i="6"/>
  <c r="J97" i="6"/>
  <c r="R97" i="6" s="1"/>
  <c r="I97" i="6"/>
  <c r="O96" i="6"/>
  <c r="N96" i="6"/>
  <c r="M96" i="6"/>
  <c r="L96" i="6"/>
  <c r="K96" i="6"/>
  <c r="J96" i="6"/>
  <c r="R96" i="6" s="1"/>
  <c r="I96" i="6"/>
  <c r="O95" i="6"/>
  <c r="N95" i="6"/>
  <c r="M95" i="6"/>
  <c r="L95" i="6"/>
  <c r="K95" i="6"/>
  <c r="J95" i="6"/>
  <c r="R95" i="6" s="1"/>
  <c r="I95" i="6"/>
  <c r="O94" i="6"/>
  <c r="N94" i="6"/>
  <c r="M94" i="6"/>
  <c r="L94" i="6"/>
  <c r="K94" i="6"/>
  <c r="J94" i="6"/>
  <c r="R94" i="6" s="1"/>
  <c r="I94" i="6"/>
  <c r="O93" i="6"/>
  <c r="N93" i="6"/>
  <c r="M93" i="6"/>
  <c r="L93" i="6"/>
  <c r="K93" i="6"/>
  <c r="J93" i="6"/>
  <c r="R93" i="6" s="1"/>
  <c r="I93" i="6"/>
  <c r="O92" i="6"/>
  <c r="N92" i="6"/>
  <c r="M92" i="6"/>
  <c r="L92" i="6"/>
  <c r="K92" i="6"/>
  <c r="J92" i="6"/>
  <c r="R92" i="6" s="1"/>
  <c r="I92" i="6"/>
  <c r="R91" i="6"/>
  <c r="P91" i="6"/>
  <c r="O91" i="6"/>
  <c r="N91" i="6"/>
  <c r="M91" i="6"/>
  <c r="L91" i="6"/>
  <c r="K91" i="6"/>
  <c r="J91" i="6"/>
  <c r="I91" i="6"/>
  <c r="R90" i="6"/>
  <c r="P90" i="6"/>
  <c r="O90" i="6"/>
  <c r="N90" i="6"/>
  <c r="M90" i="6"/>
  <c r="L90" i="6"/>
  <c r="K90" i="6"/>
  <c r="J90" i="6"/>
  <c r="I90" i="6"/>
  <c r="P89" i="6"/>
  <c r="O89" i="6"/>
  <c r="N89" i="6"/>
  <c r="M89" i="6"/>
  <c r="L89" i="6"/>
  <c r="K89" i="6"/>
  <c r="J89" i="6"/>
  <c r="R89" i="6" s="1"/>
  <c r="I89" i="6"/>
  <c r="P88" i="6"/>
  <c r="O88" i="6"/>
  <c r="N88" i="6"/>
  <c r="M88" i="6"/>
  <c r="L88" i="6"/>
  <c r="K88" i="6"/>
  <c r="J88" i="6"/>
  <c r="R88" i="6" s="1"/>
  <c r="I88" i="6"/>
  <c r="R87" i="6"/>
  <c r="P87" i="6"/>
  <c r="O87" i="6"/>
  <c r="N87" i="6"/>
  <c r="M87" i="6"/>
  <c r="L87" i="6"/>
  <c r="K87" i="6"/>
  <c r="J87" i="6"/>
  <c r="I87" i="6"/>
  <c r="R86" i="6"/>
  <c r="P86" i="6"/>
  <c r="O86" i="6"/>
  <c r="N86" i="6"/>
  <c r="M86" i="6"/>
  <c r="L86" i="6"/>
  <c r="K86" i="6"/>
  <c r="J86" i="6"/>
  <c r="I86" i="6"/>
  <c r="R85" i="6"/>
  <c r="P85" i="6"/>
  <c r="O85" i="6"/>
  <c r="N85" i="6"/>
  <c r="M85" i="6"/>
  <c r="L85" i="6"/>
  <c r="K85" i="6"/>
  <c r="J85" i="6"/>
  <c r="I85" i="6"/>
  <c r="P84" i="6"/>
  <c r="O84" i="6"/>
  <c r="N84" i="6"/>
  <c r="M84" i="6"/>
  <c r="L84" i="6"/>
  <c r="K84" i="6"/>
  <c r="J84" i="6"/>
  <c r="R84" i="6" s="1"/>
  <c r="I84" i="6"/>
  <c r="R83" i="6"/>
  <c r="P83" i="6"/>
  <c r="O83" i="6"/>
  <c r="N83" i="6"/>
  <c r="M83" i="6"/>
  <c r="L83" i="6"/>
  <c r="K83" i="6"/>
  <c r="J83" i="6"/>
  <c r="I83" i="6"/>
  <c r="R82" i="6"/>
  <c r="P82" i="6"/>
  <c r="O82" i="6"/>
  <c r="N82" i="6"/>
  <c r="M82" i="6"/>
  <c r="L82" i="6"/>
  <c r="K82" i="6"/>
  <c r="J82" i="6"/>
  <c r="I82" i="6"/>
  <c r="R81" i="6"/>
  <c r="P81" i="6"/>
  <c r="O81" i="6"/>
  <c r="N81" i="6"/>
  <c r="M81" i="6"/>
  <c r="L81" i="6"/>
  <c r="K81" i="6"/>
  <c r="J81" i="6"/>
  <c r="I81" i="6"/>
  <c r="P80" i="6"/>
  <c r="O80" i="6"/>
  <c r="N80" i="6"/>
  <c r="M80" i="6"/>
  <c r="L80" i="6"/>
  <c r="K80" i="6"/>
  <c r="J80" i="6"/>
  <c r="R80" i="6" s="1"/>
  <c r="I80" i="6"/>
  <c r="R79" i="6"/>
  <c r="P79" i="6"/>
  <c r="O79" i="6"/>
  <c r="N79" i="6"/>
  <c r="M79" i="6"/>
  <c r="L79" i="6"/>
  <c r="K79" i="6"/>
  <c r="J79" i="6"/>
  <c r="I79" i="6"/>
  <c r="R78" i="6"/>
  <c r="P78" i="6"/>
  <c r="O78" i="6"/>
  <c r="N78" i="6"/>
  <c r="M78" i="6"/>
  <c r="L78" i="6"/>
  <c r="K78" i="6"/>
  <c r="J78" i="6"/>
  <c r="I78" i="6"/>
  <c r="R77" i="6"/>
  <c r="P77" i="6"/>
  <c r="O77" i="6"/>
  <c r="N77" i="6"/>
  <c r="M77" i="6"/>
  <c r="L77" i="6"/>
  <c r="K77" i="6"/>
  <c r="J77" i="6"/>
  <c r="I77" i="6"/>
  <c r="P76" i="6"/>
  <c r="O76" i="6"/>
  <c r="N76" i="6"/>
  <c r="M76" i="6"/>
  <c r="L76" i="6"/>
  <c r="K76" i="6"/>
  <c r="J76" i="6"/>
  <c r="R76" i="6" s="1"/>
  <c r="I76" i="6"/>
  <c r="R75" i="6"/>
  <c r="P75" i="6"/>
  <c r="O75" i="6"/>
  <c r="N75" i="6"/>
  <c r="M75" i="6"/>
  <c r="L75" i="6"/>
  <c r="K75" i="6"/>
  <c r="J75" i="6"/>
  <c r="I75" i="6"/>
  <c r="R74" i="6"/>
  <c r="P74" i="6"/>
  <c r="O74" i="6"/>
  <c r="N74" i="6"/>
  <c r="M74" i="6"/>
  <c r="L74" i="6"/>
  <c r="K74" i="6"/>
  <c r="J74" i="6"/>
  <c r="I74" i="6"/>
  <c r="P73" i="6"/>
  <c r="O73" i="6"/>
  <c r="N73" i="6"/>
  <c r="M73" i="6"/>
  <c r="L73" i="6"/>
  <c r="K73" i="6"/>
  <c r="J73" i="6"/>
  <c r="R73" i="6" s="1"/>
  <c r="I73" i="6"/>
  <c r="P72" i="6"/>
  <c r="O72" i="6"/>
  <c r="N72" i="6"/>
  <c r="M72" i="6"/>
  <c r="L72" i="6"/>
  <c r="K72" i="6"/>
  <c r="J72" i="6"/>
  <c r="R72" i="6" s="1"/>
  <c r="I72" i="6"/>
  <c r="R71" i="6"/>
  <c r="P71" i="6"/>
  <c r="O71" i="6"/>
  <c r="N71" i="6"/>
  <c r="M71" i="6"/>
  <c r="L71" i="6"/>
  <c r="K71" i="6"/>
  <c r="J71" i="6"/>
  <c r="I71" i="6"/>
  <c r="R70" i="6"/>
  <c r="P70" i="6"/>
  <c r="O70" i="6"/>
  <c r="N70" i="6"/>
  <c r="M70" i="6"/>
  <c r="L70" i="6"/>
  <c r="K70" i="6"/>
  <c r="J70" i="6"/>
  <c r="I70" i="6"/>
  <c r="R69" i="6"/>
  <c r="P69" i="6"/>
  <c r="O69" i="6"/>
  <c r="N69" i="6"/>
  <c r="M69" i="6"/>
  <c r="L69" i="6"/>
  <c r="K69" i="6"/>
  <c r="J69" i="6"/>
  <c r="I69" i="6"/>
  <c r="P68" i="6"/>
  <c r="O68" i="6"/>
  <c r="N68" i="6"/>
  <c r="M68" i="6"/>
  <c r="L68" i="6"/>
  <c r="K68" i="6"/>
  <c r="J68" i="6"/>
  <c r="R68" i="6" s="1"/>
  <c r="I68" i="6"/>
  <c r="R67" i="6"/>
  <c r="P67" i="6"/>
  <c r="O67" i="6"/>
  <c r="N67" i="6"/>
  <c r="M67" i="6"/>
  <c r="L67" i="6"/>
  <c r="K67" i="6"/>
  <c r="J67" i="6"/>
  <c r="I67" i="6"/>
  <c r="R66" i="6"/>
  <c r="P66" i="6"/>
  <c r="O66" i="6"/>
  <c r="N66" i="6"/>
  <c r="M66" i="6"/>
  <c r="L66" i="6"/>
  <c r="K66" i="6"/>
  <c r="J66" i="6"/>
  <c r="I66" i="6"/>
  <c r="R65" i="6"/>
  <c r="P65" i="6"/>
  <c r="O65" i="6"/>
  <c r="N65" i="6"/>
  <c r="M65" i="6"/>
  <c r="L65" i="6"/>
  <c r="K65" i="6"/>
  <c r="J65" i="6"/>
  <c r="I65" i="6"/>
  <c r="P64" i="6"/>
  <c r="O64" i="6"/>
  <c r="N64" i="6"/>
  <c r="M64" i="6"/>
  <c r="L64" i="6"/>
  <c r="K64" i="6"/>
  <c r="J64" i="6"/>
  <c r="R64" i="6" s="1"/>
  <c r="I64" i="6"/>
  <c r="R63" i="6"/>
  <c r="P63" i="6"/>
  <c r="O63" i="6"/>
  <c r="N63" i="6"/>
  <c r="M63" i="6"/>
  <c r="L63" i="6"/>
  <c r="K63" i="6"/>
  <c r="J63" i="6"/>
  <c r="I63" i="6"/>
  <c r="P62" i="6"/>
  <c r="O62" i="6"/>
  <c r="N62" i="6"/>
  <c r="M62" i="6"/>
  <c r="L62" i="6"/>
  <c r="K62" i="6"/>
  <c r="J62" i="6"/>
  <c r="R62" i="6" s="1"/>
  <c r="I62" i="6"/>
  <c r="R61" i="6"/>
  <c r="P61" i="6"/>
  <c r="O61" i="6"/>
  <c r="N61" i="6"/>
  <c r="M61" i="6"/>
  <c r="L61" i="6"/>
  <c r="K61" i="6"/>
  <c r="J61" i="6"/>
  <c r="I61" i="6"/>
  <c r="P60" i="6"/>
  <c r="O60" i="6"/>
  <c r="N60" i="6"/>
  <c r="M60" i="6"/>
  <c r="L60" i="6"/>
  <c r="K60" i="6"/>
  <c r="J60" i="6"/>
  <c r="R60" i="6" s="1"/>
  <c r="I60" i="6"/>
  <c r="R59" i="6"/>
  <c r="P59" i="6"/>
  <c r="O59" i="6"/>
  <c r="N59" i="6"/>
  <c r="M59" i="6"/>
  <c r="L59" i="6"/>
  <c r="K59" i="6"/>
  <c r="J59" i="6"/>
  <c r="I59" i="6"/>
  <c r="R58" i="6"/>
  <c r="P58" i="6"/>
  <c r="O58" i="6"/>
  <c r="N58" i="6"/>
  <c r="M58" i="6"/>
  <c r="L58" i="6"/>
  <c r="K58" i="6"/>
  <c r="J58" i="6"/>
  <c r="I58" i="6"/>
  <c r="P57" i="6"/>
  <c r="O57" i="6"/>
  <c r="N57" i="6"/>
  <c r="M57" i="6"/>
  <c r="L57" i="6"/>
  <c r="K57" i="6"/>
  <c r="J57" i="6"/>
  <c r="R57" i="6" s="1"/>
  <c r="I57" i="6"/>
  <c r="P56" i="6"/>
  <c r="O56" i="6"/>
  <c r="N56" i="6"/>
  <c r="M56" i="6"/>
  <c r="L56" i="6"/>
  <c r="K56" i="6"/>
  <c r="J56" i="6"/>
  <c r="R56" i="6" s="1"/>
  <c r="I56" i="6"/>
  <c r="R55" i="6"/>
  <c r="P55" i="6"/>
  <c r="O55" i="6"/>
  <c r="N55" i="6"/>
  <c r="M55" i="6"/>
  <c r="L55" i="6"/>
  <c r="K55" i="6"/>
  <c r="J55" i="6"/>
  <c r="I55" i="6"/>
  <c r="R54" i="6"/>
  <c r="P54" i="6"/>
  <c r="O54" i="6"/>
  <c r="N54" i="6"/>
  <c r="M54" i="6"/>
  <c r="L54" i="6"/>
  <c r="K54" i="6"/>
  <c r="J54" i="6"/>
  <c r="I54" i="6"/>
  <c r="R53" i="6"/>
  <c r="P53" i="6"/>
  <c r="O53" i="6"/>
  <c r="N53" i="6"/>
  <c r="M53" i="6"/>
  <c r="L53" i="6"/>
  <c r="K53" i="6"/>
  <c r="J53" i="6"/>
  <c r="I53" i="6"/>
  <c r="P52" i="6"/>
  <c r="O52" i="6"/>
  <c r="N52" i="6"/>
  <c r="M52" i="6"/>
  <c r="L52" i="6"/>
  <c r="K52" i="6"/>
  <c r="J52" i="6"/>
  <c r="R52" i="6" s="1"/>
  <c r="I52" i="6"/>
  <c r="R51" i="6"/>
  <c r="P51" i="6"/>
  <c r="O51" i="6"/>
  <c r="N51" i="6"/>
  <c r="M51" i="6"/>
  <c r="L51" i="6"/>
  <c r="K51" i="6"/>
  <c r="J51" i="6"/>
  <c r="I51" i="6"/>
  <c r="R50" i="6"/>
  <c r="P50" i="6"/>
  <c r="O50" i="6"/>
  <c r="N50" i="6"/>
  <c r="M50" i="6"/>
  <c r="L50" i="6"/>
  <c r="K50" i="6"/>
  <c r="J50" i="6"/>
  <c r="I50" i="6"/>
  <c r="R49" i="6"/>
  <c r="P49" i="6"/>
  <c r="O49" i="6"/>
  <c r="N49" i="6"/>
  <c r="M49" i="6"/>
  <c r="L49" i="6"/>
  <c r="K49" i="6"/>
  <c r="J49" i="6"/>
  <c r="I49" i="6"/>
  <c r="P48" i="6"/>
  <c r="O48" i="6"/>
  <c r="N48" i="6"/>
  <c r="M48" i="6"/>
  <c r="L48" i="6"/>
  <c r="K48" i="6"/>
  <c r="J48" i="6"/>
  <c r="R48" i="6" s="1"/>
  <c r="I48" i="6"/>
  <c r="R47" i="6"/>
  <c r="P47" i="6"/>
  <c r="O47" i="6"/>
  <c r="N47" i="6"/>
  <c r="M47" i="6"/>
  <c r="L47" i="6"/>
  <c r="K47" i="6"/>
  <c r="J47" i="6"/>
  <c r="I47" i="6"/>
  <c r="P46" i="6"/>
  <c r="O46" i="6"/>
  <c r="N46" i="6"/>
  <c r="M46" i="6"/>
  <c r="L46" i="6"/>
  <c r="K46" i="6"/>
  <c r="J46" i="6"/>
  <c r="R46" i="6" s="1"/>
  <c r="I46" i="6"/>
  <c r="R45" i="6"/>
  <c r="P45" i="6"/>
  <c r="O45" i="6"/>
  <c r="N45" i="6"/>
  <c r="M45" i="6"/>
  <c r="L45" i="6"/>
  <c r="K45" i="6"/>
  <c r="J45" i="6"/>
  <c r="I45" i="6"/>
  <c r="P44" i="6"/>
  <c r="O44" i="6"/>
  <c r="N44" i="6"/>
  <c r="M44" i="6"/>
  <c r="L44" i="6"/>
  <c r="K44" i="6"/>
  <c r="J44" i="6"/>
  <c r="R44" i="6" s="1"/>
  <c r="I44" i="6"/>
  <c r="R43" i="6"/>
  <c r="P43" i="6"/>
  <c r="O43" i="6"/>
  <c r="N43" i="6"/>
  <c r="M43" i="6"/>
  <c r="L43" i="6"/>
  <c r="K43" i="6"/>
  <c r="J43" i="6"/>
  <c r="I43" i="6"/>
  <c r="R42" i="6"/>
  <c r="P42" i="6"/>
  <c r="O42" i="6"/>
  <c r="N42" i="6"/>
  <c r="M42" i="6"/>
  <c r="L42" i="6"/>
  <c r="K42" i="6"/>
  <c r="J42" i="6"/>
  <c r="I42" i="6"/>
  <c r="P41" i="6"/>
  <c r="O41" i="6"/>
  <c r="N41" i="6"/>
  <c r="M41" i="6"/>
  <c r="L41" i="6"/>
  <c r="K41" i="6"/>
  <c r="J41" i="6"/>
  <c r="R41" i="6" s="1"/>
  <c r="I41" i="6"/>
  <c r="P40" i="6"/>
  <c r="O40" i="6"/>
  <c r="N40" i="6"/>
  <c r="M40" i="6"/>
  <c r="L40" i="6"/>
  <c r="K40" i="6"/>
  <c r="J40" i="6"/>
  <c r="R40" i="6" s="1"/>
  <c r="I40" i="6"/>
  <c r="R39" i="6"/>
  <c r="P39" i="6"/>
  <c r="O39" i="6"/>
  <c r="N39" i="6"/>
  <c r="M39" i="6"/>
  <c r="L39" i="6"/>
  <c r="K39" i="6"/>
  <c r="J39" i="6"/>
  <c r="I39" i="6"/>
  <c r="R38" i="6"/>
  <c r="P38" i="6"/>
  <c r="O38" i="6"/>
  <c r="N38" i="6"/>
  <c r="M38" i="6"/>
  <c r="L38" i="6"/>
  <c r="K38" i="6"/>
  <c r="J38" i="6"/>
  <c r="I38" i="6"/>
  <c r="R37" i="6"/>
  <c r="P37" i="6"/>
  <c r="O37" i="6"/>
  <c r="N37" i="6"/>
  <c r="M37" i="6"/>
  <c r="L37" i="6"/>
  <c r="K37" i="6"/>
  <c r="J37" i="6"/>
  <c r="I37" i="6"/>
  <c r="P36" i="6"/>
  <c r="O36" i="6"/>
  <c r="N36" i="6"/>
  <c r="M36" i="6"/>
  <c r="L36" i="6"/>
  <c r="K36" i="6"/>
  <c r="J36" i="6"/>
  <c r="R36" i="6" s="1"/>
  <c r="I36" i="6"/>
  <c r="R35" i="6"/>
  <c r="P35" i="6"/>
  <c r="O35" i="6"/>
  <c r="N35" i="6"/>
  <c r="M35" i="6"/>
  <c r="L35" i="6"/>
  <c r="K35" i="6"/>
  <c r="J35" i="6"/>
  <c r="I35" i="6"/>
  <c r="R34" i="6"/>
  <c r="P34" i="6"/>
  <c r="O34" i="6"/>
  <c r="N34" i="6"/>
  <c r="M34" i="6"/>
  <c r="L34" i="6"/>
  <c r="K34" i="6"/>
  <c r="J34" i="6"/>
  <c r="I34" i="6"/>
  <c r="R33" i="6"/>
  <c r="P33" i="6"/>
  <c r="O33" i="6"/>
  <c r="N33" i="6"/>
  <c r="M33" i="6"/>
  <c r="L33" i="6"/>
  <c r="K33" i="6"/>
  <c r="J33" i="6"/>
  <c r="I33" i="6"/>
  <c r="P32" i="6"/>
  <c r="O32" i="6"/>
  <c r="N32" i="6"/>
  <c r="M32" i="6"/>
  <c r="L32" i="6"/>
  <c r="K32" i="6"/>
  <c r="J32" i="6"/>
  <c r="R32" i="6" s="1"/>
  <c r="I32" i="6"/>
  <c r="R31" i="6"/>
  <c r="P31" i="6"/>
  <c r="O31" i="6"/>
  <c r="N31" i="6"/>
  <c r="M31" i="6"/>
  <c r="L31" i="6"/>
  <c r="K31" i="6"/>
  <c r="J31" i="6"/>
  <c r="I31" i="6"/>
  <c r="P30" i="6"/>
  <c r="O30" i="6"/>
  <c r="N30" i="6"/>
  <c r="M30" i="6"/>
  <c r="L30" i="6"/>
  <c r="K30" i="6"/>
  <c r="J30" i="6"/>
  <c r="R30" i="6" s="1"/>
  <c r="I30" i="6"/>
  <c r="R29" i="6"/>
  <c r="P29" i="6"/>
  <c r="O29" i="6"/>
  <c r="N29" i="6"/>
  <c r="M29" i="6"/>
  <c r="L29" i="6"/>
  <c r="K29" i="6"/>
  <c r="J29" i="6"/>
  <c r="I29" i="6"/>
  <c r="P28" i="6"/>
  <c r="O28" i="6"/>
  <c r="N28" i="6"/>
  <c r="M28" i="6"/>
  <c r="L28" i="6"/>
  <c r="K28" i="6"/>
  <c r="J28" i="6"/>
  <c r="R28" i="6" s="1"/>
  <c r="I28" i="6"/>
  <c r="R27" i="6"/>
  <c r="P27" i="6"/>
  <c r="O27" i="6"/>
  <c r="N27" i="6"/>
  <c r="M27" i="6"/>
  <c r="L27" i="6"/>
  <c r="K27" i="6"/>
  <c r="J27" i="6"/>
  <c r="I27" i="6"/>
  <c r="P26" i="6"/>
  <c r="O26" i="6"/>
  <c r="N26" i="6"/>
  <c r="M26" i="6"/>
  <c r="L26" i="6"/>
  <c r="K26" i="6"/>
  <c r="J26" i="6"/>
  <c r="R26" i="6" s="1"/>
  <c r="I26" i="6"/>
  <c r="P25" i="6"/>
  <c r="O25" i="6"/>
  <c r="N25" i="6"/>
  <c r="M25" i="6"/>
  <c r="L25" i="6"/>
  <c r="K25" i="6"/>
  <c r="J25" i="6"/>
  <c r="R25" i="6" s="1"/>
  <c r="I25" i="6"/>
  <c r="P24" i="6"/>
  <c r="O24" i="6"/>
  <c r="N24" i="6"/>
  <c r="M24" i="6"/>
  <c r="L24" i="6"/>
  <c r="K24" i="6"/>
  <c r="J24" i="6"/>
  <c r="R24" i="6" s="1"/>
  <c r="I24" i="6"/>
  <c r="R23" i="6"/>
  <c r="P23" i="6"/>
  <c r="O23" i="6"/>
  <c r="N23" i="6"/>
  <c r="M23" i="6"/>
  <c r="L23" i="6"/>
  <c r="K23" i="6"/>
  <c r="J23" i="6"/>
  <c r="I23" i="6"/>
  <c r="R22" i="6"/>
  <c r="P22" i="6"/>
  <c r="O22" i="6"/>
  <c r="N22" i="6"/>
  <c r="M22" i="6"/>
  <c r="L22" i="6"/>
  <c r="K22" i="6"/>
  <c r="J22" i="6"/>
  <c r="I22" i="6"/>
  <c r="P21" i="6"/>
  <c r="O21" i="6"/>
  <c r="N21" i="6"/>
  <c r="M21" i="6"/>
  <c r="L21" i="6"/>
  <c r="K21" i="6"/>
  <c r="J21" i="6"/>
  <c r="R21" i="6" s="1"/>
  <c r="I21" i="6"/>
  <c r="P20" i="6"/>
  <c r="O20" i="6"/>
  <c r="N20" i="6"/>
  <c r="M20" i="6"/>
  <c r="L20" i="6"/>
  <c r="K20" i="6"/>
  <c r="J20" i="6"/>
  <c r="R20" i="6" s="1"/>
  <c r="I20" i="6"/>
  <c r="R19" i="6"/>
  <c r="P19" i="6"/>
  <c r="O19" i="6"/>
  <c r="N19" i="6"/>
  <c r="M19" i="6"/>
  <c r="L19" i="6"/>
  <c r="K19" i="6"/>
  <c r="J19" i="6"/>
  <c r="I19" i="6"/>
  <c r="R18" i="6"/>
  <c r="P18" i="6"/>
  <c r="O18" i="6"/>
  <c r="N18" i="6"/>
  <c r="M18" i="6"/>
  <c r="L18" i="6"/>
  <c r="K18" i="6"/>
  <c r="J18" i="6"/>
  <c r="I18" i="6"/>
  <c r="R17" i="6"/>
  <c r="P17" i="6"/>
  <c r="O17" i="6"/>
  <c r="N17" i="6"/>
  <c r="M17" i="6"/>
  <c r="L17" i="6"/>
  <c r="K17" i="6"/>
  <c r="J17" i="6"/>
  <c r="I17" i="6"/>
  <c r="P16" i="6"/>
  <c r="O16" i="6"/>
  <c r="N16" i="6"/>
  <c r="M16" i="6"/>
  <c r="L16" i="6"/>
  <c r="K16" i="6"/>
  <c r="J16" i="6"/>
  <c r="R16" i="6" s="1"/>
  <c r="I16" i="6"/>
  <c r="R15" i="6"/>
  <c r="P15" i="6"/>
  <c r="O15" i="6"/>
  <c r="N15" i="6"/>
  <c r="M15" i="6"/>
  <c r="L15" i="6"/>
  <c r="K15" i="6"/>
  <c r="J15" i="6"/>
  <c r="I15" i="6"/>
  <c r="P14" i="6"/>
  <c r="O14" i="6"/>
  <c r="N14" i="6"/>
  <c r="M14" i="6"/>
  <c r="L14" i="6"/>
  <c r="K14" i="6"/>
  <c r="J14" i="6"/>
  <c r="R14" i="6" s="1"/>
  <c r="I14" i="6"/>
  <c r="R13" i="6"/>
  <c r="P13" i="6"/>
  <c r="O13" i="6"/>
  <c r="N13" i="6"/>
  <c r="M13" i="6"/>
  <c r="L13" i="6"/>
  <c r="K13" i="6"/>
  <c r="J13" i="6"/>
  <c r="I13" i="6"/>
  <c r="P12" i="6"/>
  <c r="O12" i="6"/>
  <c r="N12" i="6"/>
  <c r="M12" i="6"/>
  <c r="L12" i="6"/>
  <c r="K12" i="6"/>
  <c r="J12" i="6"/>
  <c r="R12" i="6" s="1"/>
  <c r="I12" i="6"/>
  <c r="R11" i="6"/>
  <c r="P11" i="6"/>
  <c r="O11" i="6"/>
  <c r="N11" i="6"/>
  <c r="M11" i="6"/>
  <c r="L11" i="6"/>
  <c r="K11" i="6"/>
  <c r="J11" i="6"/>
  <c r="I11" i="6"/>
  <c r="R10" i="6"/>
  <c r="P10" i="6"/>
  <c r="O10" i="6"/>
  <c r="N10" i="6"/>
  <c r="M10" i="6"/>
  <c r="L10" i="6"/>
  <c r="K10" i="6"/>
  <c r="J10" i="6"/>
  <c r="I10" i="6"/>
  <c r="P9" i="6"/>
  <c r="O9" i="6"/>
  <c r="N9" i="6"/>
  <c r="M9" i="6"/>
  <c r="L9" i="6"/>
  <c r="K9" i="6"/>
  <c r="J9" i="6"/>
  <c r="R9" i="6" s="1"/>
  <c r="I9" i="6"/>
  <c r="P8" i="6"/>
  <c r="O8" i="6"/>
  <c r="N8" i="6"/>
  <c r="M8" i="6"/>
  <c r="L8" i="6"/>
  <c r="K8" i="6"/>
  <c r="J8" i="6"/>
  <c r="R8" i="6" s="1"/>
  <c r="I8" i="6"/>
  <c r="R7" i="6"/>
  <c r="P7" i="6"/>
  <c r="O7" i="6"/>
  <c r="N7" i="6"/>
  <c r="M7" i="6"/>
  <c r="L7" i="6"/>
  <c r="K7" i="6"/>
  <c r="J7" i="6"/>
  <c r="I7" i="6"/>
  <c r="P6" i="6"/>
  <c r="O6" i="6"/>
  <c r="N6" i="6"/>
  <c r="M6" i="6"/>
  <c r="L6" i="6"/>
  <c r="K6" i="6"/>
  <c r="J6" i="6"/>
  <c r="I6" i="6"/>
  <c r="R5" i="6"/>
  <c r="P5" i="6"/>
  <c r="O5" i="6"/>
  <c r="N5" i="6"/>
  <c r="M5" i="6"/>
  <c r="L5" i="6"/>
  <c r="K5" i="6"/>
  <c r="J5" i="6"/>
  <c r="I5" i="6"/>
  <c r="P4" i="6"/>
  <c r="O4" i="6"/>
  <c r="N4" i="6"/>
  <c r="M4" i="6"/>
  <c r="L4" i="6"/>
  <c r="K4" i="6"/>
  <c r="J4" i="6"/>
  <c r="R4" i="6" s="1"/>
  <c r="I4" i="6"/>
  <c r="R3" i="6"/>
  <c r="P3" i="6"/>
  <c r="O3" i="6"/>
  <c r="N3" i="6"/>
  <c r="M3" i="6"/>
  <c r="L3" i="6"/>
  <c r="K3" i="6"/>
  <c r="J3" i="6"/>
  <c r="I3" i="6"/>
  <c r="R2" i="6"/>
  <c r="P2" i="6"/>
  <c r="O2" i="6"/>
  <c r="N2" i="6"/>
  <c r="M2" i="6"/>
  <c r="L2" i="6"/>
  <c r="K2" i="6"/>
  <c r="J2" i="6"/>
  <c r="I2" i="6"/>
  <c r="I97" i="5"/>
  <c r="I96" i="5"/>
  <c r="I95" i="5"/>
  <c r="I94" i="5"/>
  <c r="I93" i="5"/>
  <c r="I92" i="5"/>
  <c r="I91" i="5"/>
  <c r="I90" i="5"/>
  <c r="I89" i="5"/>
  <c r="I88" i="5"/>
  <c r="I87" i="5"/>
  <c r="I86" i="5"/>
  <c r="I85" i="5"/>
  <c r="I84" i="5"/>
  <c r="I83" i="5"/>
  <c r="I82" i="5"/>
  <c r="I81" i="5"/>
  <c r="I80" i="5"/>
  <c r="I79" i="5"/>
  <c r="I78" i="5"/>
  <c r="I77" i="5"/>
  <c r="I76" i="5"/>
  <c r="I75" i="5"/>
  <c r="I74" i="5"/>
  <c r="I73" i="5"/>
  <c r="I72" i="5"/>
  <c r="I71" i="5"/>
  <c r="I70" i="5"/>
  <c r="I69" i="5"/>
  <c r="I68" i="5"/>
  <c r="I67" i="5"/>
  <c r="I66" i="5"/>
  <c r="I65" i="5"/>
  <c r="I64" i="5"/>
  <c r="I63" i="5"/>
  <c r="I62" i="5"/>
  <c r="I61" i="5"/>
  <c r="I60" i="5"/>
  <c r="I59" i="5"/>
  <c r="I58" i="5"/>
  <c r="I57" i="5"/>
  <c r="I56" i="5"/>
  <c r="I55" i="5"/>
  <c r="I54" i="5"/>
  <c r="I53" i="5"/>
  <c r="I52" i="5"/>
  <c r="I51" i="5"/>
  <c r="I50" i="5"/>
  <c r="I49" i="5"/>
  <c r="I48" i="5"/>
  <c r="I47" i="5"/>
  <c r="I46" i="5"/>
  <c r="I45" i="5"/>
  <c r="I44" i="5"/>
  <c r="I43" i="5"/>
  <c r="I42" i="5"/>
  <c r="I41" i="5"/>
  <c r="I40" i="5"/>
  <c r="I39" i="5"/>
  <c r="I38" i="5"/>
  <c r="I37" i="5"/>
  <c r="I36" i="5"/>
  <c r="I35" i="5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F13" i="5"/>
  <c r="I12" i="5"/>
  <c r="F12" i="5"/>
  <c r="I11" i="5"/>
  <c r="F11" i="5"/>
  <c r="I10" i="5"/>
  <c r="F10" i="5"/>
  <c r="I9" i="5"/>
  <c r="F9" i="5"/>
  <c r="I8" i="5"/>
  <c r="F8" i="5"/>
  <c r="I7" i="5"/>
  <c r="F7" i="5"/>
  <c r="I6" i="5"/>
  <c r="F6" i="5"/>
  <c r="I5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H17" i="5" s="1"/>
  <c r="H18" i="5" s="1"/>
  <c r="H19" i="5" s="1"/>
  <c r="H20" i="5" s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H32" i="5" s="1"/>
  <c r="H33" i="5" s="1"/>
  <c r="H34" i="5" s="1"/>
  <c r="H35" i="5" s="1"/>
  <c r="H36" i="5" s="1"/>
  <c r="H37" i="5" s="1"/>
  <c r="H38" i="5" s="1"/>
  <c r="H39" i="5" s="1"/>
  <c r="H40" i="5" s="1"/>
  <c r="H41" i="5" s="1"/>
  <c r="H42" i="5" s="1"/>
  <c r="H43" i="5" s="1"/>
  <c r="H44" i="5" s="1"/>
  <c r="H45" i="5" s="1"/>
  <c r="H46" i="5" s="1"/>
  <c r="H47" i="5" s="1"/>
  <c r="H48" i="5" s="1"/>
  <c r="H49" i="5" s="1"/>
  <c r="H50" i="5" s="1"/>
  <c r="H51" i="5" s="1"/>
  <c r="F5" i="5"/>
  <c r="I4" i="5"/>
  <c r="H4" i="5"/>
  <c r="F4" i="5"/>
  <c r="I3" i="5"/>
  <c r="F3" i="5"/>
  <c r="I2" i="5"/>
  <c r="B21" i="4"/>
  <c r="B20" i="4"/>
  <c r="C13" i="4"/>
  <c r="B15" i="4" s="1"/>
  <c r="C12" i="4"/>
  <c r="B11" i="4"/>
  <c r="B10" i="4"/>
  <c r="B6" i="4"/>
  <c r="B19" i="4" s="1"/>
  <c r="N4" i="4"/>
  <c r="F4" i="4"/>
  <c r="M3" i="4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M121" i="4" s="1"/>
  <c r="M122" i="4" s="1"/>
  <c r="M123" i="4" s="1"/>
  <c r="M124" i="4" s="1"/>
  <c r="M125" i="4" s="1"/>
  <c r="M126" i="4" s="1"/>
  <c r="M127" i="4" s="1"/>
  <c r="M128" i="4" s="1"/>
  <c r="M129" i="4" s="1"/>
  <c r="M130" i="4" s="1"/>
  <c r="M131" i="4" s="1"/>
  <c r="M132" i="4" s="1"/>
  <c r="M133" i="4" s="1"/>
  <c r="M134" i="4" s="1"/>
  <c r="M135" i="4" s="1"/>
  <c r="M136" i="4" s="1"/>
  <c r="M137" i="4" s="1"/>
  <c r="M138" i="4" s="1"/>
  <c r="M139" i="4" s="1"/>
  <c r="M140" i="4" s="1"/>
  <c r="M141" i="4" s="1"/>
  <c r="M142" i="4" s="1"/>
  <c r="M143" i="4" s="1"/>
  <c r="M144" i="4" s="1"/>
  <c r="M145" i="4" s="1"/>
  <c r="M146" i="4" s="1"/>
  <c r="M147" i="4" s="1"/>
  <c r="M148" i="4" s="1"/>
  <c r="M149" i="4" s="1"/>
  <c r="M150" i="4" s="1"/>
  <c r="M151" i="4" s="1"/>
  <c r="M152" i="4" s="1"/>
  <c r="M153" i="4" s="1"/>
  <c r="M154" i="4" s="1"/>
  <c r="M155" i="4" s="1"/>
  <c r="M156" i="4" s="1"/>
  <c r="M157" i="4" s="1"/>
  <c r="M158" i="4" s="1"/>
  <c r="M159" i="4" s="1"/>
  <c r="M160" i="4" s="1"/>
  <c r="M161" i="4" s="1"/>
  <c r="M162" i="4" s="1"/>
  <c r="M163" i="4" s="1"/>
  <c r="M164" i="4" s="1"/>
  <c r="M165" i="4" s="1"/>
  <c r="M166" i="4" s="1"/>
  <c r="M167" i="4" s="1"/>
  <c r="M168" i="4" s="1"/>
  <c r="M169" i="4" s="1"/>
  <c r="M170" i="4" s="1"/>
  <c r="M171" i="4" s="1"/>
  <c r="M172" i="4" s="1"/>
  <c r="M173" i="4" s="1"/>
  <c r="M174" i="4" s="1"/>
  <c r="M175" i="4" s="1"/>
  <c r="M176" i="4" s="1"/>
  <c r="M177" i="4" s="1"/>
  <c r="M178" i="4" s="1"/>
  <c r="M179" i="4" s="1"/>
  <c r="M180" i="4" s="1"/>
  <c r="M181" i="4" s="1"/>
  <c r="M182" i="4" s="1"/>
  <c r="M183" i="4" s="1"/>
  <c r="M184" i="4" s="1"/>
  <c r="M185" i="4" s="1"/>
  <c r="M186" i="4" s="1"/>
  <c r="M187" i="4" s="1"/>
  <c r="M188" i="4" s="1"/>
  <c r="M189" i="4" s="1"/>
  <c r="M190" i="4" s="1"/>
  <c r="M191" i="4" s="1"/>
  <c r="M192" i="4" s="1"/>
  <c r="M193" i="4" s="1"/>
  <c r="M194" i="4" s="1"/>
  <c r="M195" i="4" s="1"/>
  <c r="M196" i="4" s="1"/>
  <c r="M197" i="4" s="1"/>
  <c r="M198" i="4" s="1"/>
  <c r="M199" i="4" s="1"/>
  <c r="M200" i="4" s="1"/>
  <c r="M201" i="4" s="1"/>
  <c r="M202" i="4" s="1"/>
  <c r="M203" i="4" s="1"/>
  <c r="M204" i="4" s="1"/>
  <c r="M205" i="4" s="1"/>
  <c r="M206" i="4" s="1"/>
  <c r="M207" i="4" s="1"/>
  <c r="M208" i="4" s="1"/>
  <c r="M209" i="4" s="1"/>
  <c r="M210" i="4" s="1"/>
  <c r="M211" i="4" s="1"/>
  <c r="M212" i="4" s="1"/>
  <c r="M213" i="4" s="1"/>
  <c r="M214" i="4" s="1"/>
  <c r="M215" i="4" s="1"/>
  <c r="M216" i="4" s="1"/>
  <c r="M217" i="4" s="1"/>
  <c r="M218" i="4" s="1"/>
  <c r="M219" i="4" s="1"/>
  <c r="M220" i="4" s="1"/>
  <c r="M221" i="4" s="1"/>
  <c r="M222" i="4" s="1"/>
  <c r="M223" i="4" s="1"/>
  <c r="M224" i="4" s="1"/>
  <c r="M225" i="4" s="1"/>
  <c r="M226" i="4" s="1"/>
  <c r="M227" i="4" s="1"/>
  <c r="M228" i="4" s="1"/>
  <c r="M229" i="4" s="1"/>
  <c r="M230" i="4" s="1"/>
  <c r="M231" i="4" s="1"/>
  <c r="M232" i="4" s="1"/>
  <c r="M233" i="4" s="1"/>
  <c r="M234" i="4" s="1"/>
  <c r="M235" i="4" s="1"/>
  <c r="M236" i="4" s="1"/>
  <c r="M237" i="4" s="1"/>
  <c r="M238" i="4" s="1"/>
  <c r="M239" i="4" s="1"/>
  <c r="M240" i="4" s="1"/>
  <c r="M241" i="4" s="1"/>
  <c r="M242" i="4" s="1"/>
  <c r="M243" i="4" s="1"/>
  <c r="M244" i="4" s="1"/>
  <c r="M245" i="4" s="1"/>
  <c r="M246" i="4" s="1"/>
  <c r="M247" i="4" s="1"/>
  <c r="M248" i="4" s="1"/>
  <c r="M249" i="4" s="1"/>
  <c r="M250" i="4" s="1"/>
  <c r="M251" i="4" s="1"/>
  <c r="M252" i="4" s="1"/>
  <c r="M253" i="4" s="1"/>
  <c r="M254" i="4" s="1"/>
  <c r="M255" i="4" s="1"/>
  <c r="M256" i="4" s="1"/>
  <c r="M257" i="4" s="1"/>
  <c r="M258" i="4" s="1"/>
  <c r="M259" i="4" s="1"/>
  <c r="M260" i="4" s="1"/>
  <c r="M261" i="4" s="1"/>
  <c r="M262" i="4" s="1"/>
  <c r="M263" i="4" s="1"/>
  <c r="M264" i="4" s="1"/>
  <c r="M265" i="4" s="1"/>
  <c r="M266" i="4" s="1"/>
  <c r="M267" i="4" s="1"/>
  <c r="M268" i="4" s="1"/>
  <c r="M269" i="4" s="1"/>
  <c r="M270" i="4" s="1"/>
  <c r="M271" i="4" s="1"/>
  <c r="M272" i="4" s="1"/>
  <c r="M273" i="4" s="1"/>
  <c r="M274" i="4" s="1"/>
  <c r="M275" i="4" s="1"/>
  <c r="M276" i="4" s="1"/>
  <c r="M277" i="4" s="1"/>
  <c r="M278" i="4" s="1"/>
  <c r="M279" i="4" s="1"/>
  <c r="M280" i="4" s="1"/>
  <c r="M281" i="4" s="1"/>
  <c r="M282" i="4" s="1"/>
  <c r="M283" i="4" s="1"/>
  <c r="M284" i="4" s="1"/>
  <c r="M285" i="4" s="1"/>
  <c r="M286" i="4" s="1"/>
  <c r="M287" i="4" s="1"/>
  <c r="M288" i="4" s="1"/>
  <c r="M289" i="4" s="1"/>
  <c r="M290" i="4" s="1"/>
  <c r="M291" i="4" s="1"/>
  <c r="M292" i="4" s="1"/>
  <c r="M293" i="4" s="1"/>
  <c r="M294" i="4" s="1"/>
  <c r="M295" i="4" s="1"/>
  <c r="M296" i="4" s="1"/>
  <c r="M297" i="4" s="1"/>
  <c r="M298" i="4" s="1"/>
  <c r="M299" i="4" s="1"/>
  <c r="M300" i="4" s="1"/>
  <c r="M301" i="4" s="1"/>
  <c r="M302" i="4" s="1"/>
  <c r="M303" i="4" s="1"/>
  <c r="M304" i="4" s="1"/>
  <c r="M305" i="4" s="1"/>
  <c r="M306" i="4" s="1"/>
  <c r="M307" i="4" s="1"/>
  <c r="M308" i="4" s="1"/>
  <c r="M309" i="4" s="1"/>
  <c r="M310" i="4" s="1"/>
  <c r="M311" i="4" s="1"/>
  <c r="M312" i="4" s="1"/>
  <c r="M313" i="4" s="1"/>
  <c r="M314" i="4" s="1"/>
  <c r="M315" i="4" s="1"/>
  <c r="M316" i="4" s="1"/>
  <c r="M317" i="4" s="1"/>
  <c r="M318" i="4" s="1"/>
  <c r="M319" i="4" s="1"/>
  <c r="M320" i="4" s="1"/>
  <c r="M321" i="4" s="1"/>
  <c r="M322" i="4" s="1"/>
  <c r="M323" i="4" s="1"/>
  <c r="M324" i="4" s="1"/>
  <c r="M325" i="4" s="1"/>
  <c r="M326" i="4" s="1"/>
  <c r="M327" i="4" s="1"/>
  <c r="M328" i="4" s="1"/>
  <c r="M329" i="4" s="1"/>
  <c r="M330" i="4" s="1"/>
  <c r="M331" i="4" s="1"/>
  <c r="M332" i="4" s="1"/>
  <c r="M333" i="4" s="1"/>
  <c r="M334" i="4" s="1"/>
  <c r="M335" i="4" s="1"/>
  <c r="M336" i="4" s="1"/>
  <c r="M337" i="4" s="1"/>
  <c r="M338" i="4" s="1"/>
  <c r="M339" i="4" s="1"/>
  <c r="M340" i="4" s="1"/>
  <c r="M341" i="4" s="1"/>
  <c r="M342" i="4" s="1"/>
  <c r="M343" i="4" s="1"/>
  <c r="M344" i="4" s="1"/>
  <c r="M345" i="4" s="1"/>
  <c r="M346" i="4" s="1"/>
  <c r="M347" i="4" s="1"/>
  <c r="M348" i="4" s="1"/>
  <c r="M349" i="4" s="1"/>
  <c r="M350" i="4" s="1"/>
  <c r="M351" i="4" s="1"/>
  <c r="M352" i="4" s="1"/>
  <c r="M353" i="4" s="1"/>
  <c r="M354" i="4" s="1"/>
  <c r="M355" i="4" s="1"/>
  <c r="M356" i="4" s="1"/>
  <c r="M357" i="4" s="1"/>
  <c r="M358" i="4" s="1"/>
  <c r="M359" i="4" s="1"/>
  <c r="M360" i="4" s="1"/>
  <c r="M361" i="4" s="1"/>
  <c r="F3" i="4"/>
  <c r="O2" i="4"/>
  <c r="H2" i="4"/>
  <c r="B21" i="3"/>
  <c r="U3" i="3" s="1"/>
  <c r="AB3" i="3" s="1"/>
  <c r="B11" i="3"/>
  <c r="M4" i="3"/>
  <c r="H4" i="3"/>
  <c r="H5" i="3" s="1"/>
  <c r="G4" i="3"/>
  <c r="G5" i="3" s="1"/>
  <c r="G6" i="3" s="1"/>
  <c r="G7" i="3" s="1"/>
  <c r="G8" i="3" s="1"/>
  <c r="G9" i="3" s="1"/>
  <c r="G10" i="3" s="1"/>
  <c r="G11" i="3" s="1"/>
  <c r="G12" i="3" s="1"/>
  <c r="G13" i="3" s="1"/>
  <c r="G14" i="3" s="1"/>
  <c r="G15" i="3" s="1"/>
  <c r="G16" i="3" s="1"/>
  <c r="G17" i="3" s="1"/>
  <c r="G18" i="3" s="1"/>
  <c r="G19" i="3" s="1"/>
  <c r="G20" i="3" s="1"/>
  <c r="G21" i="3" s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F4" i="3"/>
  <c r="D4" i="3"/>
  <c r="X3" i="3" a="1"/>
  <c r="X3" i="3" s="1"/>
  <c r="W3" i="3"/>
  <c r="N3" i="3"/>
  <c r="M3" i="3"/>
  <c r="I3" i="3"/>
  <c r="Y3" i="3" s="1"/>
  <c r="E3" i="3" a="1"/>
  <c r="E3" i="3" s="1"/>
  <c r="G20" i="2"/>
  <c r="G19" i="2"/>
  <c r="G18" i="2"/>
  <c r="B10" i="2" s="1"/>
  <c r="C10" i="2" s="1"/>
  <c r="G14" i="2"/>
  <c r="G10" i="2"/>
  <c r="G9" i="2"/>
  <c r="B9" i="2"/>
  <c r="C9" i="2" s="1"/>
  <c r="G8" i="2"/>
  <c r="G7" i="2"/>
  <c r="G6" i="2"/>
  <c r="G5" i="2"/>
  <c r="B5" i="2"/>
  <c r="G4" i="2"/>
  <c r="B8" i="2" s="1"/>
  <c r="Y48" i="1" a="1"/>
  <c r="Y48" i="1"/>
  <c r="B35" i="1"/>
  <c r="T29" i="1"/>
  <c r="T28" i="1"/>
  <c r="K28" i="1"/>
  <c r="T27" i="1"/>
  <c r="U24" i="1" s="1"/>
  <c r="C11" i="1" s="1"/>
  <c r="T26" i="1"/>
  <c r="B24" i="1"/>
  <c r="B22" i="1"/>
  <c r="U15" i="1" a="1"/>
  <c r="U15" i="1"/>
  <c r="L15" i="1" a="1"/>
  <c r="L15" i="1" s="1"/>
  <c r="T11" i="1"/>
  <c r="K11" i="1"/>
  <c r="T10" i="1"/>
  <c r="K10" i="1"/>
  <c r="W9" i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T9" i="1"/>
  <c r="U8" i="1" s="1"/>
  <c r="K9" i="1"/>
  <c r="W8" i="1"/>
  <c r="L8" i="1"/>
  <c r="W7" i="1"/>
  <c r="U4" i="1"/>
  <c r="C10" i="1" s="1"/>
  <c r="C12" i="1" s="1"/>
  <c r="J4" i="1"/>
  <c r="L4" i="1" s="1"/>
  <c r="B10" i="1" s="1"/>
  <c r="B3" i="1"/>
  <c r="T41" i="1" l="1"/>
  <c r="T40" i="1"/>
  <c r="T43" i="1"/>
  <c r="T38" i="1"/>
  <c r="T44" i="1"/>
  <c r="T42" i="1"/>
  <c r="T39" i="1"/>
  <c r="B11" i="2"/>
  <c r="C11" i="2" s="1"/>
  <c r="C8" i="2"/>
  <c r="N4" i="3"/>
  <c r="F5" i="3"/>
  <c r="O3" i="3"/>
  <c r="W4" i="3"/>
  <c r="Q3" i="3"/>
  <c r="B25" i="1"/>
  <c r="B36" i="1"/>
  <c r="B41" i="1" s="1"/>
  <c r="X48" i="1" a="1"/>
  <c r="X48" i="1" s="1"/>
  <c r="T3" i="3"/>
  <c r="H6" i="3"/>
  <c r="U4" i="3"/>
  <c r="AB4" i="3" s="1"/>
  <c r="F5" i="4"/>
  <c r="K27" i="1"/>
  <c r="K26" i="1"/>
  <c r="L24" i="1" s="1"/>
  <c r="K29" i="1"/>
  <c r="K3" i="3"/>
  <c r="V3" i="3"/>
  <c r="Z3" i="3" s="1"/>
  <c r="E4" i="3" a="1"/>
  <c r="E4" i="3" s="1"/>
  <c r="T4" i="3" s="1"/>
  <c r="I4" i="3"/>
  <c r="D5" i="3"/>
  <c r="H52" i="5"/>
  <c r="H53" i="5" s="1"/>
  <c r="H54" i="5" s="1"/>
  <c r="H55" i="5" s="1"/>
  <c r="H56" i="5" s="1"/>
  <c r="H57" i="5" s="1"/>
  <c r="H58" i="5" s="1"/>
  <c r="H59" i="5" s="1"/>
  <c r="H60" i="5" s="1"/>
  <c r="H61" i="5" s="1"/>
  <c r="H62" i="5" s="1"/>
  <c r="H63" i="5" s="1"/>
  <c r="H64" i="5" s="1"/>
  <c r="H65" i="5" s="1"/>
  <c r="H66" i="5" s="1"/>
  <c r="H67" i="5" s="1"/>
  <c r="H68" i="5" s="1"/>
  <c r="H69" i="5" s="1"/>
  <c r="H70" i="5" s="1"/>
  <c r="H71" i="5" s="1"/>
  <c r="H72" i="5" s="1"/>
  <c r="H73" i="5" s="1"/>
  <c r="H74" i="5" s="1"/>
  <c r="H75" i="5" s="1"/>
  <c r="H76" i="5" s="1"/>
  <c r="H77" i="5" s="1"/>
  <c r="H78" i="5" s="1"/>
  <c r="H79" i="5" s="1"/>
  <c r="H80" i="5" s="1"/>
  <c r="H81" i="5" s="1"/>
  <c r="H82" i="5" s="1"/>
  <c r="H83" i="5" s="1"/>
  <c r="H84" i="5" s="1"/>
  <c r="H85" i="5" s="1"/>
  <c r="H86" i="5" s="1"/>
  <c r="H87" i="5" s="1"/>
  <c r="H88" i="5" s="1"/>
  <c r="H89" i="5" s="1"/>
  <c r="H90" i="5" s="1"/>
  <c r="H91" i="5" s="1"/>
  <c r="H92" i="5" s="1"/>
  <c r="H93" i="5" s="1"/>
  <c r="H94" i="5" s="1"/>
  <c r="H95" i="5" s="1"/>
  <c r="H96" i="5" s="1"/>
  <c r="H97" i="5" s="1"/>
  <c r="N361" i="4"/>
  <c r="N357" i="4"/>
  <c r="N353" i="4"/>
  <c r="N349" i="4"/>
  <c r="N345" i="4"/>
  <c r="N341" i="4"/>
  <c r="N337" i="4"/>
  <c r="N333" i="4"/>
  <c r="N329" i="4"/>
  <c r="N325" i="4"/>
  <c r="N321" i="4"/>
  <c r="N317" i="4"/>
  <c r="N313" i="4"/>
  <c r="N309" i="4"/>
  <c r="N360" i="4"/>
  <c r="N359" i="4"/>
  <c r="N358" i="4"/>
  <c r="N344" i="4"/>
  <c r="N343" i="4"/>
  <c r="N342" i="4"/>
  <c r="N328" i="4"/>
  <c r="N327" i="4"/>
  <c r="N326" i="4"/>
  <c r="N312" i="4"/>
  <c r="N311" i="4"/>
  <c r="N310" i="4"/>
  <c r="N308" i="4"/>
  <c r="N304" i="4"/>
  <c r="N300" i="4"/>
  <c r="N296" i="4"/>
  <c r="N292" i="4"/>
  <c r="N288" i="4"/>
  <c r="N284" i="4"/>
  <c r="N280" i="4"/>
  <c r="N276" i="4"/>
  <c r="N272" i="4"/>
  <c r="N268" i="4"/>
  <c r="N264" i="4"/>
  <c r="N260" i="4"/>
  <c r="N256" i="4"/>
  <c r="N252" i="4"/>
  <c r="N248" i="4"/>
  <c r="N244" i="4"/>
  <c r="N350" i="4"/>
  <c r="N347" i="4"/>
  <c r="N340" i="4"/>
  <c r="N330" i="4"/>
  <c r="N323" i="4"/>
  <c r="N320" i="4"/>
  <c r="N299" i="4"/>
  <c r="N298" i="4"/>
  <c r="N297" i="4"/>
  <c r="N283" i="4"/>
  <c r="N282" i="4"/>
  <c r="N281" i="4"/>
  <c r="N267" i="4"/>
  <c r="N266" i="4"/>
  <c r="N265" i="4"/>
  <c r="N251" i="4"/>
  <c r="N250" i="4"/>
  <c r="N249" i="4"/>
  <c r="N242" i="4"/>
  <c r="N238" i="4"/>
  <c r="N234" i="4"/>
  <c r="N230" i="4"/>
  <c r="N226" i="4"/>
  <c r="N222" i="4"/>
  <c r="N218" i="4"/>
  <c r="N214" i="4"/>
  <c r="N210" i="4"/>
  <c r="N206" i="4"/>
  <c r="N202" i="4"/>
  <c r="N198" i="4"/>
  <c r="N355" i="4"/>
  <c r="N351" i="4"/>
  <c r="N338" i="4"/>
  <c r="N336" i="4"/>
  <c r="N334" i="4"/>
  <c r="N332" i="4"/>
  <c r="N319" i="4"/>
  <c r="N315" i="4"/>
  <c r="N305" i="4"/>
  <c r="N302" i="4"/>
  <c r="N295" i="4"/>
  <c r="N285" i="4"/>
  <c r="N278" i="4"/>
  <c r="N275" i="4"/>
  <c r="N261" i="4"/>
  <c r="N258" i="4"/>
  <c r="N255" i="4"/>
  <c r="N233" i="4"/>
  <c r="N232" i="4"/>
  <c r="N231" i="4"/>
  <c r="N217" i="4"/>
  <c r="N216" i="4"/>
  <c r="N215" i="4"/>
  <c r="N201" i="4"/>
  <c r="N200" i="4"/>
  <c r="N199" i="4"/>
  <c r="N195" i="4"/>
  <c r="N191" i="4"/>
  <c r="N187" i="4"/>
  <c r="N183" i="4"/>
  <c r="N179" i="4"/>
  <c r="N175" i="4"/>
  <c r="N171" i="4"/>
  <c r="N167" i="4"/>
  <c r="N163" i="4"/>
  <c r="N159" i="4"/>
  <c r="N155" i="4"/>
  <c r="N151" i="4"/>
  <c r="N147" i="4"/>
  <c r="N143" i="4"/>
  <c r="N139" i="4"/>
  <c r="N135" i="4"/>
  <c r="N131" i="4"/>
  <c r="N127" i="4"/>
  <c r="N123" i="4"/>
  <c r="N119" i="4"/>
  <c r="N115" i="4"/>
  <c r="N111" i="4"/>
  <c r="N107" i="4"/>
  <c r="N103" i="4"/>
  <c r="N99" i="4"/>
  <c r="N95" i="4"/>
  <c r="N91" i="4"/>
  <c r="N87" i="4"/>
  <c r="N83" i="4"/>
  <c r="N79" i="4"/>
  <c r="N75" i="4"/>
  <c r="N71" i="4"/>
  <c r="N67" i="4"/>
  <c r="N63" i="4"/>
  <c r="N59" i="4"/>
  <c r="N55" i="4"/>
  <c r="N51" i="4"/>
  <c r="N47" i="4"/>
  <c r="N43" i="4"/>
  <c r="N39" i="4"/>
  <c r="N35" i="4"/>
  <c r="N31" i="4"/>
  <c r="N30" i="4"/>
  <c r="N29" i="4"/>
  <c r="N352" i="4"/>
  <c r="N324" i="4"/>
  <c r="N322" i="4"/>
  <c r="N314" i="4"/>
  <c r="N307" i="4"/>
  <c r="N303" i="4"/>
  <c r="N294" i="4"/>
  <c r="N290" i="4"/>
  <c r="N286" i="4"/>
  <c r="N277" i="4"/>
  <c r="N273" i="4"/>
  <c r="N271" i="4"/>
  <c r="N269" i="4"/>
  <c r="N254" i="4"/>
  <c r="N243" i="4"/>
  <c r="N240" i="4"/>
  <c r="N237" i="4"/>
  <c r="N223" i="4"/>
  <c r="N220" i="4"/>
  <c r="N213" i="4"/>
  <c r="N203" i="4"/>
  <c r="N196" i="4"/>
  <c r="N182" i="4"/>
  <c r="N181" i="4"/>
  <c r="N180" i="4"/>
  <c r="N166" i="4"/>
  <c r="N165" i="4"/>
  <c r="N164" i="4"/>
  <c r="N150" i="4"/>
  <c r="N149" i="4"/>
  <c r="N148" i="4"/>
  <c r="N134" i="4"/>
  <c r="N133" i="4"/>
  <c r="N132" i="4"/>
  <c r="N118" i="4"/>
  <c r="N117" i="4"/>
  <c r="N116" i="4"/>
  <c r="N102" i="4"/>
  <c r="N101" i="4"/>
  <c r="N100" i="4"/>
  <c r="N86" i="4"/>
  <c r="N85" i="4"/>
  <c r="N84" i="4"/>
  <c r="N70" i="4"/>
  <c r="N69" i="4"/>
  <c r="N68" i="4"/>
  <c r="N54" i="4"/>
  <c r="N53" i="4"/>
  <c r="N52" i="4"/>
  <c r="N354" i="4"/>
  <c r="N339" i="4"/>
  <c r="N331" i="4"/>
  <c r="N316" i="4"/>
  <c r="N301" i="4"/>
  <c r="N263" i="4"/>
  <c r="N259" i="4"/>
  <c r="N246" i="4"/>
  <c r="N241" i="4"/>
  <c r="N227" i="4"/>
  <c r="N224" i="4"/>
  <c r="N221" i="4"/>
  <c r="N207" i="4"/>
  <c r="N204" i="4"/>
  <c r="N197" i="4"/>
  <c r="N186" i="4"/>
  <c r="N185" i="4"/>
  <c r="N184" i="4"/>
  <c r="N170" i="4"/>
  <c r="N169" i="4"/>
  <c r="N168" i="4"/>
  <c r="N154" i="4"/>
  <c r="N153" i="4"/>
  <c r="N152" i="4"/>
  <c r="N138" i="4"/>
  <c r="N137" i="4"/>
  <c r="N136" i="4"/>
  <c r="N122" i="4"/>
  <c r="N121" i="4"/>
  <c r="N120" i="4"/>
  <c r="N356" i="4"/>
  <c r="N348" i="4"/>
  <c r="N346" i="4"/>
  <c r="N318" i="4"/>
  <c r="N306" i="4"/>
  <c r="N293" i="4"/>
  <c r="N291" i="4"/>
  <c r="N289" i="4"/>
  <c r="N287" i="4"/>
  <c r="N274" i="4"/>
  <c r="N270" i="4"/>
  <c r="N257" i="4"/>
  <c r="N253" i="4"/>
  <c r="N235" i="4"/>
  <c r="N228" i="4"/>
  <c r="N225" i="4"/>
  <c r="N211" i="4"/>
  <c r="N208" i="4"/>
  <c r="N205" i="4"/>
  <c r="N190" i="4"/>
  <c r="N189" i="4"/>
  <c r="N188" i="4"/>
  <c r="N174" i="4"/>
  <c r="N173" i="4"/>
  <c r="N172" i="4"/>
  <c r="N158" i="4"/>
  <c r="N157" i="4"/>
  <c r="N156" i="4"/>
  <c r="N142" i="4"/>
  <c r="N141" i="4"/>
  <c r="N140" i="4"/>
  <c r="N126" i="4"/>
  <c r="N125" i="4"/>
  <c r="N124" i="4"/>
  <c r="N262" i="4"/>
  <c r="N247" i="4"/>
  <c r="N229" i="4"/>
  <c r="N212" i="4"/>
  <c r="N178" i="4"/>
  <c r="N161" i="4"/>
  <c r="N144" i="4"/>
  <c r="N114" i="4"/>
  <c r="N104" i="4"/>
  <c r="N97" i="4"/>
  <c r="N94" i="4"/>
  <c r="N80" i="4"/>
  <c r="N77" i="4"/>
  <c r="N74" i="4"/>
  <c r="N60" i="4"/>
  <c r="N57" i="4"/>
  <c r="N50" i="4"/>
  <c r="N49" i="4"/>
  <c r="N48" i="4"/>
  <c r="N34" i="4"/>
  <c r="N33" i="4"/>
  <c r="N32" i="4"/>
  <c r="N28" i="4"/>
  <c r="N27" i="4"/>
  <c r="N335" i="4"/>
  <c r="N245" i="4"/>
  <c r="N239" i="4"/>
  <c r="N194" i="4"/>
  <c r="N177" i="4"/>
  <c r="N160" i="4"/>
  <c r="N130" i="4"/>
  <c r="N113" i="4"/>
  <c r="N108" i="4"/>
  <c r="N105" i="4"/>
  <c r="N98" i="4"/>
  <c r="N88" i="4"/>
  <c r="N81" i="4"/>
  <c r="N78" i="4"/>
  <c r="N64" i="4"/>
  <c r="N61" i="4"/>
  <c r="N58" i="4"/>
  <c r="N38" i="4"/>
  <c r="N37" i="4"/>
  <c r="N36" i="4"/>
  <c r="N26" i="4"/>
  <c r="N25" i="4"/>
  <c r="N24" i="4"/>
  <c r="N23" i="4"/>
  <c r="N18" i="4"/>
  <c r="N17" i="4"/>
  <c r="N16" i="4"/>
  <c r="N15" i="4"/>
  <c r="N10" i="4"/>
  <c r="N209" i="4"/>
  <c r="N193" i="4"/>
  <c r="N176" i="4"/>
  <c r="N146" i="4"/>
  <c r="N129" i="4"/>
  <c r="N109" i="4"/>
  <c r="N106" i="4"/>
  <c r="N92" i="4"/>
  <c r="N89" i="4"/>
  <c r="N82" i="4"/>
  <c r="N72" i="4"/>
  <c r="N65" i="4"/>
  <c r="N62" i="4"/>
  <c r="N42" i="4"/>
  <c r="N41" i="4"/>
  <c r="N40" i="4"/>
  <c r="B23" i="4"/>
  <c r="B29" i="4" s="1"/>
  <c r="B27" i="4" s="1"/>
  <c r="N22" i="4"/>
  <c r="N21" i="4"/>
  <c r="N14" i="4"/>
  <c r="N13" i="4"/>
  <c r="N9" i="4"/>
  <c r="N8" i="4"/>
  <c r="N7" i="4"/>
  <c r="N6" i="4"/>
  <c r="N12" i="4"/>
  <c r="N46" i="4"/>
  <c r="N56" i="4"/>
  <c r="N73" i="4"/>
  <c r="N90" i="4"/>
  <c r="N96" i="4"/>
  <c r="N279" i="4"/>
  <c r="N11" i="4"/>
  <c r="N3" i="4"/>
  <c r="N5" i="4"/>
  <c r="N20" i="4"/>
  <c r="N44" i="4"/>
  <c r="N76" i="4"/>
  <c r="N93" i="4"/>
  <c r="N110" i="4"/>
  <c r="N192" i="4"/>
  <c r="N236" i="4"/>
  <c r="N2" i="4"/>
  <c r="P2" i="4" s="1"/>
  <c r="Q2" i="4" s="1"/>
  <c r="H3" i="4"/>
  <c r="N19" i="4"/>
  <c r="N45" i="4"/>
  <c r="N66" i="4"/>
  <c r="N112" i="4"/>
  <c r="N128" i="4"/>
  <c r="N145" i="4"/>
  <c r="N162" i="4"/>
  <c r="N219" i="4"/>
  <c r="I454" i="6"/>
  <c r="I456" i="6"/>
  <c r="I455" i="6"/>
  <c r="M454" i="6"/>
  <c r="M455" i="6"/>
  <c r="M456" i="6"/>
  <c r="R456" i="6"/>
  <c r="R6" i="6"/>
  <c r="R454" i="6" s="1"/>
  <c r="J456" i="6"/>
  <c r="O455" i="6"/>
  <c r="L455" i="6"/>
  <c r="L456" i="6"/>
  <c r="L454" i="6"/>
  <c r="P455" i="6"/>
  <c r="P454" i="6"/>
  <c r="P456" i="6"/>
  <c r="J454" i="6"/>
  <c r="J455" i="6"/>
  <c r="N456" i="6"/>
  <c r="N454" i="6"/>
  <c r="N455" i="6"/>
  <c r="Y37" i="7"/>
  <c r="Y36" i="7"/>
  <c r="Y35" i="7"/>
  <c r="AA35" i="7"/>
  <c r="AB37" i="7"/>
  <c r="AC37" i="7"/>
  <c r="K456" i="6"/>
  <c r="O456" i="6"/>
  <c r="O454" i="6"/>
  <c r="K455" i="6"/>
  <c r="AA37" i="7"/>
  <c r="AB36" i="7"/>
  <c r="K454" i="6"/>
  <c r="V36" i="7"/>
  <c r="V35" i="7"/>
  <c r="AC35" i="7"/>
  <c r="X36" i="7"/>
  <c r="W37" i="7"/>
  <c r="Z35" i="7"/>
  <c r="K4" i="3" l="1"/>
  <c r="W5" i="3"/>
  <c r="D6" i="3"/>
  <c r="M5" i="3"/>
  <c r="E5" i="3" a="1"/>
  <c r="E5" i="3" s="1"/>
  <c r="I5" i="3"/>
  <c r="F6" i="4"/>
  <c r="H7" i="3"/>
  <c r="R455" i="6"/>
  <c r="V4" i="3"/>
  <c r="Y4" i="3"/>
  <c r="P3" i="3"/>
  <c r="O4" i="3"/>
  <c r="U37" i="1"/>
  <c r="C15" i="1" s="1"/>
  <c r="B14" i="2"/>
  <c r="O3" i="4"/>
  <c r="P3" i="4" s="1"/>
  <c r="Q3" i="4" s="1"/>
  <c r="H4" i="4"/>
  <c r="B11" i="1"/>
  <c r="B12" i="1" s="1"/>
  <c r="AA3" i="3"/>
  <c r="R3" i="3"/>
  <c r="Q4" i="3"/>
  <c r="N5" i="3"/>
  <c r="F6" i="3"/>
  <c r="U5" i="3"/>
  <c r="AB5" i="3" s="1"/>
  <c r="O4" i="4" l="1"/>
  <c r="P4" i="4" s="1"/>
  <c r="Q4" i="4"/>
  <c r="X4" i="3" a="1"/>
  <c r="X4" i="3" s="1"/>
  <c r="Z4" i="3" s="1"/>
  <c r="AA4" i="3" s="1"/>
  <c r="F7" i="4"/>
  <c r="T5" i="3"/>
  <c r="Q5" i="3"/>
  <c r="R4" i="3"/>
  <c r="N6" i="3"/>
  <c r="F7" i="3"/>
  <c r="U6" i="3"/>
  <c r="AB6" i="3" s="1"/>
  <c r="H8" i="3"/>
  <c r="V5" i="3"/>
  <c r="Y5" i="3"/>
  <c r="K44" i="1"/>
  <c r="K39" i="1"/>
  <c r="K40" i="1"/>
  <c r="K42" i="1"/>
  <c r="K43" i="1"/>
  <c r="K41" i="1"/>
  <c r="K38" i="1"/>
  <c r="P4" i="3"/>
  <c r="O5" i="3"/>
  <c r="H5" i="4"/>
  <c r="K5" i="3"/>
  <c r="W6" i="3"/>
  <c r="D7" i="3"/>
  <c r="M6" i="3"/>
  <c r="I6" i="3"/>
  <c r="E6" i="3" a="1"/>
  <c r="E6" i="3" s="1"/>
  <c r="V6" i="3" l="1"/>
  <c r="Y6" i="3"/>
  <c r="H6" i="4"/>
  <c r="X5" i="3" a="1"/>
  <c r="X5" i="3" s="1"/>
  <c r="Z5" i="3" s="1"/>
  <c r="AA5" i="3" s="1"/>
  <c r="K6" i="3"/>
  <c r="P5" i="3"/>
  <c r="O6" i="3"/>
  <c r="H9" i="3"/>
  <c r="O5" i="4"/>
  <c r="P5" i="4" s="1"/>
  <c r="Q5" i="4"/>
  <c r="W7" i="3"/>
  <c r="D8" i="3"/>
  <c r="M7" i="3"/>
  <c r="I7" i="3"/>
  <c r="E7" i="3" a="1"/>
  <c r="E7" i="3" s="1"/>
  <c r="T7" i="3" s="1"/>
  <c r="Q6" i="3"/>
  <c r="R5" i="3"/>
  <c r="F8" i="4"/>
  <c r="T6" i="3"/>
  <c r="B15" i="1"/>
  <c r="B27" i="1" s="1"/>
  <c r="L37" i="1"/>
  <c r="N7" i="3"/>
  <c r="F8" i="3"/>
  <c r="U7" i="3"/>
  <c r="AB7" i="3" s="1"/>
  <c r="X6" i="3" l="1" a="1"/>
  <c r="X6" i="3" s="1"/>
  <c r="Z6" i="3" s="1"/>
  <c r="AA6" i="3" s="1"/>
  <c r="F9" i="4"/>
  <c r="H10" i="3"/>
  <c r="K7" i="3"/>
  <c r="H7" i="4"/>
  <c r="N8" i="3"/>
  <c r="U8" i="3"/>
  <c r="AB8" i="3" s="1"/>
  <c r="F9" i="3"/>
  <c r="V7" i="3"/>
  <c r="Y7" i="3"/>
  <c r="Q7" i="3"/>
  <c r="R6" i="3"/>
  <c r="O6" i="4"/>
  <c r="P6" i="4" s="1"/>
  <c r="Q6" i="4" s="1"/>
  <c r="P6" i="3"/>
  <c r="O7" i="3"/>
  <c r="D9" i="3"/>
  <c r="W8" i="3"/>
  <c r="M8" i="3"/>
  <c r="I8" i="3"/>
  <c r="E8" i="3" a="1"/>
  <c r="E8" i="3" s="1"/>
  <c r="T8" i="3" s="1"/>
  <c r="K8" i="3" l="1"/>
  <c r="O7" i="4"/>
  <c r="P7" i="4" s="1"/>
  <c r="Q7" i="4"/>
  <c r="X7" i="3" a="1"/>
  <c r="X7" i="3" s="1"/>
  <c r="Z7" i="3" s="1"/>
  <c r="AA7" i="3" s="1"/>
  <c r="F10" i="4"/>
  <c r="P7" i="3"/>
  <c r="O8" i="3"/>
  <c r="Q8" i="3"/>
  <c r="R7" i="3"/>
  <c r="H8" i="4"/>
  <c r="H11" i="3"/>
  <c r="V8" i="3"/>
  <c r="Y8" i="3"/>
  <c r="D10" i="3"/>
  <c r="M9" i="3"/>
  <c r="I9" i="3"/>
  <c r="E9" i="3" a="1"/>
  <c r="E9" i="3" s="1"/>
  <c r="W9" i="3"/>
  <c r="U9" i="3"/>
  <c r="AB9" i="3" s="1"/>
  <c r="F10" i="3"/>
  <c r="N9" i="3"/>
  <c r="U10" i="3" l="1"/>
  <c r="AB10" i="3" s="1"/>
  <c r="F11" i="3"/>
  <c r="N10" i="3"/>
  <c r="T9" i="3"/>
  <c r="H9" i="4"/>
  <c r="Q9" i="3"/>
  <c r="R8" i="3"/>
  <c r="F11" i="4"/>
  <c r="X8" i="3" a="1"/>
  <c r="X8" i="3" s="1"/>
  <c r="Z8" i="3" s="1"/>
  <c r="AA8" i="3" s="1"/>
  <c r="Y9" i="3"/>
  <c r="V9" i="3"/>
  <c r="O9" i="3"/>
  <c r="P8" i="3"/>
  <c r="K9" i="3"/>
  <c r="O8" i="4"/>
  <c r="P8" i="4" s="1"/>
  <c r="Q8" i="4"/>
  <c r="D11" i="3"/>
  <c r="M10" i="3"/>
  <c r="I10" i="3"/>
  <c r="E10" i="3" a="1"/>
  <c r="E10" i="3" s="1"/>
  <c r="T10" i="3" s="1"/>
  <c r="W10" i="3"/>
  <c r="H12" i="3"/>
  <c r="K10" i="3" l="1"/>
  <c r="X9" i="3" a="1"/>
  <c r="X9" i="3" s="1"/>
  <c r="Z9" i="3" s="1"/>
  <c r="AA9" i="3" s="1"/>
  <c r="D12" i="3"/>
  <c r="M11" i="3"/>
  <c r="I11" i="3"/>
  <c r="E11" i="3" a="1"/>
  <c r="E11" i="3" s="1"/>
  <c r="T11" i="3" s="1"/>
  <c r="W11" i="3"/>
  <c r="U11" i="3"/>
  <c r="AB11" i="3" s="1"/>
  <c r="F12" i="3"/>
  <c r="N11" i="3"/>
  <c r="O9" i="4"/>
  <c r="P9" i="4" s="1"/>
  <c r="Q9" i="4"/>
  <c r="O10" i="3"/>
  <c r="P9" i="3"/>
  <c r="Q10" i="3"/>
  <c r="R9" i="3"/>
  <c r="H13" i="3"/>
  <c r="Y10" i="3"/>
  <c r="V10" i="3"/>
  <c r="F12" i="4"/>
  <c r="H10" i="4"/>
  <c r="X10" i="3" l="1" a="1"/>
  <c r="X10" i="3" s="1"/>
  <c r="Z10" i="3" s="1"/>
  <c r="AA10" i="3" s="1"/>
  <c r="Q10" i="4"/>
  <c r="O10" i="4"/>
  <c r="P10" i="4" s="1"/>
  <c r="Y11" i="3"/>
  <c r="V11" i="3"/>
  <c r="K11" i="3"/>
  <c r="H11" i="4"/>
  <c r="Q11" i="3"/>
  <c r="R10" i="3"/>
  <c r="F13" i="4"/>
  <c r="M12" i="3"/>
  <c r="D13" i="3"/>
  <c r="I12" i="3"/>
  <c r="E12" i="3" a="1"/>
  <c r="E12" i="3" s="1"/>
  <c r="T12" i="3" s="1"/>
  <c r="W12" i="3"/>
  <c r="H14" i="3"/>
  <c r="O11" i="3"/>
  <c r="P10" i="3"/>
  <c r="U12" i="3"/>
  <c r="AB12" i="3" s="1"/>
  <c r="F13" i="3"/>
  <c r="N12" i="3"/>
  <c r="K12" i="3" l="1"/>
  <c r="X11" i="3" a="1"/>
  <c r="X11" i="3" s="1"/>
  <c r="Z11" i="3" s="1"/>
  <c r="AA11" i="3" s="1"/>
  <c r="O12" i="3"/>
  <c r="P11" i="3"/>
  <c r="Q12" i="3"/>
  <c r="R11" i="3"/>
  <c r="O11" i="4"/>
  <c r="P11" i="4" s="1"/>
  <c r="Q11" i="4" s="1"/>
  <c r="F14" i="3"/>
  <c r="N13" i="3"/>
  <c r="U13" i="3"/>
  <c r="AB13" i="3" s="1"/>
  <c r="F14" i="4"/>
  <c r="H15" i="3"/>
  <c r="Y12" i="3"/>
  <c r="V12" i="3"/>
  <c r="D14" i="3"/>
  <c r="I13" i="3"/>
  <c r="E13" i="3" a="1"/>
  <c r="E13" i="3" s="1"/>
  <c r="T13" i="3" s="1"/>
  <c r="M13" i="3"/>
  <c r="W13" i="3"/>
  <c r="H12" i="4"/>
  <c r="K13" i="3" l="1"/>
  <c r="X12" i="3" a="1"/>
  <c r="X12" i="3" s="1"/>
  <c r="Z12" i="3" s="1"/>
  <c r="AA12" i="3" s="1"/>
  <c r="O12" i="4"/>
  <c r="P12" i="4" s="1"/>
  <c r="Q12" i="4"/>
  <c r="H13" i="4"/>
  <c r="H16" i="3"/>
  <c r="O13" i="3"/>
  <c r="P12" i="3"/>
  <c r="U14" i="3"/>
  <c r="AB14" i="3" s="1"/>
  <c r="N14" i="3"/>
  <c r="F15" i="3"/>
  <c r="Y13" i="3"/>
  <c r="V13" i="3"/>
  <c r="F15" i="4"/>
  <c r="Q13" i="3"/>
  <c r="R12" i="3"/>
  <c r="M14" i="3"/>
  <c r="D15" i="3"/>
  <c r="I14" i="3"/>
  <c r="E14" i="3" a="1"/>
  <c r="E14" i="3" s="1"/>
  <c r="T14" i="3" s="1"/>
  <c r="W14" i="3"/>
  <c r="X13" i="3" l="1" a="1"/>
  <c r="X13" i="3" s="1"/>
  <c r="Z13" i="3" s="1"/>
  <c r="AA13" i="3" s="1"/>
  <c r="H17" i="3"/>
  <c r="F16" i="4"/>
  <c r="N15" i="3"/>
  <c r="U15" i="3"/>
  <c r="AB15" i="3" s="1"/>
  <c r="F16" i="3"/>
  <c r="O14" i="3"/>
  <c r="P13" i="3"/>
  <c r="H14" i="4"/>
  <c r="K14" i="3"/>
  <c r="I15" i="3"/>
  <c r="E15" i="3" a="1"/>
  <c r="E15" i="3" s="1"/>
  <c r="T15" i="3" s="1"/>
  <c r="W15" i="3"/>
  <c r="D16" i="3"/>
  <c r="M15" i="3"/>
  <c r="O13" i="4"/>
  <c r="P13" i="4" s="1"/>
  <c r="Q13" i="4"/>
  <c r="Y14" i="3"/>
  <c r="V14" i="3"/>
  <c r="Q14" i="3"/>
  <c r="R13" i="3"/>
  <c r="X14" i="3" l="1" a="1"/>
  <c r="X14" i="3" s="1"/>
  <c r="Z14" i="3" s="1"/>
  <c r="AA14" i="3" s="1"/>
  <c r="Q15" i="3"/>
  <c r="R14" i="3"/>
  <c r="K15" i="3"/>
  <c r="O15" i="3"/>
  <c r="P14" i="3"/>
  <c r="H15" i="4"/>
  <c r="N16" i="3"/>
  <c r="U16" i="3"/>
  <c r="AB16" i="3" s="1"/>
  <c r="F17" i="3"/>
  <c r="F17" i="4"/>
  <c r="O14" i="4"/>
  <c r="P14" i="4" s="1"/>
  <c r="Q14" i="4" s="1"/>
  <c r="G2" i="4" a="1"/>
  <c r="G2" i="4" s="1"/>
  <c r="I2" i="4" s="1"/>
  <c r="J2" i="4" s="1"/>
  <c r="K2" i="4" s="1"/>
  <c r="I16" i="3"/>
  <c r="E16" i="3" a="1"/>
  <c r="E16" i="3" s="1"/>
  <c r="T16" i="3" s="1"/>
  <c r="W16" i="3"/>
  <c r="D17" i="3"/>
  <c r="M16" i="3"/>
  <c r="Y15" i="3"/>
  <c r="V15" i="3"/>
  <c r="H18" i="3"/>
  <c r="O15" i="4" l="1"/>
  <c r="P15" i="4" s="1"/>
  <c r="Q15" i="4" s="1"/>
  <c r="X15" i="3" a="1"/>
  <c r="X15" i="3" s="1"/>
  <c r="Z15" i="3" s="1"/>
  <c r="AA15" i="3" s="1"/>
  <c r="H19" i="3"/>
  <c r="I17" i="3"/>
  <c r="E17" i="3" a="1"/>
  <c r="E17" i="3" s="1"/>
  <c r="T17" i="3" s="1"/>
  <c r="W17" i="3"/>
  <c r="D18" i="3"/>
  <c r="M17" i="3"/>
  <c r="O16" i="3"/>
  <c r="P15" i="3"/>
  <c r="F18" i="4"/>
  <c r="K16" i="3"/>
  <c r="Q16" i="3"/>
  <c r="R15" i="3"/>
  <c r="Y16" i="3"/>
  <c r="V16" i="3"/>
  <c r="N17" i="3"/>
  <c r="U17" i="3"/>
  <c r="AB17" i="3" s="1"/>
  <c r="F18" i="3"/>
  <c r="H16" i="4"/>
  <c r="O16" i="4" l="1"/>
  <c r="P16" i="4" s="1"/>
  <c r="Q16" i="4" s="1"/>
  <c r="H17" i="4"/>
  <c r="I18" i="3"/>
  <c r="E18" i="3" a="1"/>
  <c r="E18" i="3" s="1"/>
  <c r="T18" i="3" s="1"/>
  <c r="W18" i="3"/>
  <c r="D19" i="3"/>
  <c r="M18" i="3"/>
  <c r="X16" i="3" a="1"/>
  <c r="X16" i="3" s="1"/>
  <c r="Z16" i="3" s="1"/>
  <c r="AA16" i="3" s="1"/>
  <c r="Q17" i="3"/>
  <c r="R16" i="3"/>
  <c r="N18" i="3"/>
  <c r="U18" i="3"/>
  <c r="AB18" i="3" s="1"/>
  <c r="F19" i="3"/>
  <c r="K17" i="3"/>
  <c r="O17" i="3"/>
  <c r="P16" i="3"/>
  <c r="H20" i="3"/>
  <c r="F19" i="4"/>
  <c r="Y17" i="3"/>
  <c r="V17" i="3"/>
  <c r="K18" i="3" l="1"/>
  <c r="X17" i="3" a="1"/>
  <c r="X17" i="3" s="1"/>
  <c r="Z17" i="3" s="1"/>
  <c r="AA17" i="3" s="1"/>
  <c r="Q17" i="4"/>
  <c r="O17" i="4"/>
  <c r="P17" i="4" s="1"/>
  <c r="F20" i="4"/>
  <c r="O18" i="3"/>
  <c r="P17" i="3"/>
  <c r="H21" i="3"/>
  <c r="N19" i="3"/>
  <c r="U19" i="3"/>
  <c r="AB19" i="3" s="1"/>
  <c r="F20" i="3"/>
  <c r="Q18" i="3"/>
  <c r="R17" i="3"/>
  <c r="I19" i="3"/>
  <c r="E19" i="3" a="1"/>
  <c r="E19" i="3" s="1"/>
  <c r="T19" i="3" s="1"/>
  <c r="W19" i="3"/>
  <c r="D20" i="3"/>
  <c r="M19" i="3"/>
  <c r="Y18" i="3"/>
  <c r="V18" i="3"/>
  <c r="H18" i="4"/>
  <c r="X18" i="3" l="1" a="1"/>
  <c r="X18" i="3" s="1"/>
  <c r="Z18" i="3" s="1"/>
  <c r="AA18" i="3" s="1"/>
  <c r="H19" i="4"/>
  <c r="Q19" i="3"/>
  <c r="R18" i="3"/>
  <c r="O19" i="3"/>
  <c r="P18" i="3"/>
  <c r="N20" i="3"/>
  <c r="U20" i="3"/>
  <c r="AB20" i="3" s="1"/>
  <c r="F21" i="3"/>
  <c r="H22" i="3"/>
  <c r="F21" i="4"/>
  <c r="K19" i="3"/>
  <c r="O18" i="4"/>
  <c r="P18" i="4" s="1"/>
  <c r="Q18" i="4" s="1"/>
  <c r="I20" i="3"/>
  <c r="E20" i="3" a="1"/>
  <c r="E20" i="3" s="1"/>
  <c r="T20" i="3" s="1"/>
  <c r="W20" i="3"/>
  <c r="D21" i="3"/>
  <c r="M20" i="3"/>
  <c r="Y19" i="3"/>
  <c r="V19" i="3"/>
  <c r="O19" i="4" l="1"/>
  <c r="P19" i="4" s="1"/>
  <c r="Q19" i="4" s="1"/>
  <c r="X19" i="3" a="1"/>
  <c r="X19" i="3" s="1"/>
  <c r="Z19" i="3" s="1"/>
  <c r="AA19" i="3" s="1"/>
  <c r="O20" i="3"/>
  <c r="P19" i="3"/>
  <c r="H20" i="4"/>
  <c r="Q20" i="3"/>
  <c r="R19" i="3"/>
  <c r="F22" i="4"/>
  <c r="N21" i="3"/>
  <c r="U21" i="3"/>
  <c r="AB21" i="3" s="1"/>
  <c r="F22" i="3"/>
  <c r="I21" i="3"/>
  <c r="E21" i="3" a="1"/>
  <c r="E21" i="3" s="1"/>
  <c r="T21" i="3" s="1"/>
  <c r="W21" i="3"/>
  <c r="D22" i="3"/>
  <c r="M21" i="3"/>
  <c r="Y20" i="3"/>
  <c r="V20" i="3"/>
  <c r="K20" i="3"/>
  <c r="H23" i="3"/>
  <c r="X20" i="3" l="1" a="1"/>
  <c r="X20" i="3" s="1"/>
  <c r="Z20" i="3" s="1"/>
  <c r="AA20" i="3" s="1"/>
  <c r="O20" i="4"/>
  <c r="P20" i="4" s="1"/>
  <c r="Q20" i="4" s="1"/>
  <c r="N22" i="3"/>
  <c r="U22" i="3"/>
  <c r="AB22" i="3" s="1"/>
  <c r="F23" i="3"/>
  <c r="F23" i="4"/>
  <c r="H21" i="4"/>
  <c r="H24" i="3"/>
  <c r="K21" i="3"/>
  <c r="I22" i="3"/>
  <c r="E22" i="3" a="1"/>
  <c r="E22" i="3" s="1"/>
  <c r="T22" i="3" s="1"/>
  <c r="W22" i="3"/>
  <c r="D23" i="3"/>
  <c r="M22" i="3"/>
  <c r="Y21" i="3"/>
  <c r="V21" i="3"/>
  <c r="Q21" i="3"/>
  <c r="R20" i="3"/>
  <c r="O21" i="3"/>
  <c r="P20" i="3"/>
  <c r="O21" i="4" l="1"/>
  <c r="P21" i="4" s="1"/>
  <c r="Q21" i="4" s="1"/>
  <c r="X21" i="3" a="1"/>
  <c r="X21" i="3" s="1"/>
  <c r="Z21" i="3" s="1"/>
  <c r="AA21" i="3" s="1"/>
  <c r="O22" i="3"/>
  <c r="P21" i="3"/>
  <c r="H22" i="4"/>
  <c r="Q22" i="3"/>
  <c r="R21" i="3"/>
  <c r="Y22" i="3"/>
  <c r="V22" i="3"/>
  <c r="H25" i="3"/>
  <c r="F24" i="4"/>
  <c r="I23" i="3"/>
  <c r="E23" i="3" a="1"/>
  <c r="E23" i="3" s="1"/>
  <c r="T23" i="3" s="1"/>
  <c r="W23" i="3"/>
  <c r="D24" i="3"/>
  <c r="M23" i="3"/>
  <c r="K22" i="3"/>
  <c r="N23" i="3"/>
  <c r="U23" i="3"/>
  <c r="AB23" i="3" s="1"/>
  <c r="F24" i="3"/>
  <c r="X22" i="3" l="1" a="1"/>
  <c r="X22" i="3" s="1"/>
  <c r="Z22" i="3" s="1"/>
  <c r="AA22" i="3" s="1"/>
  <c r="O22" i="4"/>
  <c r="P22" i="4" s="1"/>
  <c r="Q22" i="4" s="1"/>
  <c r="K23" i="3"/>
  <c r="N24" i="3"/>
  <c r="U24" i="3"/>
  <c r="AB24" i="3" s="1"/>
  <c r="F25" i="3"/>
  <c r="F25" i="4"/>
  <c r="I24" i="3"/>
  <c r="E24" i="3" a="1"/>
  <c r="E24" i="3" s="1"/>
  <c r="T24" i="3" s="1"/>
  <c r="W24" i="3"/>
  <c r="D25" i="3"/>
  <c r="M24" i="3"/>
  <c r="Y23" i="3"/>
  <c r="V23" i="3"/>
  <c r="H26" i="3"/>
  <c r="Q23" i="3"/>
  <c r="R22" i="3"/>
  <c r="O23" i="3"/>
  <c r="P22" i="3"/>
  <c r="H23" i="4"/>
  <c r="O23" i="4" l="1"/>
  <c r="P23" i="4" s="1"/>
  <c r="Q23" i="4" s="1"/>
  <c r="X23" i="3" a="1"/>
  <c r="X23" i="3" s="1"/>
  <c r="Z23" i="3" s="1"/>
  <c r="AA23" i="3" s="1"/>
  <c r="Q24" i="3"/>
  <c r="R23" i="3"/>
  <c r="K24" i="3"/>
  <c r="I25" i="3"/>
  <c r="E25" i="3" a="1"/>
  <c r="E25" i="3" s="1"/>
  <c r="T25" i="3" s="1"/>
  <c r="W25" i="3"/>
  <c r="D26" i="3"/>
  <c r="M25" i="3"/>
  <c r="Y24" i="3"/>
  <c r="V24" i="3"/>
  <c r="H24" i="4"/>
  <c r="F26" i="4"/>
  <c r="O24" i="3"/>
  <c r="P23" i="3"/>
  <c r="H27" i="3"/>
  <c r="N25" i="3"/>
  <c r="U25" i="3"/>
  <c r="AB25" i="3" s="1"/>
  <c r="F26" i="3"/>
  <c r="X24" i="3" l="1" a="1"/>
  <c r="X24" i="3" s="1"/>
  <c r="Z24" i="3" s="1"/>
  <c r="AA24" i="3" s="1"/>
  <c r="Q24" i="4"/>
  <c r="O24" i="4"/>
  <c r="P24" i="4" s="1"/>
  <c r="N26" i="3"/>
  <c r="U26" i="3"/>
  <c r="AB26" i="3" s="1"/>
  <c r="F27" i="3"/>
  <c r="F27" i="4"/>
  <c r="H28" i="3"/>
  <c r="O25" i="3"/>
  <c r="P24" i="3"/>
  <c r="I26" i="3"/>
  <c r="E26" i="3" a="1"/>
  <c r="E26" i="3" s="1"/>
  <c r="T26" i="3" s="1"/>
  <c r="W26" i="3"/>
  <c r="D27" i="3"/>
  <c r="M26" i="3"/>
  <c r="Y25" i="3"/>
  <c r="V25" i="3"/>
  <c r="Q25" i="3"/>
  <c r="R24" i="3"/>
  <c r="H25" i="4"/>
  <c r="K25" i="3"/>
  <c r="K26" i="3" l="1"/>
  <c r="X25" i="3" a="1"/>
  <c r="X25" i="3" s="1"/>
  <c r="Z25" i="3" s="1"/>
  <c r="AA25" i="3" s="1"/>
  <c r="Q25" i="4"/>
  <c r="O25" i="4"/>
  <c r="P25" i="4" s="1"/>
  <c r="H29" i="3"/>
  <c r="O26" i="3"/>
  <c r="P25" i="3"/>
  <c r="N27" i="3"/>
  <c r="U27" i="3"/>
  <c r="AB27" i="3" s="1"/>
  <c r="F28" i="3"/>
  <c r="Q26" i="3"/>
  <c r="R25" i="3"/>
  <c r="I27" i="3"/>
  <c r="E27" i="3" a="1"/>
  <c r="E27" i="3" s="1"/>
  <c r="T27" i="3" s="1"/>
  <c r="W27" i="3"/>
  <c r="D28" i="3"/>
  <c r="M27" i="3"/>
  <c r="Y26" i="3"/>
  <c r="V26" i="3"/>
  <c r="H26" i="4"/>
  <c r="F28" i="4"/>
  <c r="X26" i="3" l="1" a="1"/>
  <c r="X26" i="3" s="1"/>
  <c r="Z26" i="3" s="1"/>
  <c r="AA26" i="3" s="1"/>
  <c r="O26" i="4"/>
  <c r="P26" i="4" s="1"/>
  <c r="Q26" i="4" s="1"/>
  <c r="G3" i="4" a="1"/>
  <c r="G3" i="4" s="1"/>
  <c r="I3" i="4" s="1"/>
  <c r="J3" i="4" s="1"/>
  <c r="K3" i="4" s="1"/>
  <c r="F29" i="4"/>
  <c r="Q27" i="3"/>
  <c r="R26" i="3"/>
  <c r="K27" i="3"/>
  <c r="H30" i="3"/>
  <c r="U28" i="3"/>
  <c r="AB28" i="3" s="1"/>
  <c r="N28" i="3"/>
  <c r="F29" i="3"/>
  <c r="H27" i="4"/>
  <c r="D29" i="3"/>
  <c r="I28" i="3"/>
  <c r="E28" i="3" a="1"/>
  <c r="E28" i="3" s="1"/>
  <c r="T28" i="3" s="1"/>
  <c r="W28" i="3"/>
  <c r="M28" i="3"/>
  <c r="Y27" i="3"/>
  <c r="V27" i="3"/>
  <c r="O27" i="3"/>
  <c r="P26" i="3"/>
  <c r="K28" i="3" l="1"/>
  <c r="O27" i="4"/>
  <c r="P27" i="4" s="1"/>
  <c r="Q27" i="4" s="1"/>
  <c r="X27" i="3" a="1"/>
  <c r="X27" i="3" s="1"/>
  <c r="Z27" i="3" s="1"/>
  <c r="AA27" i="3" s="1"/>
  <c r="F30" i="4"/>
  <c r="O28" i="3"/>
  <c r="P27" i="3"/>
  <c r="I29" i="3"/>
  <c r="E29" i="3" a="1"/>
  <c r="E29" i="3" s="1"/>
  <c r="T29" i="3" s="1"/>
  <c r="D30" i="3"/>
  <c r="M29" i="3"/>
  <c r="W29" i="3"/>
  <c r="H28" i="4"/>
  <c r="Q28" i="3"/>
  <c r="R27" i="3"/>
  <c r="Y28" i="3"/>
  <c r="V28" i="3"/>
  <c r="F30" i="3"/>
  <c r="U29" i="3"/>
  <c r="AB29" i="3" s="1"/>
  <c r="N29" i="3"/>
  <c r="H31" i="3"/>
  <c r="X28" i="3" l="1" a="1"/>
  <c r="X28" i="3" s="1"/>
  <c r="Z28" i="3" s="1"/>
  <c r="AA28" i="3" s="1"/>
  <c r="Q28" i="4"/>
  <c r="O28" i="4"/>
  <c r="P28" i="4" s="1"/>
  <c r="F31" i="3"/>
  <c r="U30" i="3"/>
  <c r="AB30" i="3" s="1"/>
  <c r="N30" i="3"/>
  <c r="H32" i="3"/>
  <c r="H29" i="4"/>
  <c r="F31" i="4"/>
  <c r="Q29" i="3"/>
  <c r="R28" i="3"/>
  <c r="V29" i="3"/>
  <c r="Y29" i="3"/>
  <c r="I30" i="3"/>
  <c r="E30" i="3" a="1"/>
  <c r="E30" i="3" s="1"/>
  <c r="T30" i="3" s="1"/>
  <c r="D31" i="3"/>
  <c r="M30" i="3"/>
  <c r="W30" i="3"/>
  <c r="O29" i="3"/>
  <c r="P28" i="3"/>
  <c r="K29" i="3"/>
  <c r="K30" i="3" l="1"/>
  <c r="X29" i="3" a="1"/>
  <c r="X29" i="3" s="1"/>
  <c r="Z29" i="3" s="1"/>
  <c r="AA29" i="3" s="1"/>
  <c r="O30" i="3"/>
  <c r="P29" i="3"/>
  <c r="I31" i="3"/>
  <c r="E31" i="3" a="1"/>
  <c r="E31" i="3" s="1"/>
  <c r="T31" i="3" s="1"/>
  <c r="D32" i="3"/>
  <c r="M31" i="3"/>
  <c r="W31" i="3"/>
  <c r="F32" i="3"/>
  <c r="U31" i="3"/>
  <c r="AB31" i="3" s="1"/>
  <c r="N31" i="3"/>
  <c r="V30" i="3"/>
  <c r="Y30" i="3"/>
  <c r="H30" i="4"/>
  <c r="O29" i="4"/>
  <c r="P29" i="4" s="1"/>
  <c r="Q29" i="4"/>
  <c r="Q30" i="3"/>
  <c r="R29" i="3"/>
  <c r="H33" i="3"/>
  <c r="K31" i="3" l="1"/>
  <c r="X30" i="3" a="1"/>
  <c r="X30" i="3" s="1"/>
  <c r="Z30" i="3" s="1"/>
  <c r="AA30" i="3" s="1"/>
  <c r="H31" i="4"/>
  <c r="V31" i="3"/>
  <c r="Y31" i="3"/>
  <c r="I32" i="3"/>
  <c r="E32" i="3" a="1"/>
  <c r="E32" i="3" s="1"/>
  <c r="T32" i="3" s="1"/>
  <c r="D33" i="3"/>
  <c r="M32" i="3"/>
  <c r="W32" i="3"/>
  <c r="O31" i="3"/>
  <c r="P30" i="3"/>
  <c r="Q31" i="3"/>
  <c r="R30" i="3"/>
  <c r="H34" i="3"/>
  <c r="O30" i="4"/>
  <c r="P30" i="4" s="1"/>
  <c r="Q30" i="4"/>
  <c r="F33" i="3"/>
  <c r="N32" i="3"/>
  <c r="U32" i="3"/>
  <c r="AB32" i="3" s="1"/>
  <c r="X31" i="3" l="1" a="1"/>
  <c r="X31" i="3" s="1"/>
  <c r="Z31" i="3" s="1"/>
  <c r="AA31" i="3" s="1"/>
  <c r="O32" i="3"/>
  <c r="P31" i="3"/>
  <c r="I33" i="3"/>
  <c r="E33" i="3" a="1"/>
  <c r="E33" i="3" s="1"/>
  <c r="T33" i="3" s="1"/>
  <c r="D34" i="3"/>
  <c r="M33" i="3"/>
  <c r="W33" i="3"/>
  <c r="Q32" i="3"/>
  <c r="R31" i="3"/>
  <c r="V32" i="3"/>
  <c r="Y32" i="3"/>
  <c r="Q31" i="4"/>
  <c r="O31" i="4"/>
  <c r="P31" i="4" s="1"/>
  <c r="H35" i="3"/>
  <c r="F34" i="3"/>
  <c r="U33" i="3"/>
  <c r="AB33" i="3" s="1"/>
  <c r="N33" i="3"/>
  <c r="K32" i="3"/>
  <c r="X32" i="3" l="1" a="1"/>
  <c r="X32" i="3" s="1"/>
  <c r="Z32" i="3" s="1"/>
  <c r="AA32" i="3" s="1"/>
  <c r="H36" i="3"/>
  <c r="V33" i="3"/>
  <c r="Y33" i="3"/>
  <c r="F35" i="3"/>
  <c r="U34" i="3"/>
  <c r="AB34" i="3" s="1"/>
  <c r="N34" i="3"/>
  <c r="K33" i="3"/>
  <c r="O32" i="4"/>
  <c r="P32" i="4" s="1"/>
  <c r="Q32" i="4" s="1"/>
  <c r="Q33" i="3"/>
  <c r="R32" i="3"/>
  <c r="I34" i="3"/>
  <c r="E34" i="3" a="1"/>
  <c r="E34" i="3" s="1"/>
  <c r="T34" i="3" s="1"/>
  <c r="D35" i="3"/>
  <c r="M34" i="3"/>
  <c r="W34" i="3"/>
  <c r="O33" i="3"/>
  <c r="P32" i="3"/>
  <c r="K34" i="3" l="1"/>
  <c r="Q33" i="4"/>
  <c r="O33" i="4"/>
  <c r="P33" i="4" s="1"/>
  <c r="X33" i="3" a="1"/>
  <c r="X33" i="3" s="1"/>
  <c r="Z33" i="3" s="1"/>
  <c r="AA33" i="3" s="1"/>
  <c r="Q34" i="3"/>
  <c r="R33" i="3"/>
  <c r="O34" i="3"/>
  <c r="P33" i="3"/>
  <c r="I35" i="3"/>
  <c r="E35" i="3" a="1"/>
  <c r="E35" i="3" s="1"/>
  <c r="T35" i="3" s="1"/>
  <c r="D36" i="3"/>
  <c r="M35" i="3"/>
  <c r="W35" i="3"/>
  <c r="V34" i="3"/>
  <c r="Y34" i="3"/>
  <c r="F36" i="3"/>
  <c r="U35" i="3"/>
  <c r="AB35" i="3" s="1"/>
  <c r="N35" i="3"/>
  <c r="H37" i="3"/>
  <c r="X34" i="3" l="1" a="1"/>
  <c r="X34" i="3" s="1"/>
  <c r="Z34" i="3" s="1"/>
  <c r="AA34" i="3" s="1"/>
  <c r="K35" i="3"/>
  <c r="O34" i="4"/>
  <c r="P34" i="4" s="1"/>
  <c r="Q34" i="4"/>
  <c r="F37" i="3"/>
  <c r="U36" i="3"/>
  <c r="AB36" i="3" s="1"/>
  <c r="N36" i="3"/>
  <c r="V35" i="3"/>
  <c r="Y35" i="3"/>
  <c r="H38" i="3"/>
  <c r="Q35" i="3"/>
  <c r="R34" i="3"/>
  <c r="I36" i="3"/>
  <c r="E36" i="3" a="1"/>
  <c r="E36" i="3" s="1"/>
  <c r="T36" i="3" s="1"/>
  <c r="D37" i="3"/>
  <c r="M36" i="3"/>
  <c r="W36" i="3"/>
  <c r="O35" i="3"/>
  <c r="P34" i="3"/>
  <c r="X35" i="3" l="1" a="1"/>
  <c r="X35" i="3" s="1"/>
  <c r="Z35" i="3" s="1"/>
  <c r="AA35" i="3" s="1"/>
  <c r="Q36" i="3"/>
  <c r="R35" i="3"/>
  <c r="O35" i="4"/>
  <c r="P35" i="4" s="1"/>
  <c r="Q35" i="4"/>
  <c r="O36" i="3"/>
  <c r="P35" i="3"/>
  <c r="I37" i="3"/>
  <c r="E37" i="3" a="1"/>
  <c r="E37" i="3" s="1"/>
  <c r="T37" i="3" s="1"/>
  <c r="D38" i="3"/>
  <c r="M37" i="3"/>
  <c r="W37" i="3"/>
  <c r="F38" i="3"/>
  <c r="U37" i="3"/>
  <c r="AB37" i="3" s="1"/>
  <c r="N37" i="3"/>
  <c r="V36" i="3"/>
  <c r="Y36" i="3"/>
  <c r="H39" i="3"/>
  <c r="K36" i="3"/>
  <c r="K37" i="3" l="1"/>
  <c r="X36" i="3" a="1"/>
  <c r="X36" i="3" s="1"/>
  <c r="Z36" i="3" s="1"/>
  <c r="AA36" i="3" s="1"/>
  <c r="I38" i="3"/>
  <c r="E38" i="3" a="1"/>
  <c r="E38" i="3" s="1"/>
  <c r="T38" i="3" s="1"/>
  <c r="D39" i="3"/>
  <c r="M38" i="3"/>
  <c r="W38" i="3"/>
  <c r="Q37" i="3"/>
  <c r="R36" i="3"/>
  <c r="O36" i="4"/>
  <c r="P36" i="4" s="1"/>
  <c r="Q36" i="4" s="1"/>
  <c r="V37" i="3"/>
  <c r="Y37" i="3"/>
  <c r="O37" i="3"/>
  <c r="P36" i="3"/>
  <c r="H40" i="3"/>
  <c r="F39" i="3"/>
  <c r="U38" i="3"/>
  <c r="AB38" i="3" s="1"/>
  <c r="N38" i="3"/>
  <c r="K38" i="3" l="1"/>
  <c r="O37" i="4"/>
  <c r="P37" i="4" s="1"/>
  <c r="Q37" i="4"/>
  <c r="X37" i="3" a="1"/>
  <c r="X37" i="3" s="1"/>
  <c r="Z37" i="3" s="1"/>
  <c r="AA37" i="3" s="1"/>
  <c r="H41" i="3"/>
  <c r="Q38" i="3"/>
  <c r="R37" i="3"/>
  <c r="I39" i="3"/>
  <c r="E39" i="3" a="1"/>
  <c r="E39" i="3" s="1"/>
  <c r="T39" i="3" s="1"/>
  <c r="D40" i="3"/>
  <c r="M39" i="3"/>
  <c r="W39" i="3"/>
  <c r="F40" i="3"/>
  <c r="U39" i="3"/>
  <c r="AB39" i="3" s="1"/>
  <c r="N39" i="3"/>
  <c r="O38" i="3"/>
  <c r="P37" i="3"/>
  <c r="V38" i="3"/>
  <c r="Y38" i="3"/>
  <c r="X38" i="3" l="1" a="1"/>
  <c r="X38" i="3" s="1"/>
  <c r="Z38" i="3" s="1"/>
  <c r="AA38" i="3" s="1"/>
  <c r="Q39" i="3"/>
  <c r="R38" i="3"/>
  <c r="O38" i="4"/>
  <c r="P38" i="4" s="1"/>
  <c r="Q38" i="4"/>
  <c r="G4" i="4" a="1"/>
  <c r="G4" i="4" s="1"/>
  <c r="I4" i="4" s="1"/>
  <c r="J4" i="4" s="1"/>
  <c r="K4" i="4" s="1"/>
  <c r="V39" i="3"/>
  <c r="Y39" i="3"/>
  <c r="F41" i="3"/>
  <c r="N40" i="3"/>
  <c r="U40" i="3"/>
  <c r="AB40" i="3" s="1"/>
  <c r="I40" i="3"/>
  <c r="E40" i="3" a="1"/>
  <c r="E40" i="3" s="1"/>
  <c r="T40" i="3" s="1"/>
  <c r="D41" i="3"/>
  <c r="M40" i="3"/>
  <c r="W40" i="3"/>
  <c r="H42" i="3"/>
  <c r="O39" i="3"/>
  <c r="P38" i="3"/>
  <c r="K39" i="3"/>
  <c r="K40" i="3" l="1"/>
  <c r="X39" i="3" a="1"/>
  <c r="X39" i="3" s="1"/>
  <c r="Z39" i="3" s="1"/>
  <c r="AA39" i="3" s="1"/>
  <c r="F42" i="3"/>
  <c r="U41" i="3"/>
  <c r="AB41" i="3" s="1"/>
  <c r="N41" i="3"/>
  <c r="O39" i="4"/>
  <c r="P39" i="4" s="1"/>
  <c r="Q39" i="4"/>
  <c r="O40" i="3"/>
  <c r="P39" i="3"/>
  <c r="V40" i="3"/>
  <c r="Y40" i="3"/>
  <c r="H43" i="3"/>
  <c r="I41" i="3"/>
  <c r="E41" i="3" a="1"/>
  <c r="E41" i="3" s="1"/>
  <c r="T41" i="3" s="1"/>
  <c r="D42" i="3"/>
  <c r="M41" i="3"/>
  <c r="W41" i="3"/>
  <c r="Q40" i="3"/>
  <c r="R39" i="3"/>
  <c r="X40" i="3" l="1" a="1"/>
  <c r="X40" i="3" s="1"/>
  <c r="Z40" i="3" s="1"/>
  <c r="AA40" i="3" s="1"/>
  <c r="Q41" i="3"/>
  <c r="R40" i="3"/>
  <c r="I42" i="3"/>
  <c r="E42" i="3" a="1"/>
  <c r="E42" i="3" s="1"/>
  <c r="T42" i="3" s="1"/>
  <c r="D43" i="3"/>
  <c r="M42" i="3"/>
  <c r="W42" i="3"/>
  <c r="H44" i="3"/>
  <c r="K41" i="3"/>
  <c r="Q40" i="4"/>
  <c r="O40" i="4"/>
  <c r="P40" i="4" s="1"/>
  <c r="F43" i="3"/>
  <c r="U42" i="3"/>
  <c r="AB42" i="3" s="1"/>
  <c r="N42" i="3"/>
  <c r="V41" i="3"/>
  <c r="Y41" i="3"/>
  <c r="O41" i="3"/>
  <c r="P40" i="3"/>
  <c r="X41" i="3" l="1" a="1"/>
  <c r="X41" i="3" s="1"/>
  <c r="Z41" i="3" s="1"/>
  <c r="AA41" i="3" s="1"/>
  <c r="Q41" i="4"/>
  <c r="O41" i="4"/>
  <c r="P41" i="4" s="1"/>
  <c r="O42" i="3"/>
  <c r="P41" i="3"/>
  <c r="K42" i="3"/>
  <c r="V42" i="3"/>
  <c r="Y42" i="3"/>
  <c r="F44" i="3"/>
  <c r="U43" i="3"/>
  <c r="AB43" i="3" s="1"/>
  <c r="N43" i="3"/>
  <c r="H45" i="3"/>
  <c r="I43" i="3"/>
  <c r="E43" i="3" a="1"/>
  <c r="E43" i="3" s="1"/>
  <c r="T43" i="3" s="1"/>
  <c r="D44" i="3"/>
  <c r="M43" i="3"/>
  <c r="W43" i="3"/>
  <c r="Q42" i="3"/>
  <c r="R41" i="3"/>
  <c r="K43" i="3" l="1"/>
  <c r="X42" i="3" a="1"/>
  <c r="X42" i="3" s="1"/>
  <c r="Z42" i="3" s="1"/>
  <c r="AA42" i="3" s="1"/>
  <c r="F45" i="3"/>
  <c r="U44" i="3"/>
  <c r="AB44" i="3" s="1"/>
  <c r="N44" i="3"/>
  <c r="O42" i="4"/>
  <c r="P42" i="4" s="1"/>
  <c r="Q42" i="4"/>
  <c r="O43" i="3"/>
  <c r="P42" i="3"/>
  <c r="Q43" i="3"/>
  <c r="R42" i="3"/>
  <c r="I44" i="3"/>
  <c r="E44" i="3" a="1"/>
  <c r="E44" i="3" s="1"/>
  <c r="T44" i="3" s="1"/>
  <c r="D45" i="3"/>
  <c r="M44" i="3"/>
  <c r="W44" i="3"/>
  <c r="H46" i="3"/>
  <c r="V43" i="3"/>
  <c r="Y43" i="3"/>
  <c r="X43" i="3" l="1" a="1"/>
  <c r="X43" i="3" s="1"/>
  <c r="Z43" i="3" s="1"/>
  <c r="AA43" i="3" s="1"/>
  <c r="O43" i="4"/>
  <c r="P43" i="4" s="1"/>
  <c r="Q43" i="4" s="1"/>
  <c r="O44" i="3"/>
  <c r="P43" i="3"/>
  <c r="K44" i="3"/>
  <c r="F46" i="3"/>
  <c r="U45" i="3"/>
  <c r="AB45" i="3" s="1"/>
  <c r="N45" i="3"/>
  <c r="V44" i="3"/>
  <c r="Y44" i="3"/>
  <c r="H47" i="3"/>
  <c r="I45" i="3"/>
  <c r="E45" i="3" a="1"/>
  <c r="E45" i="3" s="1"/>
  <c r="T45" i="3" s="1"/>
  <c r="D46" i="3"/>
  <c r="M45" i="3"/>
  <c r="W45" i="3"/>
  <c r="Q44" i="3"/>
  <c r="R43" i="3"/>
  <c r="O44" i="4" l="1"/>
  <c r="P44" i="4" s="1"/>
  <c r="Q44" i="4" s="1"/>
  <c r="X44" i="3" a="1"/>
  <c r="X44" i="3" s="1"/>
  <c r="Z44" i="3" s="1"/>
  <c r="AA44" i="3" s="1"/>
  <c r="F47" i="3"/>
  <c r="U46" i="3"/>
  <c r="AB46" i="3" s="1"/>
  <c r="N46" i="3"/>
  <c r="Q45" i="3"/>
  <c r="R44" i="3"/>
  <c r="I46" i="3"/>
  <c r="E46" i="3" a="1"/>
  <c r="E46" i="3" s="1"/>
  <c r="T46" i="3" s="1"/>
  <c r="D47" i="3"/>
  <c r="M46" i="3"/>
  <c r="W46" i="3"/>
  <c r="H48" i="3"/>
  <c r="O45" i="3"/>
  <c r="P44" i="3"/>
  <c r="V45" i="3"/>
  <c r="Y45" i="3"/>
  <c r="K45" i="3"/>
  <c r="K46" i="3" l="1"/>
  <c r="X45" i="3" a="1"/>
  <c r="X45" i="3" s="1"/>
  <c r="Z45" i="3" s="1"/>
  <c r="AA45" i="3" s="1"/>
  <c r="Q45" i="4"/>
  <c r="O45" i="4"/>
  <c r="P45" i="4" s="1"/>
  <c r="F48" i="3"/>
  <c r="U47" i="3"/>
  <c r="AB47" i="3" s="1"/>
  <c r="N47" i="3"/>
  <c r="O46" i="3"/>
  <c r="P45" i="3"/>
  <c r="V46" i="3"/>
  <c r="Y46" i="3"/>
  <c r="H49" i="3"/>
  <c r="I47" i="3"/>
  <c r="E47" i="3" a="1"/>
  <c r="E47" i="3" s="1"/>
  <c r="T47" i="3" s="1"/>
  <c r="D48" i="3"/>
  <c r="M47" i="3"/>
  <c r="W47" i="3"/>
  <c r="Q46" i="3"/>
  <c r="R45" i="3"/>
  <c r="X46" i="3" l="1" a="1"/>
  <c r="X46" i="3" s="1"/>
  <c r="Z46" i="3" s="1"/>
  <c r="AA46" i="3" s="1"/>
  <c r="O46" i="4"/>
  <c r="P46" i="4" s="1"/>
  <c r="Q46" i="4" s="1"/>
  <c r="Q47" i="3"/>
  <c r="R46" i="3"/>
  <c r="I48" i="3"/>
  <c r="E48" i="3" a="1"/>
  <c r="E48" i="3" s="1"/>
  <c r="T48" i="3" s="1"/>
  <c r="D49" i="3"/>
  <c r="M48" i="3"/>
  <c r="W48" i="3"/>
  <c r="H50" i="3"/>
  <c r="O47" i="3"/>
  <c r="P46" i="3"/>
  <c r="F49" i="3"/>
  <c r="N48" i="3"/>
  <c r="U48" i="3"/>
  <c r="AB48" i="3" s="1"/>
  <c r="K47" i="3"/>
  <c r="V47" i="3"/>
  <c r="Y47" i="3"/>
  <c r="X47" i="3" l="1" a="1"/>
  <c r="X47" i="3" s="1"/>
  <c r="Z47" i="3" s="1"/>
  <c r="AA47" i="3" s="1"/>
  <c r="Q47" i="4"/>
  <c r="O47" i="4"/>
  <c r="P47" i="4" s="1"/>
  <c r="O48" i="3"/>
  <c r="P47" i="3"/>
  <c r="V48" i="3"/>
  <c r="Y48" i="3"/>
  <c r="K48" i="3"/>
  <c r="F50" i="3"/>
  <c r="U49" i="3"/>
  <c r="AB49" i="3" s="1"/>
  <c r="N49" i="3"/>
  <c r="H51" i="3"/>
  <c r="I49" i="3"/>
  <c r="E49" i="3" a="1"/>
  <c r="E49" i="3" s="1"/>
  <c r="T49" i="3" s="1"/>
  <c r="D50" i="3"/>
  <c r="M49" i="3"/>
  <c r="W49" i="3"/>
  <c r="Q48" i="3"/>
  <c r="R47" i="3"/>
  <c r="X48" i="3" l="1" a="1"/>
  <c r="X48" i="3" s="1"/>
  <c r="Z48" i="3" s="1"/>
  <c r="AA48" i="3" s="1"/>
  <c r="Q48" i="4"/>
  <c r="O48" i="4"/>
  <c r="P48" i="4" s="1"/>
  <c r="I50" i="3"/>
  <c r="E50" i="3" a="1"/>
  <c r="E50" i="3" s="1"/>
  <c r="T50" i="3" s="1"/>
  <c r="D51" i="3"/>
  <c r="M50" i="3"/>
  <c r="W50" i="3"/>
  <c r="H52" i="3"/>
  <c r="O49" i="3"/>
  <c r="P48" i="3"/>
  <c r="F51" i="3"/>
  <c r="U50" i="3"/>
  <c r="AB50" i="3" s="1"/>
  <c r="N50" i="3"/>
  <c r="Q49" i="3"/>
  <c r="R48" i="3"/>
  <c r="K49" i="3"/>
  <c r="V49" i="3"/>
  <c r="Y49" i="3"/>
  <c r="X49" i="3" l="1" a="1"/>
  <c r="X49" i="3" s="1"/>
  <c r="Z49" i="3" s="1"/>
  <c r="AA49" i="3" s="1"/>
  <c r="Q50" i="3"/>
  <c r="R49" i="3"/>
  <c r="O49" i="4"/>
  <c r="P49" i="4" s="1"/>
  <c r="Q49" i="4" s="1"/>
  <c r="K50" i="3"/>
  <c r="O50" i="3"/>
  <c r="P49" i="3"/>
  <c r="V50" i="3"/>
  <c r="Y50" i="3"/>
  <c r="F52" i="3"/>
  <c r="U51" i="3"/>
  <c r="AB51" i="3" s="1"/>
  <c r="N51" i="3"/>
  <c r="I51" i="3"/>
  <c r="E51" i="3" a="1"/>
  <c r="E51" i="3" s="1"/>
  <c r="T51" i="3" s="1"/>
  <c r="D52" i="3"/>
  <c r="M51" i="3"/>
  <c r="W51" i="3"/>
  <c r="O50" i="4" l="1"/>
  <c r="P50" i="4" s="1"/>
  <c r="Q50" i="4"/>
  <c r="G5" i="4" a="1"/>
  <c r="G5" i="4" s="1"/>
  <c r="I5" i="4" s="1"/>
  <c r="J5" i="4" s="1"/>
  <c r="K5" i="4" s="1"/>
  <c r="X50" i="3" a="1"/>
  <c r="X50" i="3" s="1"/>
  <c r="Z50" i="3" s="1"/>
  <c r="AA50" i="3" s="1"/>
  <c r="U52" i="3"/>
  <c r="AB52" i="3" s="1"/>
  <c r="N52" i="3"/>
  <c r="O51" i="3"/>
  <c r="P50" i="3"/>
  <c r="I52" i="3"/>
  <c r="E52" i="3" a="1"/>
  <c r="E52" i="3" s="1"/>
  <c r="M52" i="3"/>
  <c r="W52" i="3"/>
  <c r="V51" i="3"/>
  <c r="Y51" i="3"/>
  <c r="K51" i="3"/>
  <c r="Q51" i="3"/>
  <c r="R50" i="3"/>
  <c r="X51" i="3" l="1" a="1"/>
  <c r="X51" i="3" s="1"/>
  <c r="Z51" i="3" s="1"/>
  <c r="AA51" i="3" s="1"/>
  <c r="T52" i="3"/>
  <c r="E55" i="3"/>
  <c r="E54" i="3"/>
  <c r="O51" i="4"/>
  <c r="P51" i="4" s="1"/>
  <c r="Q51" i="4" s="1"/>
  <c r="Q52" i="3"/>
  <c r="R52" i="3" s="1"/>
  <c r="R51" i="3"/>
  <c r="K52" i="3"/>
  <c r="V52" i="3"/>
  <c r="Y52" i="3"/>
  <c r="O52" i="3"/>
  <c r="P52" i="3" s="1"/>
  <c r="P51" i="3"/>
  <c r="X52" i="3" l="1" a="1"/>
  <c r="X52" i="3" s="1"/>
  <c r="Z52" i="3" s="1"/>
  <c r="AA52" i="3" s="1"/>
  <c r="O52" i="4"/>
  <c r="P52" i="4" s="1"/>
  <c r="Q52" i="4" s="1"/>
  <c r="O53" i="4" l="1"/>
  <c r="P53" i="4" s="1"/>
  <c r="Q53" i="4" s="1"/>
  <c r="O54" i="4" l="1"/>
  <c r="P54" i="4" s="1"/>
  <c r="Q54" i="4"/>
  <c r="O55" i="4" l="1"/>
  <c r="P55" i="4" s="1"/>
  <c r="Q55" i="4"/>
  <c r="O56" i="4" l="1"/>
  <c r="P56" i="4" s="1"/>
  <c r="Q56" i="4" s="1"/>
  <c r="O57" i="4" l="1"/>
  <c r="P57" i="4" s="1"/>
  <c r="Q57" i="4" s="1"/>
  <c r="O58" i="4" l="1"/>
  <c r="P58" i="4" s="1"/>
  <c r="Q58" i="4" s="1"/>
  <c r="O59" i="4" l="1"/>
  <c r="P59" i="4" s="1"/>
  <c r="Q59" i="4" s="1"/>
  <c r="O60" i="4" l="1"/>
  <c r="P60" i="4" s="1"/>
  <c r="Q60" i="4" s="1"/>
  <c r="O61" i="4" l="1"/>
  <c r="P61" i="4" s="1"/>
  <c r="Q61" i="4" s="1"/>
  <c r="O62" i="4" l="1"/>
  <c r="P62" i="4" s="1"/>
  <c r="Q62" i="4" s="1"/>
  <c r="G6" i="4" a="1"/>
  <c r="G6" i="4" s="1"/>
  <c r="I6" i="4" s="1"/>
  <c r="J6" i="4" s="1"/>
  <c r="K6" i="4" s="1"/>
  <c r="O63" i="4" l="1"/>
  <c r="P63" i="4" s="1"/>
  <c r="Q63" i="4" s="1"/>
  <c r="O64" i="4" l="1"/>
  <c r="P64" i="4" s="1"/>
  <c r="Q64" i="4" s="1"/>
  <c r="O65" i="4" l="1"/>
  <c r="P65" i="4" s="1"/>
  <c r="Q65" i="4" s="1"/>
  <c r="O66" i="4" l="1"/>
  <c r="P66" i="4" s="1"/>
  <c r="Q66" i="4" s="1"/>
  <c r="O67" i="4" l="1"/>
  <c r="P67" i="4" s="1"/>
  <c r="Q67" i="4" s="1"/>
  <c r="O68" i="4" l="1"/>
  <c r="P68" i="4" s="1"/>
  <c r="Q68" i="4" s="1"/>
  <c r="O69" i="4" l="1"/>
  <c r="P69" i="4" s="1"/>
  <c r="Q69" i="4" s="1"/>
  <c r="O70" i="4" l="1"/>
  <c r="P70" i="4" s="1"/>
  <c r="Q70" i="4"/>
  <c r="O71" i="4" l="1"/>
  <c r="P71" i="4" s="1"/>
  <c r="Q71" i="4" s="1"/>
  <c r="Q72" i="4" l="1"/>
  <c r="O72" i="4"/>
  <c r="P72" i="4" s="1"/>
  <c r="O73" i="4" l="1"/>
  <c r="P73" i="4" s="1"/>
  <c r="Q73" i="4"/>
  <c r="O74" i="4" l="1"/>
  <c r="P74" i="4" s="1"/>
  <c r="Q74" i="4" s="1"/>
  <c r="G7" i="4" a="1"/>
  <c r="G7" i="4" s="1"/>
  <c r="I7" i="4" s="1"/>
  <c r="J7" i="4" s="1"/>
  <c r="K7" i="4" s="1"/>
  <c r="O75" i="4" l="1"/>
  <c r="P75" i="4" s="1"/>
  <c r="Q75" i="4" s="1"/>
  <c r="O76" i="4" l="1"/>
  <c r="P76" i="4" s="1"/>
  <c r="Q76" i="4" s="1"/>
  <c r="O77" i="4" l="1"/>
  <c r="P77" i="4" s="1"/>
  <c r="Q77" i="4" s="1"/>
  <c r="O78" i="4" l="1"/>
  <c r="P78" i="4" s="1"/>
  <c r="Q78" i="4"/>
  <c r="O79" i="4" l="1"/>
  <c r="P79" i="4" s="1"/>
  <c r="Q79" i="4" s="1"/>
  <c r="O80" i="4" l="1"/>
  <c r="P80" i="4" s="1"/>
  <c r="Q80" i="4" s="1"/>
  <c r="O81" i="4" l="1"/>
  <c r="P81" i="4" s="1"/>
  <c r="Q81" i="4"/>
  <c r="O82" i="4" l="1"/>
  <c r="P82" i="4" s="1"/>
  <c r="Q82" i="4"/>
  <c r="O83" i="4" l="1"/>
  <c r="P83" i="4" s="1"/>
  <c r="Q83" i="4" s="1"/>
  <c r="O84" i="4" l="1"/>
  <c r="P84" i="4" s="1"/>
  <c r="Q84" i="4" s="1"/>
  <c r="O85" i="4" l="1"/>
  <c r="P85" i="4" s="1"/>
  <c r="Q85" i="4" s="1"/>
  <c r="O86" i="4" l="1"/>
  <c r="P86" i="4" s="1"/>
  <c r="Q86" i="4"/>
  <c r="G8" i="4" a="1"/>
  <c r="G8" i="4" s="1"/>
  <c r="I8" i="4" s="1"/>
  <c r="J8" i="4" s="1"/>
  <c r="K8" i="4" s="1"/>
  <c r="O87" i="4" l="1"/>
  <c r="P87" i="4" s="1"/>
  <c r="Q87" i="4"/>
  <c r="O88" i="4" l="1"/>
  <c r="P88" i="4" s="1"/>
  <c r="Q88" i="4" s="1"/>
  <c r="O89" i="4" l="1"/>
  <c r="P89" i="4" s="1"/>
  <c r="Q89" i="4"/>
  <c r="O90" i="4" l="1"/>
  <c r="P90" i="4" s="1"/>
  <c r="Q90" i="4" s="1"/>
  <c r="O91" i="4" l="1"/>
  <c r="P91" i="4" s="1"/>
  <c r="Q91" i="4"/>
  <c r="O92" i="4" l="1"/>
  <c r="P92" i="4" s="1"/>
  <c r="Q92" i="4" s="1"/>
  <c r="O93" i="4" l="1"/>
  <c r="P93" i="4" s="1"/>
  <c r="Q93" i="4" s="1"/>
  <c r="O94" i="4" l="1"/>
  <c r="P94" i="4" s="1"/>
  <c r="Q94" i="4"/>
  <c r="O95" i="4" l="1"/>
  <c r="P95" i="4" s="1"/>
  <c r="Q95" i="4" s="1"/>
  <c r="O96" i="4" l="1"/>
  <c r="P96" i="4" s="1"/>
  <c r="Q96" i="4" s="1"/>
  <c r="O97" i="4" l="1"/>
  <c r="P97" i="4" s="1"/>
  <c r="Q97" i="4" s="1"/>
  <c r="O98" i="4" l="1"/>
  <c r="P98" i="4" s="1"/>
  <c r="Q98" i="4"/>
  <c r="G9" i="4" a="1"/>
  <c r="G9" i="4" s="1"/>
  <c r="I9" i="4" s="1"/>
  <c r="J9" i="4" s="1"/>
  <c r="K9" i="4" s="1"/>
  <c r="O99" i="4" l="1"/>
  <c r="P99" i="4" s="1"/>
  <c r="Q99" i="4" s="1"/>
  <c r="O100" i="4" l="1"/>
  <c r="P100" i="4" s="1"/>
  <c r="Q100" i="4" s="1"/>
  <c r="O101" i="4" l="1"/>
  <c r="P101" i="4" s="1"/>
  <c r="Q101" i="4" s="1"/>
  <c r="O102" i="4" l="1"/>
  <c r="P102" i="4" s="1"/>
  <c r="Q102" i="4" s="1"/>
  <c r="O103" i="4" l="1"/>
  <c r="P103" i="4" s="1"/>
  <c r="Q103" i="4"/>
  <c r="O104" i="4" l="1"/>
  <c r="P104" i="4" s="1"/>
  <c r="Q104" i="4" s="1"/>
  <c r="O105" i="4" l="1"/>
  <c r="P105" i="4" s="1"/>
  <c r="Q105" i="4"/>
  <c r="O106" i="4" l="1"/>
  <c r="P106" i="4" s="1"/>
  <c r="Q106" i="4"/>
  <c r="O107" i="4" l="1"/>
  <c r="P107" i="4" s="1"/>
  <c r="Q107" i="4" s="1"/>
  <c r="O108" i="4" l="1"/>
  <c r="P108" i="4" s="1"/>
  <c r="Q108" i="4" s="1"/>
  <c r="O109" i="4" l="1"/>
  <c r="P109" i="4" s="1"/>
  <c r="Q109" i="4" s="1"/>
  <c r="O110" i="4" l="1"/>
  <c r="P110" i="4" s="1"/>
  <c r="Q110" i="4"/>
  <c r="G10" i="4" a="1"/>
  <c r="G10" i="4" s="1"/>
  <c r="I10" i="4" s="1"/>
  <c r="J10" i="4" s="1"/>
  <c r="K10" i="4" s="1"/>
  <c r="O111" i="4" l="1"/>
  <c r="P111" i="4" s="1"/>
  <c r="Q111" i="4" s="1"/>
  <c r="O112" i="4" l="1"/>
  <c r="P112" i="4" s="1"/>
  <c r="Q112" i="4" s="1"/>
  <c r="O113" i="4" l="1"/>
  <c r="P113" i="4" s="1"/>
  <c r="Q113" i="4" s="1"/>
  <c r="O114" i="4" l="1"/>
  <c r="P114" i="4" s="1"/>
  <c r="Q114" i="4"/>
  <c r="O115" i="4" l="1"/>
  <c r="P115" i="4" s="1"/>
  <c r="Q115" i="4" s="1"/>
  <c r="O116" i="4" l="1"/>
  <c r="P116" i="4" s="1"/>
  <c r="Q116" i="4" s="1"/>
  <c r="O117" i="4" l="1"/>
  <c r="P117" i="4" s="1"/>
  <c r="Q117" i="4" s="1"/>
  <c r="O118" i="4" l="1"/>
  <c r="P118" i="4" s="1"/>
  <c r="Q118" i="4" s="1"/>
  <c r="O119" i="4" l="1"/>
  <c r="P119" i="4" s="1"/>
  <c r="Q119" i="4"/>
  <c r="O120" i="4" l="1"/>
  <c r="P120" i="4" s="1"/>
  <c r="Q120" i="4" s="1"/>
  <c r="O121" i="4" l="1"/>
  <c r="P121" i="4" s="1"/>
  <c r="Q121" i="4"/>
  <c r="O122" i="4" l="1"/>
  <c r="P122" i="4" s="1"/>
  <c r="Q122" i="4" s="1"/>
  <c r="G11" i="4" a="1"/>
  <c r="G11" i="4" s="1"/>
  <c r="I11" i="4" s="1"/>
  <c r="J11" i="4" s="1"/>
  <c r="K11" i="4" s="1"/>
  <c r="O123" i="4" l="1"/>
  <c r="P123" i="4" s="1"/>
  <c r="Q123" i="4" s="1"/>
  <c r="O124" i="4" l="1"/>
  <c r="P124" i="4" s="1"/>
  <c r="Q124" i="4" s="1"/>
  <c r="O125" i="4" l="1"/>
  <c r="P125" i="4" s="1"/>
  <c r="Q125" i="4" s="1"/>
  <c r="O126" i="4" l="1"/>
  <c r="P126" i="4" s="1"/>
  <c r="Q126" i="4" s="1"/>
  <c r="O127" i="4" l="1"/>
  <c r="P127" i="4" s="1"/>
  <c r="Q127" i="4" s="1"/>
  <c r="O128" i="4" l="1"/>
  <c r="P128" i="4" s="1"/>
  <c r="Q128" i="4" s="1"/>
  <c r="O129" i="4" l="1"/>
  <c r="P129" i="4" s="1"/>
  <c r="Q129" i="4" s="1"/>
  <c r="O130" i="4" l="1"/>
  <c r="P130" i="4" s="1"/>
  <c r="Q130" i="4"/>
  <c r="O131" i="4" l="1"/>
  <c r="P131" i="4" s="1"/>
  <c r="Q131" i="4" s="1"/>
  <c r="O132" i="4" l="1"/>
  <c r="P132" i="4" s="1"/>
  <c r="Q132" i="4" s="1"/>
  <c r="O133" i="4" l="1"/>
  <c r="P133" i="4" s="1"/>
  <c r="Q133" i="4" s="1"/>
  <c r="O134" i="4" l="1"/>
  <c r="P134" i="4" s="1"/>
  <c r="Q134" i="4"/>
  <c r="G12" i="4" a="1"/>
  <c r="G12" i="4" s="1"/>
  <c r="I12" i="4" s="1"/>
  <c r="J12" i="4" s="1"/>
  <c r="K12" i="4" s="1"/>
  <c r="O135" i="4" l="1"/>
  <c r="P135" i="4" s="1"/>
  <c r="Q135" i="4" s="1"/>
  <c r="Q136" i="4" l="1"/>
  <c r="O136" i="4"/>
  <c r="P136" i="4" s="1"/>
  <c r="O137" i="4" l="1"/>
  <c r="P137" i="4" s="1"/>
  <c r="Q137" i="4"/>
  <c r="O138" i="4" l="1"/>
  <c r="P138" i="4" s="1"/>
  <c r="Q138" i="4" s="1"/>
  <c r="O139" i="4" l="1"/>
  <c r="P139" i="4" s="1"/>
  <c r="Q139" i="4" s="1"/>
  <c r="O140" i="4" l="1"/>
  <c r="P140" i="4" s="1"/>
  <c r="Q140" i="4" s="1"/>
  <c r="O141" i="4" l="1"/>
  <c r="P141" i="4" s="1"/>
  <c r="Q141" i="4" s="1"/>
  <c r="O142" i="4" l="1"/>
  <c r="P142" i="4" s="1"/>
  <c r="Q142" i="4" s="1"/>
  <c r="O143" i="4" l="1"/>
  <c r="P143" i="4" s="1"/>
  <c r="Q143" i="4" s="1"/>
  <c r="O144" i="4" l="1"/>
  <c r="P144" i="4" s="1"/>
  <c r="Q144" i="4" s="1"/>
  <c r="O145" i="4" l="1"/>
  <c r="P145" i="4" s="1"/>
  <c r="Q145" i="4" s="1"/>
  <c r="O146" i="4" l="1"/>
  <c r="P146" i="4" s="1"/>
  <c r="Q146" i="4"/>
  <c r="G13" i="4" a="1"/>
  <c r="G13" i="4" s="1"/>
  <c r="I13" i="4" s="1"/>
  <c r="J13" i="4" s="1"/>
  <c r="K13" i="4" s="1"/>
  <c r="O147" i="4" l="1"/>
  <c r="P147" i="4" s="1"/>
  <c r="Q147" i="4" s="1"/>
  <c r="O148" i="4" l="1"/>
  <c r="P148" i="4" s="1"/>
  <c r="Q148" i="4" s="1"/>
  <c r="O149" i="4" l="1"/>
  <c r="P149" i="4" s="1"/>
  <c r="Q149" i="4" s="1"/>
  <c r="O150" i="4" l="1"/>
  <c r="P150" i="4" s="1"/>
  <c r="Q150" i="4"/>
  <c r="O151" i="4" l="1"/>
  <c r="P151" i="4" s="1"/>
  <c r="Q151" i="4"/>
  <c r="O152" i="4" l="1"/>
  <c r="P152" i="4" s="1"/>
  <c r="Q152" i="4" s="1"/>
  <c r="O153" i="4" l="1"/>
  <c r="P153" i="4" s="1"/>
  <c r="Q153" i="4" s="1"/>
  <c r="O154" i="4" l="1"/>
  <c r="P154" i="4" s="1"/>
  <c r="Q154" i="4" s="1"/>
  <c r="O155" i="4" l="1"/>
  <c r="P155" i="4" s="1"/>
  <c r="Q155" i="4" s="1"/>
  <c r="O156" i="4" l="1"/>
  <c r="P156" i="4" s="1"/>
  <c r="Q156" i="4" s="1"/>
  <c r="O157" i="4" l="1"/>
  <c r="P157" i="4" s="1"/>
  <c r="Q157" i="4" s="1"/>
  <c r="O158" i="4" l="1"/>
  <c r="P158" i="4" s="1"/>
  <c r="Q158" i="4" s="1"/>
  <c r="G14" i="4" a="1"/>
  <c r="G14" i="4" s="1"/>
  <c r="I14" i="4" s="1"/>
  <c r="J14" i="4" s="1"/>
  <c r="K14" i="4" s="1"/>
  <c r="O159" i="4" l="1"/>
  <c r="P159" i="4" s="1"/>
  <c r="Q159" i="4" s="1"/>
  <c r="O160" i="4" l="1"/>
  <c r="P160" i="4" s="1"/>
  <c r="Q160" i="4" s="1"/>
  <c r="O161" i="4" l="1"/>
  <c r="P161" i="4" s="1"/>
  <c r="Q161" i="4" s="1"/>
  <c r="O162" i="4" l="1"/>
  <c r="P162" i="4" s="1"/>
  <c r="Q162" i="4" s="1"/>
  <c r="O163" i="4" l="1"/>
  <c r="P163" i="4" s="1"/>
  <c r="Q163" i="4" s="1"/>
  <c r="O164" i="4" l="1"/>
  <c r="P164" i="4" s="1"/>
  <c r="Q164" i="4" s="1"/>
  <c r="O165" i="4" l="1"/>
  <c r="P165" i="4" s="1"/>
  <c r="Q165" i="4" s="1"/>
  <c r="O166" i="4" l="1"/>
  <c r="P166" i="4" s="1"/>
  <c r="Q166" i="4" s="1"/>
  <c r="O167" i="4" l="1"/>
  <c r="P167" i="4" s="1"/>
  <c r="Q167" i="4" s="1"/>
  <c r="O168" i="4" l="1"/>
  <c r="P168" i="4" s="1"/>
  <c r="Q168" i="4" s="1"/>
  <c r="O169" i="4" l="1"/>
  <c r="P169" i="4" s="1"/>
  <c r="Q169" i="4"/>
  <c r="O170" i="4" l="1"/>
  <c r="P170" i="4" s="1"/>
  <c r="Q170" i="4"/>
  <c r="G15" i="4" a="1"/>
  <c r="G15" i="4" s="1"/>
  <c r="I15" i="4" s="1"/>
  <c r="J15" i="4" s="1"/>
  <c r="K15" i="4" s="1"/>
  <c r="O171" i="4" l="1"/>
  <c r="P171" i="4" s="1"/>
  <c r="Q171" i="4" s="1"/>
  <c r="O172" i="4" l="1"/>
  <c r="P172" i="4" s="1"/>
  <c r="Q172" i="4" s="1"/>
  <c r="O173" i="4" l="1"/>
  <c r="P173" i="4" s="1"/>
  <c r="Q173" i="4" s="1"/>
  <c r="O174" i="4" l="1"/>
  <c r="P174" i="4" s="1"/>
  <c r="Q174" i="4" s="1"/>
  <c r="O175" i="4" l="1"/>
  <c r="P175" i="4" s="1"/>
  <c r="Q175" i="4" s="1"/>
  <c r="O176" i="4" l="1"/>
  <c r="P176" i="4" s="1"/>
  <c r="Q176" i="4" s="1"/>
  <c r="O177" i="4" l="1"/>
  <c r="P177" i="4" s="1"/>
  <c r="Q177" i="4" s="1"/>
  <c r="O178" i="4" l="1"/>
  <c r="P178" i="4" s="1"/>
  <c r="Q178" i="4" s="1"/>
  <c r="O179" i="4" l="1"/>
  <c r="P179" i="4" s="1"/>
  <c r="Q179" i="4" s="1"/>
  <c r="O180" i="4" l="1"/>
  <c r="P180" i="4" s="1"/>
  <c r="Q180" i="4" s="1"/>
  <c r="O181" i="4" l="1"/>
  <c r="P181" i="4" s="1"/>
  <c r="Q181" i="4" s="1"/>
  <c r="O182" i="4" l="1"/>
  <c r="P182" i="4" s="1"/>
  <c r="Q182" i="4" s="1"/>
  <c r="G16" i="4" a="1"/>
  <c r="G16" i="4" s="1"/>
  <c r="I16" i="4" s="1"/>
  <c r="J16" i="4" s="1"/>
  <c r="K16" i="4" s="1"/>
  <c r="O183" i="4" l="1"/>
  <c r="P183" i="4" s="1"/>
  <c r="Q183" i="4" s="1"/>
  <c r="O184" i="4" l="1"/>
  <c r="P184" i="4" s="1"/>
  <c r="Q184" i="4" s="1"/>
  <c r="O185" i="4" l="1"/>
  <c r="P185" i="4" s="1"/>
  <c r="Q185" i="4" s="1"/>
  <c r="O186" i="4" l="1"/>
  <c r="P186" i="4" s="1"/>
  <c r="Q186" i="4" s="1"/>
  <c r="O187" i="4" l="1"/>
  <c r="P187" i="4" s="1"/>
  <c r="Q187" i="4" s="1"/>
  <c r="O188" i="4" l="1"/>
  <c r="P188" i="4" s="1"/>
  <c r="Q188" i="4" s="1"/>
  <c r="O189" i="4" l="1"/>
  <c r="P189" i="4" s="1"/>
  <c r="Q189" i="4" s="1"/>
  <c r="O190" i="4" l="1"/>
  <c r="P190" i="4" s="1"/>
  <c r="Q190" i="4"/>
  <c r="O191" i="4" l="1"/>
  <c r="P191" i="4" s="1"/>
  <c r="Q191" i="4" s="1"/>
  <c r="O192" i="4" l="1"/>
  <c r="P192" i="4" s="1"/>
  <c r="Q192" i="4" s="1"/>
  <c r="O193" i="4" l="1"/>
  <c r="P193" i="4" s="1"/>
  <c r="Q193" i="4" s="1"/>
  <c r="O194" i="4" l="1"/>
  <c r="P194" i="4" s="1"/>
  <c r="Q194" i="4" s="1"/>
  <c r="G17" i="4" a="1"/>
  <c r="G17" i="4" s="1"/>
  <c r="I17" i="4" s="1"/>
  <c r="J17" i="4" s="1"/>
  <c r="K17" i="4" s="1"/>
  <c r="O195" i="4" l="1"/>
  <c r="P195" i="4" s="1"/>
  <c r="Q195" i="4" s="1"/>
  <c r="O196" i="4" l="1"/>
  <c r="P196" i="4" s="1"/>
  <c r="Q196" i="4" s="1"/>
  <c r="O197" i="4" l="1"/>
  <c r="P197" i="4" s="1"/>
  <c r="Q197" i="4"/>
  <c r="O198" i="4" l="1"/>
  <c r="P198" i="4" s="1"/>
  <c r="Q198" i="4" s="1"/>
  <c r="O199" i="4" l="1"/>
  <c r="P199" i="4" s="1"/>
  <c r="Q199" i="4" s="1"/>
  <c r="O200" i="4" l="1"/>
  <c r="P200" i="4" s="1"/>
  <c r="Q200" i="4"/>
  <c r="O201" i="4" l="1"/>
  <c r="P201" i="4" s="1"/>
  <c r="Q201" i="4" s="1"/>
  <c r="O202" i="4" l="1"/>
  <c r="P202" i="4" s="1"/>
  <c r="Q202" i="4"/>
  <c r="O203" i="4" l="1"/>
  <c r="P203" i="4" s="1"/>
  <c r="Q203" i="4" s="1"/>
  <c r="O204" i="4" l="1"/>
  <c r="P204" i="4" s="1"/>
  <c r="Q204" i="4" s="1"/>
  <c r="O205" i="4" l="1"/>
  <c r="P205" i="4" s="1"/>
  <c r="Q205" i="4" s="1"/>
  <c r="O206" i="4" l="1"/>
  <c r="P206" i="4" s="1"/>
  <c r="Q206" i="4" s="1"/>
  <c r="G18" i="4" a="1"/>
  <c r="G18" i="4" s="1"/>
  <c r="I18" i="4" s="1"/>
  <c r="J18" i="4" s="1"/>
  <c r="K18" i="4" s="1"/>
  <c r="O207" i="4" l="1"/>
  <c r="P207" i="4" s="1"/>
  <c r="Q207" i="4" s="1"/>
  <c r="O208" i="4" l="1"/>
  <c r="P208" i="4" s="1"/>
  <c r="Q208" i="4" s="1"/>
  <c r="O209" i="4" l="1"/>
  <c r="P209" i="4" s="1"/>
  <c r="Q209" i="4" s="1"/>
  <c r="O210" i="4" l="1"/>
  <c r="P210" i="4" s="1"/>
  <c r="Q210" i="4" s="1"/>
  <c r="O211" i="4" l="1"/>
  <c r="P211" i="4" s="1"/>
  <c r="Q211" i="4" s="1"/>
  <c r="O212" i="4" l="1"/>
  <c r="P212" i="4" s="1"/>
  <c r="Q212" i="4" s="1"/>
  <c r="O213" i="4" l="1"/>
  <c r="P213" i="4" s="1"/>
  <c r="Q213" i="4" s="1"/>
  <c r="O214" i="4" l="1"/>
  <c r="P214" i="4" s="1"/>
  <c r="Q214" i="4" s="1"/>
  <c r="O215" i="4" l="1"/>
  <c r="P215" i="4" s="1"/>
  <c r="Q215" i="4" s="1"/>
  <c r="O216" i="4" l="1"/>
  <c r="P216" i="4" s="1"/>
  <c r="Q216" i="4" s="1"/>
  <c r="O217" i="4" l="1"/>
  <c r="P217" i="4" s="1"/>
  <c r="Q217" i="4" s="1"/>
  <c r="O218" i="4" l="1"/>
  <c r="P218" i="4" s="1"/>
  <c r="Q218" i="4" s="1"/>
  <c r="G19" i="4" a="1"/>
  <c r="G19" i="4" s="1"/>
  <c r="I19" i="4" s="1"/>
  <c r="J19" i="4" s="1"/>
  <c r="K19" i="4" s="1"/>
  <c r="O219" i="4" l="1"/>
  <c r="P219" i="4" s="1"/>
  <c r="Q219" i="4" s="1"/>
  <c r="O220" i="4" l="1"/>
  <c r="P220" i="4" s="1"/>
  <c r="Q220" i="4" s="1"/>
  <c r="O221" i="4" l="1"/>
  <c r="P221" i="4" s="1"/>
  <c r="Q221" i="4" s="1"/>
  <c r="O222" i="4" l="1"/>
  <c r="P222" i="4" s="1"/>
  <c r="Q222" i="4" s="1"/>
  <c r="O223" i="4" l="1"/>
  <c r="P223" i="4" s="1"/>
  <c r="Q223" i="4" s="1"/>
  <c r="O224" i="4" l="1"/>
  <c r="P224" i="4" s="1"/>
  <c r="Q224" i="4" s="1"/>
  <c r="O225" i="4" l="1"/>
  <c r="P225" i="4" s="1"/>
  <c r="Q225" i="4" s="1"/>
  <c r="O226" i="4" l="1"/>
  <c r="P226" i="4" s="1"/>
  <c r="Q226" i="4" s="1"/>
  <c r="O227" i="4" l="1"/>
  <c r="P227" i="4" s="1"/>
  <c r="Q227" i="4" s="1"/>
  <c r="O228" i="4" l="1"/>
  <c r="P228" i="4" s="1"/>
  <c r="Q228" i="4" s="1"/>
  <c r="O229" i="4" l="1"/>
  <c r="P229" i="4" s="1"/>
  <c r="Q229" i="4"/>
  <c r="O230" i="4" l="1"/>
  <c r="P230" i="4" s="1"/>
  <c r="Q230" i="4" s="1"/>
  <c r="G20" i="4" a="1"/>
  <c r="G20" i="4" s="1"/>
  <c r="I20" i="4" s="1"/>
  <c r="J20" i="4" s="1"/>
  <c r="K20" i="4" s="1"/>
  <c r="O231" i="4" l="1"/>
  <c r="P231" i="4" s="1"/>
  <c r="Q231" i="4" s="1"/>
  <c r="O232" i="4" l="1"/>
  <c r="P232" i="4" s="1"/>
  <c r="Q232" i="4" s="1"/>
  <c r="O233" i="4" l="1"/>
  <c r="P233" i="4" s="1"/>
  <c r="Q233" i="4" s="1"/>
  <c r="O234" i="4" l="1"/>
  <c r="P234" i="4" s="1"/>
  <c r="Q234" i="4"/>
  <c r="O235" i="4" l="1"/>
  <c r="P235" i="4" s="1"/>
  <c r="Q235" i="4" s="1"/>
  <c r="O236" i="4" l="1"/>
  <c r="P236" i="4" s="1"/>
  <c r="Q236" i="4" s="1"/>
  <c r="O237" i="4" l="1"/>
  <c r="P237" i="4" s="1"/>
  <c r="Q237" i="4" s="1"/>
  <c r="O238" i="4" l="1"/>
  <c r="P238" i="4" s="1"/>
  <c r="Q238" i="4" s="1"/>
  <c r="O239" i="4" l="1"/>
  <c r="P239" i="4" s="1"/>
  <c r="Q239" i="4" s="1"/>
  <c r="O240" i="4" l="1"/>
  <c r="P240" i="4" s="1"/>
  <c r="Q240" i="4" s="1"/>
  <c r="O241" i="4" l="1"/>
  <c r="P241" i="4" s="1"/>
  <c r="Q241" i="4" s="1"/>
  <c r="O242" i="4" l="1"/>
  <c r="P242" i="4" s="1"/>
  <c r="Q242" i="4" s="1"/>
  <c r="G21" i="4" a="1"/>
  <c r="G21" i="4" s="1"/>
  <c r="I21" i="4" s="1"/>
  <c r="J21" i="4" s="1"/>
  <c r="K21" i="4" s="1"/>
  <c r="O243" i="4" l="1"/>
  <c r="P243" i="4" s="1"/>
  <c r="Q243" i="4" s="1"/>
  <c r="O244" i="4" l="1"/>
  <c r="P244" i="4" s="1"/>
  <c r="Q244" i="4" s="1"/>
  <c r="O245" i="4" l="1"/>
  <c r="P245" i="4" s="1"/>
  <c r="Q245" i="4" s="1"/>
  <c r="O246" i="4" l="1"/>
  <c r="P246" i="4" s="1"/>
  <c r="Q246" i="4" s="1"/>
  <c r="O247" i="4" l="1"/>
  <c r="P247" i="4" s="1"/>
  <c r="Q247" i="4"/>
  <c r="O248" i="4" l="1"/>
  <c r="P248" i="4" s="1"/>
  <c r="Q248" i="4" s="1"/>
  <c r="O249" i="4" l="1"/>
  <c r="P249" i="4" s="1"/>
  <c r="Q249" i="4" s="1"/>
  <c r="O250" i="4" l="1"/>
  <c r="P250" i="4" s="1"/>
  <c r="Q250" i="4" s="1"/>
  <c r="O251" i="4" l="1"/>
  <c r="P251" i="4" s="1"/>
  <c r="Q251" i="4" s="1"/>
  <c r="O252" i="4" l="1"/>
  <c r="P252" i="4" s="1"/>
  <c r="Q252" i="4" s="1"/>
  <c r="Q253" i="4" l="1"/>
  <c r="O253" i="4"/>
  <c r="P253" i="4" s="1"/>
  <c r="O254" i="4" l="1"/>
  <c r="P254" i="4" s="1"/>
  <c r="Q254" i="4" s="1"/>
  <c r="G22" i="4" a="1"/>
  <c r="G22" i="4" s="1"/>
  <c r="I22" i="4" s="1"/>
  <c r="J22" i="4" s="1"/>
  <c r="K22" i="4" s="1"/>
  <c r="O255" i="4" l="1"/>
  <c r="P255" i="4" s="1"/>
  <c r="Q255" i="4" s="1"/>
  <c r="O256" i="4" l="1"/>
  <c r="P256" i="4" s="1"/>
  <c r="Q256" i="4" s="1"/>
  <c r="O257" i="4" l="1"/>
  <c r="P257" i="4" s="1"/>
  <c r="Q257" i="4" s="1"/>
  <c r="O258" i="4" l="1"/>
  <c r="P258" i="4" s="1"/>
  <c r="Q258" i="4" s="1"/>
  <c r="O259" i="4" l="1"/>
  <c r="P259" i="4" s="1"/>
  <c r="Q259" i="4"/>
  <c r="O260" i="4" l="1"/>
  <c r="P260" i="4" s="1"/>
  <c r="Q260" i="4" s="1"/>
  <c r="O261" i="4" l="1"/>
  <c r="P261" i="4" s="1"/>
  <c r="Q261" i="4" s="1"/>
  <c r="O262" i="4" l="1"/>
  <c r="P262" i="4" s="1"/>
  <c r="Q262" i="4"/>
  <c r="O263" i="4" l="1"/>
  <c r="P263" i="4" s="1"/>
  <c r="Q263" i="4" s="1"/>
  <c r="O264" i="4" l="1"/>
  <c r="P264" i="4" s="1"/>
  <c r="Q264" i="4" s="1"/>
  <c r="O265" i="4" l="1"/>
  <c r="P265" i="4" s="1"/>
  <c r="Q265" i="4" s="1"/>
  <c r="O266" i="4" l="1"/>
  <c r="P266" i="4" s="1"/>
  <c r="Q266" i="4" s="1"/>
  <c r="G23" i="4" a="1"/>
  <c r="G23" i="4" s="1"/>
  <c r="I23" i="4" s="1"/>
  <c r="J23" i="4" s="1"/>
  <c r="K23" i="4" s="1"/>
  <c r="O267" i="4" l="1"/>
  <c r="P267" i="4" s="1"/>
  <c r="Q267" i="4" s="1"/>
  <c r="O268" i="4" l="1"/>
  <c r="P268" i="4" s="1"/>
  <c r="Q268" i="4" s="1"/>
  <c r="O269" i="4" l="1"/>
  <c r="P269" i="4" s="1"/>
  <c r="Q269" i="4" s="1"/>
  <c r="O270" i="4" l="1"/>
  <c r="P270" i="4" s="1"/>
  <c r="Q270" i="4"/>
  <c r="O271" i="4" l="1"/>
  <c r="P271" i="4" s="1"/>
  <c r="Q271" i="4"/>
  <c r="O272" i="4" l="1"/>
  <c r="P272" i="4" s="1"/>
  <c r="Q272" i="4" s="1"/>
  <c r="O273" i="4" l="1"/>
  <c r="P273" i="4" s="1"/>
  <c r="Q273" i="4" s="1"/>
  <c r="O274" i="4" l="1"/>
  <c r="P274" i="4" s="1"/>
  <c r="Q274" i="4" s="1"/>
  <c r="O275" i="4" l="1"/>
  <c r="P275" i="4" s="1"/>
  <c r="Q275" i="4"/>
  <c r="O276" i="4" l="1"/>
  <c r="P276" i="4" s="1"/>
  <c r="Q276" i="4" s="1"/>
  <c r="O277" i="4" l="1"/>
  <c r="P277" i="4" s="1"/>
  <c r="Q277" i="4" s="1"/>
  <c r="O278" i="4" l="1"/>
  <c r="P278" i="4" s="1"/>
  <c r="Q278" i="4" s="1"/>
  <c r="G24" i="4" a="1"/>
  <c r="G24" i="4" s="1"/>
  <c r="I24" i="4" s="1"/>
  <c r="J24" i="4" s="1"/>
  <c r="K24" i="4" s="1"/>
  <c r="O279" i="4" l="1"/>
  <c r="P279" i="4" s="1"/>
  <c r="Q279" i="4"/>
  <c r="O280" i="4" l="1"/>
  <c r="P280" i="4" s="1"/>
  <c r="Q280" i="4" s="1"/>
  <c r="O281" i="4" l="1"/>
  <c r="P281" i="4" s="1"/>
  <c r="Q281" i="4" s="1"/>
  <c r="O282" i="4" l="1"/>
  <c r="P282" i="4" s="1"/>
  <c r="Q282" i="4"/>
  <c r="O283" i="4" l="1"/>
  <c r="P283" i="4" s="1"/>
  <c r="Q283" i="4"/>
  <c r="O284" i="4" l="1"/>
  <c r="P284" i="4" s="1"/>
  <c r="Q284" i="4"/>
  <c r="O285" i="4" l="1"/>
  <c r="P285" i="4" s="1"/>
  <c r="Q285" i="4" s="1"/>
  <c r="O286" i="4" l="1"/>
  <c r="P286" i="4" s="1"/>
  <c r="Q286" i="4" s="1"/>
  <c r="O287" i="4" l="1"/>
  <c r="P287" i="4" s="1"/>
  <c r="Q287" i="4"/>
  <c r="O288" i="4" l="1"/>
  <c r="P288" i="4" s="1"/>
  <c r="Q288" i="4" s="1"/>
  <c r="O289" i="4" l="1"/>
  <c r="P289" i="4" s="1"/>
  <c r="Q289" i="4" s="1"/>
  <c r="O290" i="4" l="1"/>
  <c r="P290" i="4" s="1"/>
  <c r="Q290" i="4" s="1"/>
  <c r="G25" i="4" a="1"/>
  <c r="G25" i="4" s="1"/>
  <c r="I25" i="4" s="1"/>
  <c r="J25" i="4" s="1"/>
  <c r="K25" i="4" s="1"/>
  <c r="O291" i="4" l="1"/>
  <c r="P291" i="4" s="1"/>
  <c r="Q291" i="4"/>
  <c r="O292" i="4" l="1"/>
  <c r="P292" i="4" s="1"/>
  <c r="Q292" i="4" s="1"/>
  <c r="O293" i="4" l="1"/>
  <c r="P293" i="4" s="1"/>
  <c r="Q293" i="4" s="1"/>
  <c r="O294" i="4" l="1"/>
  <c r="P294" i="4" s="1"/>
  <c r="Q294" i="4" s="1"/>
  <c r="O295" i="4" l="1"/>
  <c r="P295" i="4" s="1"/>
  <c r="Q295" i="4"/>
  <c r="O296" i="4" l="1"/>
  <c r="P296" i="4" s="1"/>
  <c r="Q296" i="4" s="1"/>
  <c r="O297" i="4" l="1"/>
  <c r="P297" i="4" s="1"/>
  <c r="Q297" i="4" s="1"/>
  <c r="O298" i="4" l="1"/>
  <c r="P298" i="4" s="1"/>
  <c r="Q298" i="4" s="1"/>
  <c r="O299" i="4" l="1"/>
  <c r="P299" i="4" s="1"/>
  <c r="Q299" i="4" s="1"/>
  <c r="O300" i="4" l="1"/>
  <c r="P300" i="4" s="1"/>
  <c r="Q300" i="4" s="1"/>
  <c r="O301" i="4" l="1"/>
  <c r="P301" i="4" s="1"/>
  <c r="Q301" i="4" s="1"/>
  <c r="O302" i="4" l="1"/>
  <c r="P302" i="4" s="1"/>
  <c r="Q302" i="4"/>
  <c r="G26" i="4" a="1"/>
  <c r="G26" i="4" s="1"/>
  <c r="I26" i="4" s="1"/>
  <c r="J26" i="4" s="1"/>
  <c r="K26" i="4" s="1"/>
  <c r="O303" i="4" l="1"/>
  <c r="P303" i="4" s="1"/>
  <c r="Q303" i="4" s="1"/>
  <c r="O304" i="4" l="1"/>
  <c r="P304" i="4" s="1"/>
  <c r="Q304" i="4" s="1"/>
  <c r="O305" i="4" l="1"/>
  <c r="P305" i="4" s="1"/>
  <c r="Q305" i="4" s="1"/>
  <c r="O306" i="4" l="1"/>
  <c r="P306" i="4" s="1"/>
  <c r="Q306" i="4" s="1"/>
  <c r="O307" i="4" l="1"/>
  <c r="P307" i="4" s="1"/>
  <c r="Q307" i="4"/>
  <c r="O308" i="4" l="1"/>
  <c r="P308" i="4" s="1"/>
  <c r="Q308" i="4" s="1"/>
  <c r="O309" i="4" l="1"/>
  <c r="P309" i="4" s="1"/>
  <c r="Q309" i="4" s="1"/>
  <c r="O310" i="4" l="1"/>
  <c r="P310" i="4" s="1"/>
  <c r="Q310" i="4" s="1"/>
  <c r="O311" i="4" l="1"/>
  <c r="P311" i="4" s="1"/>
  <c r="Q311" i="4" s="1"/>
  <c r="O312" i="4" l="1"/>
  <c r="P312" i="4" s="1"/>
  <c r="Q312" i="4"/>
  <c r="O313" i="4" l="1"/>
  <c r="P313" i="4" s="1"/>
  <c r="Q313" i="4" s="1"/>
  <c r="O314" i="4" l="1"/>
  <c r="P314" i="4" s="1"/>
  <c r="Q314" i="4" s="1"/>
  <c r="G27" i="4" a="1"/>
  <c r="G27" i="4" s="1"/>
  <c r="I27" i="4" s="1"/>
  <c r="J27" i="4" s="1"/>
  <c r="K27" i="4" s="1"/>
  <c r="O315" i="4" l="1"/>
  <c r="P315" i="4" s="1"/>
  <c r="Q315" i="4"/>
  <c r="O316" i="4" l="1"/>
  <c r="P316" i="4" s="1"/>
  <c r="Q316" i="4" s="1"/>
  <c r="O317" i="4" l="1"/>
  <c r="P317" i="4" s="1"/>
  <c r="Q317" i="4"/>
  <c r="O318" i="4" l="1"/>
  <c r="P318" i="4" s="1"/>
  <c r="Q318" i="4" s="1"/>
  <c r="O319" i="4" l="1"/>
  <c r="P319" i="4" s="1"/>
  <c r="Q319" i="4" s="1"/>
  <c r="O320" i="4" l="1"/>
  <c r="P320" i="4" s="1"/>
  <c r="Q320" i="4"/>
  <c r="O321" i="4" l="1"/>
  <c r="P321" i="4" s="1"/>
  <c r="Q321" i="4" s="1"/>
  <c r="O322" i="4" l="1"/>
  <c r="P322" i="4" s="1"/>
  <c r="Q322" i="4" s="1"/>
  <c r="O323" i="4" l="1"/>
  <c r="P323" i="4" s="1"/>
  <c r="Q323" i="4" s="1"/>
  <c r="O324" i="4" l="1"/>
  <c r="P324" i="4" s="1"/>
  <c r="Q324" i="4"/>
  <c r="O325" i="4" l="1"/>
  <c r="P325" i="4" s="1"/>
  <c r="Q325" i="4" s="1"/>
  <c r="O326" i="4" l="1"/>
  <c r="P326" i="4" s="1"/>
  <c r="Q326" i="4" s="1"/>
  <c r="G28" i="4" a="1"/>
  <c r="G28" i="4" s="1"/>
  <c r="I28" i="4" s="1"/>
  <c r="J28" i="4" s="1"/>
  <c r="K28" i="4" s="1"/>
  <c r="O327" i="4" l="1"/>
  <c r="P327" i="4" s="1"/>
  <c r="Q327" i="4"/>
  <c r="O328" i="4" l="1"/>
  <c r="P328" i="4" s="1"/>
  <c r="Q328" i="4"/>
  <c r="O329" i="4" l="1"/>
  <c r="P329" i="4" s="1"/>
  <c r="Q329" i="4"/>
  <c r="O330" i="4" l="1"/>
  <c r="P330" i="4" s="1"/>
  <c r="Q330" i="4" s="1"/>
  <c r="O331" i="4" l="1"/>
  <c r="P331" i="4" s="1"/>
  <c r="Q331" i="4"/>
  <c r="O332" i="4" l="1"/>
  <c r="P332" i="4" s="1"/>
  <c r="Q332" i="4"/>
  <c r="O333" i="4" l="1"/>
  <c r="P333" i="4" s="1"/>
  <c r="Q333" i="4" s="1"/>
  <c r="O334" i="4" l="1"/>
  <c r="P334" i="4" s="1"/>
  <c r="Q334" i="4" s="1"/>
  <c r="O335" i="4" l="1"/>
  <c r="P335" i="4" s="1"/>
  <c r="Q335" i="4" s="1"/>
  <c r="O336" i="4" l="1"/>
  <c r="P336" i="4" s="1"/>
  <c r="Q336" i="4" s="1"/>
  <c r="O337" i="4" l="1"/>
  <c r="P337" i="4" s="1"/>
  <c r="Q337" i="4" s="1"/>
  <c r="O338" i="4" l="1"/>
  <c r="P338" i="4" s="1"/>
  <c r="Q338" i="4" s="1"/>
  <c r="G29" i="4" a="1"/>
  <c r="G29" i="4" s="1"/>
  <c r="I29" i="4" s="1"/>
  <c r="J29" i="4" s="1"/>
  <c r="K29" i="4" s="1"/>
  <c r="O339" i="4" l="1"/>
  <c r="P339" i="4" s="1"/>
  <c r="Q339" i="4" s="1"/>
  <c r="O340" i="4" l="1"/>
  <c r="P340" i="4" s="1"/>
  <c r="Q340" i="4"/>
  <c r="O341" i="4" l="1"/>
  <c r="P341" i="4" s="1"/>
  <c r="Q341" i="4" s="1"/>
  <c r="O342" i="4" l="1"/>
  <c r="P342" i="4" s="1"/>
  <c r="Q342" i="4" s="1"/>
  <c r="O343" i="4" l="1"/>
  <c r="P343" i="4" s="1"/>
  <c r="Q343" i="4" s="1"/>
  <c r="O344" i="4" l="1"/>
  <c r="P344" i="4" s="1"/>
  <c r="Q344" i="4" s="1"/>
  <c r="O345" i="4" l="1"/>
  <c r="P345" i="4" s="1"/>
  <c r="Q345" i="4" s="1"/>
  <c r="O346" i="4" l="1"/>
  <c r="P346" i="4" s="1"/>
  <c r="Q346" i="4" s="1"/>
  <c r="O347" i="4" l="1"/>
  <c r="P347" i="4" s="1"/>
  <c r="Q347" i="4" s="1"/>
  <c r="O348" i="4" l="1"/>
  <c r="P348" i="4" s="1"/>
  <c r="Q348" i="4" s="1"/>
  <c r="O349" i="4" l="1"/>
  <c r="P349" i="4" s="1"/>
  <c r="Q349" i="4" s="1"/>
  <c r="O350" i="4" l="1"/>
  <c r="P350" i="4" s="1"/>
  <c r="Q350" i="4" s="1"/>
  <c r="G30" i="4" a="1"/>
  <c r="G30" i="4" s="1"/>
  <c r="I30" i="4" s="1"/>
  <c r="J30" i="4" s="1"/>
  <c r="K30" i="4" s="1"/>
  <c r="O351" i="4" l="1"/>
  <c r="P351" i="4" s="1"/>
  <c r="Q351" i="4" s="1"/>
  <c r="O352" i="4" l="1"/>
  <c r="P352" i="4" s="1"/>
  <c r="Q352" i="4" s="1"/>
  <c r="O353" i="4" l="1"/>
  <c r="P353" i="4" s="1"/>
  <c r="Q353" i="4" s="1"/>
  <c r="O354" i="4" l="1"/>
  <c r="P354" i="4" s="1"/>
  <c r="Q354" i="4" s="1"/>
  <c r="O355" i="4" l="1"/>
  <c r="P355" i="4" s="1"/>
  <c r="Q355" i="4" s="1"/>
  <c r="O356" i="4" l="1"/>
  <c r="P356" i="4" s="1"/>
  <c r="Q356" i="4" s="1"/>
  <c r="O357" i="4" l="1"/>
  <c r="P357" i="4" s="1"/>
  <c r="Q357" i="4" s="1"/>
  <c r="O358" i="4" l="1"/>
  <c r="P358" i="4" s="1"/>
  <c r="Q358" i="4" s="1"/>
  <c r="O359" i="4" l="1"/>
  <c r="P359" i="4" s="1"/>
  <c r="Q359" i="4" s="1"/>
  <c r="O360" i="4" l="1"/>
  <c r="P360" i="4" s="1"/>
  <c r="Q360" i="4"/>
  <c r="O361" i="4" l="1"/>
  <c r="P361" i="4" s="1"/>
  <c r="Q361" i="4" s="1"/>
  <c r="G31" i="4" s="1" a="1"/>
  <c r="G31" i="4" s="1"/>
  <c r="I31" i="4" s="1"/>
  <c r="J31" i="4" s="1"/>
  <c r="K31" i="4" s="1"/>
</calcChain>
</file>

<file path=xl/sharedStrings.xml><?xml version="1.0" encoding="utf-8"?>
<sst xmlns="http://schemas.openxmlformats.org/spreadsheetml/2006/main" count="235" uniqueCount="188">
  <si>
    <t>parent</t>
  </si>
  <si>
    <t>student</t>
  </si>
  <si>
    <t>income ($)</t>
  </si>
  <si>
    <t>Parents</t>
  </si>
  <si>
    <t>Student</t>
  </si>
  <si>
    <t>asset ($)</t>
  </si>
  <si>
    <t xml:space="preserve">State and other Tax allowance </t>
  </si>
  <si>
    <t>age</t>
  </si>
  <si>
    <t>NC</t>
  </si>
  <si>
    <t>Edu saving &amp; Asset Protect Allowance</t>
  </si>
  <si>
    <t>multiplier (%)</t>
  </si>
  <si>
    <t>Age</t>
  </si>
  <si>
    <t>Parent</t>
  </si>
  <si>
    <t>family size</t>
  </si>
  <si>
    <t># of college students</t>
  </si>
  <si>
    <t>Social Secuirty Tax</t>
  </si>
  <si>
    <t>Rate (%)</t>
  </si>
  <si>
    <t>Bracket ($)</t>
  </si>
  <si>
    <t>tax ($)</t>
  </si>
  <si>
    <t>Avaliable Income ($)</t>
  </si>
  <si>
    <t>Contribution from Asset ($)</t>
  </si>
  <si>
    <t>up to infinity</t>
  </si>
  <si>
    <t>Adjusted Avaliable Income ($)</t>
  </si>
  <si>
    <t>Income Protection Allowance</t>
  </si>
  <si>
    <t>Expected Family Contriibution ($)</t>
  </si>
  <si>
    <t>familysize</t>
  </si>
  <si>
    <t>Tuition ($)</t>
  </si>
  <si>
    <t>Duke University</t>
  </si>
  <si>
    <t>Harvard University</t>
  </si>
  <si>
    <t>Yale University</t>
  </si>
  <si>
    <t>Average</t>
  </si>
  <si>
    <t>Net worth Adjustment</t>
  </si>
  <si>
    <t>Annual Tuition ($)</t>
  </si>
  <si>
    <t>Estimated Finacial Aid ($)</t>
  </si>
  <si>
    <t>Employment Allowance</t>
  </si>
  <si>
    <t>UNC Chapel Hill</t>
  </si>
  <si>
    <t>UC State University</t>
  </si>
  <si>
    <t>Avg</t>
  </si>
  <si>
    <t>Contribution from AAI</t>
  </si>
  <si>
    <t>Annual living expense</t>
  </si>
  <si>
    <t>Federal Tax ($)</t>
  </si>
  <si>
    <t>Income ($)</t>
  </si>
  <si>
    <t>Tax Rate (%)</t>
  </si>
  <si>
    <t>Tax ($)</t>
  </si>
  <si>
    <t>Capital Gain ($)</t>
  </si>
  <si>
    <t>subtotal</t>
  </si>
  <si>
    <t>Effective Tax Rate (%)</t>
  </si>
  <si>
    <t>Federal ($)</t>
  </si>
  <si>
    <t>NC State ($)</t>
  </si>
  <si>
    <t>NC state tax ($)</t>
  </si>
  <si>
    <t>net income ($)</t>
  </si>
  <si>
    <t>univeral</t>
  </si>
  <si>
    <t>Capital Gain tax ($)</t>
  </si>
  <si>
    <t>Investment period (year)</t>
  </si>
  <si>
    <t>Kids Age</t>
  </si>
  <si>
    <t>Parent
Age</t>
  </si>
  <si>
    <t>Invest ($)</t>
  </si>
  <si>
    <t>Base</t>
  </si>
  <si>
    <t>Base+TERM</t>
  </si>
  <si>
    <t>IUL-CollegeToll</t>
  </si>
  <si>
    <t>Annual Investment ($)</t>
  </si>
  <si>
    <t>Year</t>
  </si>
  <si>
    <t>return (%)</t>
  </si>
  <si>
    <t>1st</t>
  </si>
  <si>
    <t>2nd</t>
  </si>
  <si>
    <t>Insurance Pay</t>
  </si>
  <si>
    <t>College Pay</t>
  </si>
  <si>
    <t>Estate ($)</t>
  </si>
  <si>
    <t>portfolio loan strategy ($)</t>
  </si>
  <si>
    <t>CollegeToll</t>
  </si>
  <si>
    <t>load fee</t>
  </si>
  <si>
    <t>unit charge</t>
  </si>
  <si>
    <t>insurance cost</t>
  </si>
  <si>
    <t>load credit</t>
  </si>
  <si>
    <t>insurance pay</t>
  </si>
  <si>
    <t>Policy benefit ($)</t>
  </si>
  <si>
    <t>Insurance face value ($)</t>
  </si>
  <si>
    <t>TERM period (year)</t>
  </si>
  <si>
    <t>TERM insurance annual rate (%)</t>
  </si>
  <si>
    <t>TERM insurance annual premium ($)</t>
  </si>
  <si>
    <t>Asset at important age ($)</t>
  </si>
  <si>
    <t>portfolio loan parent 65 year old</t>
  </si>
  <si>
    <t>IUL when parent 65 year old</t>
  </si>
  <si>
    <t>college toll assumption ($)</t>
  </si>
  <si>
    <t>portfolio loan interest rate (%)</t>
  </si>
  <si>
    <t>premium load fee (%)</t>
  </si>
  <si>
    <t>per unit charge (%)</t>
  </si>
  <si>
    <t>load credit (%)</t>
  </si>
  <si>
    <t>pos</t>
  </si>
  <si>
    <t>neg</t>
  </si>
  <si>
    <t>house value ($)</t>
  </si>
  <si>
    <t>outstanding loan ($)</t>
  </si>
  <si>
    <t>house price ($)</t>
  </si>
  <si>
    <t>equity value ($)</t>
  </si>
  <si>
    <t>return ($)</t>
  </si>
  <si>
    <t>Month</t>
  </si>
  <si>
    <t>Pay</t>
  </si>
  <si>
    <t>Interest</t>
  </si>
  <si>
    <t>Equity</t>
  </si>
  <si>
    <t>Outstanding loan</t>
  </si>
  <si>
    <t>downpayment (%)</t>
  </si>
  <si>
    <t>property tax (%)</t>
  </si>
  <si>
    <t>HOA per month ($)</t>
  </si>
  <si>
    <t>mortgage rate (%)</t>
  </si>
  <si>
    <t>pays</t>
  </si>
  <si>
    <t>payment term (year)</t>
  </si>
  <si>
    <t>pays/month</t>
  </si>
  <si>
    <t>months in Year</t>
  </si>
  <si>
    <t>loan amount ($)</t>
  </si>
  <si>
    <t>downpay amount ($)</t>
  </si>
  <si>
    <t>mortage app/process (%)</t>
  </si>
  <si>
    <t>($)</t>
  </si>
  <si>
    <t>realtor commission (%)</t>
  </si>
  <si>
    <t>other closing cost ($)</t>
  </si>
  <si>
    <t>closing cost ($)</t>
  </si>
  <si>
    <t>payment ($) per month</t>
  </si>
  <si>
    <t>mortgage</t>
  </si>
  <si>
    <t>property tax</t>
  </si>
  <si>
    <t>HOA</t>
  </si>
  <si>
    <t>house appreciation (%)</t>
  </si>
  <si>
    <t>rent per month ($)</t>
  </si>
  <si>
    <t>vacant months</t>
  </si>
  <si>
    <t>breakeven rent</t>
  </si>
  <si>
    <r>
      <rPr>
        <sz val="11"/>
        <color theme="1"/>
        <rFont val="Calibri"/>
      </rPr>
      <t xml:space="preserve">As long as the rent covers total montly cost, only the </t>
    </r>
    <r>
      <rPr>
        <b/>
        <sz val="11"/>
        <color theme="1"/>
        <rFont val="Calibri"/>
      </rPr>
      <t xml:space="preserve">down payment %, mortage interest rate, and housing appreciation rate </t>
    </r>
    <r>
      <rPr>
        <sz val="11"/>
        <color theme="1"/>
        <rFont val="Calibri"/>
      </rPr>
      <t>mpact the return</t>
    </r>
  </si>
  <si>
    <t>All other factors's impact is negligible</t>
  </si>
  <si>
    <t>we want down pay % and mortage rate as low as possible</t>
  </si>
  <si>
    <t>per 100000 population</t>
  </si>
  <si>
    <t>death rate (%)</t>
  </si>
  <si>
    <t>Exact Age</t>
  </si>
  <si>
    <t>death rate</t>
  </si>
  <si>
    <t>#of lives</t>
  </si>
  <si>
    <t>expectancy</t>
  </si>
  <si>
    <t>Age in years</t>
  </si>
  <si>
    <t>Total</t>
  </si>
  <si>
    <t>Male</t>
  </si>
  <si>
    <t>Female</t>
  </si>
  <si>
    <t>&lt;1</t>
  </si>
  <si>
    <t>1~14</t>
  </si>
  <si>
    <t>15~24</t>
  </si>
  <si>
    <t>25~34</t>
  </si>
  <si>
    <t>35~44</t>
  </si>
  <si>
    <t>45~54</t>
  </si>
  <si>
    <t>55~64</t>
  </si>
  <si>
    <t>65~74</t>
  </si>
  <si>
    <t>75~84</t>
  </si>
  <si>
    <t>&gt;84</t>
  </si>
  <si>
    <t>Date</t>
  </si>
  <si>
    <t>Close</t>
  </si>
  <si>
    <t>Open</t>
  </si>
  <si>
    <t>High</t>
  </si>
  <si>
    <t>Low</t>
  </si>
  <si>
    <t>Adj Close**</t>
  </si>
  <si>
    <t>Volume</t>
  </si>
  <si>
    <t>Monthly</t>
  </si>
  <si>
    <t>Yearly</t>
  </si>
  <si>
    <t>5-Year</t>
  </si>
  <si>
    <t>10-Year</t>
  </si>
  <si>
    <t>15-Year</t>
  </si>
  <si>
    <t>20-Year</t>
  </si>
  <si>
    <t>25-Year</t>
  </si>
  <si>
    <t>30-Year</t>
  </si>
  <si>
    <t>invest period (yr)</t>
  </si>
  <si>
    <t>"1/12"</t>
  </si>
  <si>
    <t>Max</t>
  </si>
  <si>
    <t>Min</t>
  </si>
  <si>
    <t>Annual return (%)</t>
  </si>
  <si>
    <t>Price ($)</t>
  </si>
  <si>
    <t>Return (%)</t>
  </si>
  <si>
    <t>1-year</t>
  </si>
  <si>
    <t>5-year</t>
  </si>
  <si>
    <t>10-year</t>
  </si>
  <si>
    <t>15-year</t>
  </si>
  <si>
    <t>20-year</t>
  </si>
  <si>
    <t>25-year</t>
  </si>
  <si>
    <t>30-year</t>
  </si>
  <si>
    <t>35-year</t>
  </si>
  <si>
    <t>40-year</t>
  </si>
  <si>
    <t>Invest years</t>
  </si>
  <si>
    <t>Best case</t>
  </si>
  <si>
    <t>Worse case</t>
  </si>
  <si>
    <t>start investing year</t>
  </si>
  <si>
    <t>IUL assumption</t>
  </si>
  <si>
    <t>policy loan interest rate (%)</t>
  </si>
  <si>
    <t>return cap (%)</t>
  </si>
  <si>
    <t>All other numbers are auto-populated by formula</t>
  </si>
  <si>
    <r>
      <t xml:space="preserve">Only </t>
    </r>
    <r>
      <rPr>
        <sz val="11"/>
        <color rgb="FF00B050"/>
        <rFont val="Calibri"/>
        <family val="2"/>
      </rPr>
      <t>green numbers</t>
    </r>
    <r>
      <rPr>
        <sz val="11"/>
        <color theme="1"/>
        <rFont val="Calibri"/>
        <family val="2"/>
      </rPr>
      <t xml:space="preserve"> can be changed manually</t>
    </r>
  </si>
  <si>
    <t>pay cash parent 65 year old</t>
  </si>
  <si>
    <t>retirement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</si>
</sst>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_);_(* \(#,##0\);_(* &quot;-&quot;?_);_(@_)"/>
    <numFmt numFmtId="167" formatCode="_(* #,##0.0_);_(* \(#,##0.0\);_(* &quot;-&quot;??_);_(@_)"/>
  </numFmts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6100"/>
      <name val="Calibri"/>
    </font>
    <font>
      <sz val="11"/>
      <color theme="1"/>
      <name val="Calibri"/>
      <scheme val="minor"/>
    </font>
    <font>
      <b/>
      <sz val="15"/>
      <color rgb="FF000000"/>
      <name val="Arial"/>
    </font>
    <font>
      <sz val="10"/>
      <color theme="1"/>
      <name val="Calibri"/>
      <scheme val="minor"/>
    </font>
    <font>
      <sz val="10"/>
      <color rgb="FF000000"/>
      <name val="Ui-sans-serif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  <font>
      <sz val="11"/>
      <color rgb="FFC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66">
    <xf numFmtId="0" fontId="0" fillId="0" borderId="0" xfId="0" applyFont="1" applyAlignment="1"/>
    <xf numFmtId="0" fontId="2" fillId="0" borderId="0" xfId="0" applyFont="1"/>
    <xf numFmtId="164" fontId="3" fillId="0" borderId="0" xfId="0" applyNumberFormat="1" applyFont="1" applyAlignment="1"/>
    <xf numFmtId="164" fontId="3" fillId="0" borderId="0" xfId="0" applyNumberFormat="1" applyFont="1"/>
    <xf numFmtId="9" fontId="3" fillId="0" borderId="0" xfId="0" applyNumberFormat="1" applyFont="1"/>
    <xf numFmtId="1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/>
    <xf numFmtId="164" fontId="6" fillId="2" borderId="4" xfId="0" applyNumberFormat="1" applyFont="1" applyFill="1" applyBorder="1"/>
    <xf numFmtId="164" fontId="2" fillId="0" borderId="0" xfId="0" applyNumberFormat="1" applyFont="1"/>
    <xf numFmtId="0" fontId="3" fillId="0" borderId="5" xfId="0" applyFont="1" applyBorder="1"/>
    <xf numFmtId="0" fontId="2" fillId="0" borderId="0" xfId="0" applyFont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/>
    <xf numFmtId="3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4" fontId="7" fillId="0" borderId="0" xfId="0" applyNumberFormat="1" applyFont="1"/>
    <xf numFmtId="0" fontId="7" fillId="0" borderId="0" xfId="0" applyFont="1" applyAlignment="1"/>
    <xf numFmtId="9" fontId="3" fillId="0" borderId="0" xfId="0" applyNumberFormat="1" applyFont="1" applyAlignment="1"/>
    <xf numFmtId="0" fontId="7" fillId="0" borderId="0" xfId="0" applyFont="1"/>
    <xf numFmtId="6" fontId="3" fillId="0" borderId="0" xfId="0" applyNumberFormat="1" applyFont="1"/>
    <xf numFmtId="165" fontId="3" fillId="0" borderId="0" xfId="0" applyNumberFormat="1" applyFont="1" applyAlignment="1"/>
    <xf numFmtId="165" fontId="7" fillId="0" borderId="0" xfId="0" applyNumberFormat="1" applyFont="1" applyAlignment="1"/>
    <xf numFmtId="3" fontId="7" fillId="0" borderId="0" xfId="0" applyNumberFormat="1" applyFont="1"/>
    <xf numFmtId="3" fontId="7" fillId="0" borderId="0" xfId="0" applyNumberFormat="1" applyFont="1" applyAlignment="1"/>
    <xf numFmtId="167" fontId="3" fillId="0" borderId="0" xfId="0" applyNumberFormat="1" applyFont="1" applyAlignment="1"/>
    <xf numFmtId="0" fontId="8" fillId="3" borderId="5" xfId="0" applyFont="1" applyFill="1" applyBorder="1" applyAlignment="1">
      <alignment horizontal="center"/>
    </xf>
    <xf numFmtId="10" fontId="7" fillId="0" borderId="0" xfId="0" applyNumberFormat="1" applyFont="1"/>
    <xf numFmtId="0" fontId="9" fillId="3" borderId="0" xfId="0" applyFont="1" applyFill="1" applyAlignment="1"/>
    <xf numFmtId="0" fontId="10" fillId="3" borderId="0" xfId="0" applyFont="1" applyFill="1" applyAlignment="1">
      <alignment horizontal="center"/>
    </xf>
    <xf numFmtId="3" fontId="10" fillId="3" borderId="0" xfId="0" applyNumberFormat="1" applyFont="1" applyFill="1" applyAlignment="1">
      <alignment horizontal="center"/>
    </xf>
    <xf numFmtId="16" fontId="3" fillId="0" borderId="0" xfId="0" applyNumberFormat="1" applyFont="1"/>
    <xf numFmtId="14" fontId="3" fillId="0" borderId="0" xfId="0" applyNumberFormat="1" applyFont="1"/>
    <xf numFmtId="0" fontId="3" fillId="0" borderId="9" xfId="0" applyFont="1" applyBorder="1"/>
    <xf numFmtId="4" fontId="3" fillId="0" borderId="0" xfId="0" applyNumberFormat="1" applyFont="1"/>
    <xf numFmtId="10" fontId="12" fillId="0" borderId="0" xfId="0" applyNumberFormat="1" applyFont="1" applyAlignment="1"/>
    <xf numFmtId="164" fontId="13" fillId="0" borderId="0" xfId="0" applyNumberFormat="1" applyFont="1"/>
    <xf numFmtId="9" fontId="13" fillId="0" borderId="0" xfId="0" applyNumberFormat="1" applyFont="1" applyAlignment="1"/>
    <xf numFmtId="9" fontId="13" fillId="0" borderId="0" xfId="0" applyNumberFormat="1" applyFont="1"/>
    <xf numFmtId="164" fontId="14" fillId="0" borderId="0" xfId="1" applyNumberFormat="1" applyFont="1"/>
    <xf numFmtId="165" fontId="13" fillId="0" borderId="0" xfId="0" applyNumberFormat="1" applyFont="1"/>
    <xf numFmtId="0" fontId="13" fillId="0" borderId="0" xfId="0" applyFont="1" applyAlignment="1"/>
    <xf numFmtId="10" fontId="13" fillId="0" borderId="0" xfId="0" applyNumberFormat="1" applyFont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9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8" xfId="0" applyFont="1" applyBorder="1"/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4" borderId="0" xfId="0" applyFont="1" applyFill="1" applyAlignment="1">
      <alignment horizontal="center"/>
    </xf>
    <xf numFmtId="0" fontId="3" fillId="0" borderId="6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3">
    <dxf>
      <font>
        <b/>
      </font>
      <fill>
        <patternFill patternType="solid">
          <fgColor rgb="FFC00000"/>
          <bgColor rgb="FFC000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C00000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long terms return rate is 6.68%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Price ($)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trendline>
            <c:name>Expon. (Price ($))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SPY_yearly_history!$A$3:$A$97</c:f>
              <c:numCache>
                <c:formatCode>General</c:formatCode>
                <c:ptCount val="95"/>
                <c:pt idx="0">
                  <c:v>1928</c:v>
                </c:pt>
                <c:pt idx="1">
                  <c:v>1929</c:v>
                </c:pt>
                <c:pt idx="2">
                  <c:v>1930</c:v>
                </c:pt>
                <c:pt idx="3">
                  <c:v>1931</c:v>
                </c:pt>
                <c:pt idx="4">
                  <c:v>1932</c:v>
                </c:pt>
                <c:pt idx="5">
                  <c:v>1933</c:v>
                </c:pt>
                <c:pt idx="6">
                  <c:v>1934</c:v>
                </c:pt>
                <c:pt idx="7">
                  <c:v>1935</c:v>
                </c:pt>
                <c:pt idx="8">
                  <c:v>1936</c:v>
                </c:pt>
                <c:pt idx="9">
                  <c:v>1937</c:v>
                </c:pt>
                <c:pt idx="10">
                  <c:v>1938</c:v>
                </c:pt>
                <c:pt idx="11">
                  <c:v>1939</c:v>
                </c:pt>
                <c:pt idx="12">
                  <c:v>1940</c:v>
                </c:pt>
                <c:pt idx="13">
                  <c:v>1941</c:v>
                </c:pt>
                <c:pt idx="14">
                  <c:v>1942</c:v>
                </c:pt>
                <c:pt idx="15">
                  <c:v>1943</c:v>
                </c:pt>
                <c:pt idx="16">
                  <c:v>1944</c:v>
                </c:pt>
                <c:pt idx="17">
                  <c:v>1945</c:v>
                </c:pt>
                <c:pt idx="18">
                  <c:v>1946</c:v>
                </c:pt>
                <c:pt idx="19">
                  <c:v>1947</c:v>
                </c:pt>
                <c:pt idx="20">
                  <c:v>1948</c:v>
                </c:pt>
                <c:pt idx="21">
                  <c:v>1949</c:v>
                </c:pt>
                <c:pt idx="22">
                  <c:v>1950</c:v>
                </c:pt>
                <c:pt idx="23">
                  <c:v>1951</c:v>
                </c:pt>
                <c:pt idx="24">
                  <c:v>1952</c:v>
                </c:pt>
                <c:pt idx="25">
                  <c:v>1953</c:v>
                </c:pt>
                <c:pt idx="26">
                  <c:v>1954</c:v>
                </c:pt>
                <c:pt idx="27">
                  <c:v>1955</c:v>
                </c:pt>
                <c:pt idx="28">
                  <c:v>1956</c:v>
                </c:pt>
                <c:pt idx="29">
                  <c:v>1957</c:v>
                </c:pt>
                <c:pt idx="30">
                  <c:v>1958</c:v>
                </c:pt>
                <c:pt idx="31">
                  <c:v>1959</c:v>
                </c:pt>
                <c:pt idx="32">
                  <c:v>1960</c:v>
                </c:pt>
                <c:pt idx="33">
                  <c:v>1961</c:v>
                </c:pt>
                <c:pt idx="34">
                  <c:v>1962</c:v>
                </c:pt>
                <c:pt idx="35">
                  <c:v>1963</c:v>
                </c:pt>
                <c:pt idx="36">
                  <c:v>1964</c:v>
                </c:pt>
                <c:pt idx="37">
                  <c:v>1965</c:v>
                </c:pt>
                <c:pt idx="38">
                  <c:v>1966</c:v>
                </c:pt>
                <c:pt idx="39">
                  <c:v>1967</c:v>
                </c:pt>
                <c:pt idx="40">
                  <c:v>1968</c:v>
                </c:pt>
                <c:pt idx="41">
                  <c:v>1969</c:v>
                </c:pt>
                <c:pt idx="42">
                  <c:v>1970</c:v>
                </c:pt>
                <c:pt idx="43">
                  <c:v>1971</c:v>
                </c:pt>
                <c:pt idx="44">
                  <c:v>1972</c:v>
                </c:pt>
                <c:pt idx="45">
                  <c:v>1973</c:v>
                </c:pt>
                <c:pt idx="46">
                  <c:v>1974</c:v>
                </c:pt>
                <c:pt idx="47">
                  <c:v>1975</c:v>
                </c:pt>
                <c:pt idx="48">
                  <c:v>1976</c:v>
                </c:pt>
                <c:pt idx="49">
                  <c:v>1977</c:v>
                </c:pt>
                <c:pt idx="50">
                  <c:v>1978</c:v>
                </c:pt>
                <c:pt idx="51">
                  <c:v>1979</c:v>
                </c:pt>
                <c:pt idx="52">
                  <c:v>1980</c:v>
                </c:pt>
                <c:pt idx="53">
                  <c:v>1981</c:v>
                </c:pt>
                <c:pt idx="54">
                  <c:v>1982</c:v>
                </c:pt>
                <c:pt idx="55">
                  <c:v>1983</c:v>
                </c:pt>
                <c:pt idx="56">
                  <c:v>1984</c:v>
                </c:pt>
                <c:pt idx="57">
                  <c:v>1985</c:v>
                </c:pt>
                <c:pt idx="58">
                  <c:v>1986</c:v>
                </c:pt>
                <c:pt idx="59">
                  <c:v>1987</c:v>
                </c:pt>
                <c:pt idx="60">
                  <c:v>1988</c:v>
                </c:pt>
                <c:pt idx="61">
                  <c:v>1989</c:v>
                </c:pt>
                <c:pt idx="62">
                  <c:v>1990</c:v>
                </c:pt>
                <c:pt idx="63">
                  <c:v>1991</c:v>
                </c:pt>
                <c:pt idx="64">
                  <c:v>1992</c:v>
                </c:pt>
                <c:pt idx="65">
                  <c:v>1993</c:v>
                </c:pt>
                <c:pt idx="66">
                  <c:v>1994</c:v>
                </c:pt>
                <c:pt idx="67">
                  <c:v>1995</c:v>
                </c:pt>
                <c:pt idx="68">
                  <c:v>1996</c:v>
                </c:pt>
                <c:pt idx="69">
                  <c:v>1997</c:v>
                </c:pt>
                <c:pt idx="70">
                  <c:v>1998</c:v>
                </c:pt>
                <c:pt idx="71">
                  <c:v>1999</c:v>
                </c:pt>
                <c:pt idx="72">
                  <c:v>2000</c:v>
                </c:pt>
                <c:pt idx="73">
                  <c:v>2001</c:v>
                </c:pt>
                <c:pt idx="74">
                  <c:v>2002</c:v>
                </c:pt>
                <c:pt idx="75">
                  <c:v>2003</c:v>
                </c:pt>
                <c:pt idx="76">
                  <c:v>2004</c:v>
                </c:pt>
                <c:pt idx="77">
                  <c:v>2005</c:v>
                </c:pt>
                <c:pt idx="78">
                  <c:v>2006</c:v>
                </c:pt>
                <c:pt idx="79">
                  <c:v>2007</c:v>
                </c:pt>
                <c:pt idx="80">
                  <c:v>2008</c:v>
                </c:pt>
                <c:pt idx="81">
                  <c:v>2009</c:v>
                </c:pt>
                <c:pt idx="82">
                  <c:v>2010</c:v>
                </c:pt>
                <c:pt idx="83">
                  <c:v>2011</c:v>
                </c:pt>
                <c:pt idx="84">
                  <c:v>2012</c:v>
                </c:pt>
                <c:pt idx="85">
                  <c:v>2013</c:v>
                </c:pt>
                <c:pt idx="86">
                  <c:v>2014</c:v>
                </c:pt>
                <c:pt idx="87">
                  <c:v>2015</c:v>
                </c:pt>
                <c:pt idx="88">
                  <c:v>2016</c:v>
                </c:pt>
                <c:pt idx="89">
                  <c:v>2017</c:v>
                </c:pt>
                <c:pt idx="90">
                  <c:v>2018</c:v>
                </c:pt>
                <c:pt idx="91">
                  <c:v>2019</c:v>
                </c:pt>
                <c:pt idx="92">
                  <c:v>2020</c:v>
                </c:pt>
                <c:pt idx="93">
                  <c:v>2021</c:v>
                </c:pt>
                <c:pt idx="94">
                  <c:v>2022</c:v>
                </c:pt>
              </c:numCache>
            </c:numRef>
          </c:cat>
          <c:val>
            <c:numRef>
              <c:f>SPY_yearly_history!$B$3:$B$97</c:f>
              <c:numCache>
                <c:formatCode>General</c:formatCode>
                <c:ptCount val="95"/>
                <c:pt idx="0">
                  <c:v>24.35</c:v>
                </c:pt>
                <c:pt idx="1">
                  <c:v>21.45</c:v>
                </c:pt>
                <c:pt idx="2">
                  <c:v>15.34</c:v>
                </c:pt>
                <c:pt idx="3">
                  <c:v>8.1199999999999992</c:v>
                </c:pt>
                <c:pt idx="4">
                  <c:v>6.89</c:v>
                </c:pt>
                <c:pt idx="5">
                  <c:v>10.1</c:v>
                </c:pt>
                <c:pt idx="6">
                  <c:v>9.5</c:v>
                </c:pt>
                <c:pt idx="7">
                  <c:v>13.43</c:v>
                </c:pt>
                <c:pt idx="8">
                  <c:v>17.18</c:v>
                </c:pt>
                <c:pt idx="9">
                  <c:v>10.55</c:v>
                </c:pt>
                <c:pt idx="10">
                  <c:v>13.21</c:v>
                </c:pt>
                <c:pt idx="11">
                  <c:v>12.49</c:v>
                </c:pt>
                <c:pt idx="12">
                  <c:v>10.58</c:v>
                </c:pt>
                <c:pt idx="13">
                  <c:v>8.69</c:v>
                </c:pt>
                <c:pt idx="14">
                  <c:v>9.77</c:v>
                </c:pt>
                <c:pt idx="15">
                  <c:v>11.67</c:v>
                </c:pt>
                <c:pt idx="16">
                  <c:v>13.28</c:v>
                </c:pt>
                <c:pt idx="17">
                  <c:v>17.36</c:v>
                </c:pt>
                <c:pt idx="18">
                  <c:v>15.3</c:v>
                </c:pt>
                <c:pt idx="19">
                  <c:v>15.3</c:v>
                </c:pt>
                <c:pt idx="20">
                  <c:v>15.2</c:v>
                </c:pt>
                <c:pt idx="21">
                  <c:v>16.760000000000002</c:v>
                </c:pt>
                <c:pt idx="22">
                  <c:v>20.41</c:v>
                </c:pt>
                <c:pt idx="23">
                  <c:v>23.77</c:v>
                </c:pt>
                <c:pt idx="24">
                  <c:v>26.57</c:v>
                </c:pt>
                <c:pt idx="25">
                  <c:v>24.81</c:v>
                </c:pt>
                <c:pt idx="26">
                  <c:v>35.979999999999997</c:v>
                </c:pt>
                <c:pt idx="27">
                  <c:v>45.48</c:v>
                </c:pt>
                <c:pt idx="28">
                  <c:v>46.67</c:v>
                </c:pt>
                <c:pt idx="29">
                  <c:v>39.99</c:v>
                </c:pt>
                <c:pt idx="30">
                  <c:v>55.21</c:v>
                </c:pt>
                <c:pt idx="31">
                  <c:v>59.89</c:v>
                </c:pt>
                <c:pt idx="32">
                  <c:v>58.11</c:v>
                </c:pt>
                <c:pt idx="33">
                  <c:v>71.55</c:v>
                </c:pt>
                <c:pt idx="34">
                  <c:v>63.1</c:v>
                </c:pt>
                <c:pt idx="35">
                  <c:v>75.02</c:v>
                </c:pt>
                <c:pt idx="36">
                  <c:v>84.75</c:v>
                </c:pt>
                <c:pt idx="37">
                  <c:v>92.43</c:v>
                </c:pt>
                <c:pt idx="38">
                  <c:v>80.33</c:v>
                </c:pt>
                <c:pt idx="39">
                  <c:v>96.47</c:v>
                </c:pt>
                <c:pt idx="40">
                  <c:v>103.86</c:v>
                </c:pt>
                <c:pt idx="41">
                  <c:v>92.06</c:v>
                </c:pt>
                <c:pt idx="42">
                  <c:v>92.15</c:v>
                </c:pt>
                <c:pt idx="43">
                  <c:v>102.09</c:v>
                </c:pt>
                <c:pt idx="44">
                  <c:v>118.05</c:v>
                </c:pt>
                <c:pt idx="45">
                  <c:v>97.55</c:v>
                </c:pt>
                <c:pt idx="46">
                  <c:v>68.56</c:v>
                </c:pt>
                <c:pt idx="47">
                  <c:v>90.19</c:v>
                </c:pt>
                <c:pt idx="48">
                  <c:v>107.46</c:v>
                </c:pt>
                <c:pt idx="49">
                  <c:v>95.1</c:v>
                </c:pt>
                <c:pt idx="50">
                  <c:v>96.11</c:v>
                </c:pt>
                <c:pt idx="51">
                  <c:v>107.94</c:v>
                </c:pt>
                <c:pt idx="52">
                  <c:v>135.76</c:v>
                </c:pt>
                <c:pt idx="53">
                  <c:v>122.55</c:v>
                </c:pt>
                <c:pt idx="54">
                  <c:v>140.63999999999999</c:v>
                </c:pt>
                <c:pt idx="55">
                  <c:v>164.93</c:v>
                </c:pt>
                <c:pt idx="56">
                  <c:v>167.24</c:v>
                </c:pt>
                <c:pt idx="57">
                  <c:v>211.28</c:v>
                </c:pt>
                <c:pt idx="58">
                  <c:v>242.17</c:v>
                </c:pt>
                <c:pt idx="59">
                  <c:v>247.08</c:v>
                </c:pt>
                <c:pt idx="60">
                  <c:v>277.72000000000003</c:v>
                </c:pt>
                <c:pt idx="61">
                  <c:v>353.4</c:v>
                </c:pt>
                <c:pt idx="62">
                  <c:v>330.22</c:v>
                </c:pt>
                <c:pt idx="63">
                  <c:v>417.09</c:v>
                </c:pt>
                <c:pt idx="64">
                  <c:v>435.71</c:v>
                </c:pt>
                <c:pt idx="65">
                  <c:v>466.45</c:v>
                </c:pt>
                <c:pt idx="66">
                  <c:v>459.27</c:v>
                </c:pt>
                <c:pt idx="67">
                  <c:v>615.92999999999995</c:v>
                </c:pt>
                <c:pt idx="68">
                  <c:v>740.74</c:v>
                </c:pt>
                <c:pt idx="69">
                  <c:v>970.43</c:v>
                </c:pt>
                <c:pt idx="70" formatCode="#,##0.00">
                  <c:v>1229.23</c:v>
                </c:pt>
                <c:pt idx="71" formatCode="#,##0.00">
                  <c:v>1469.25</c:v>
                </c:pt>
                <c:pt idx="72" formatCode="#,##0.00">
                  <c:v>1320.28</c:v>
                </c:pt>
                <c:pt idx="73" formatCode="#,##0.00">
                  <c:v>1148.08</c:v>
                </c:pt>
                <c:pt idx="74">
                  <c:v>879.82</c:v>
                </c:pt>
                <c:pt idx="75" formatCode="#,##0.00">
                  <c:v>1111.92</c:v>
                </c:pt>
                <c:pt idx="76" formatCode="#,##0.00">
                  <c:v>1211.92</c:v>
                </c:pt>
                <c:pt idx="77" formatCode="#,##0.00">
                  <c:v>1248.29</c:v>
                </c:pt>
                <c:pt idx="78" formatCode="#,##0.00">
                  <c:v>1418.3</c:v>
                </c:pt>
                <c:pt idx="79" formatCode="#,##0.00">
                  <c:v>1468.36</c:v>
                </c:pt>
                <c:pt idx="80">
                  <c:v>903.25</c:v>
                </c:pt>
                <c:pt idx="81" formatCode="#,##0.00">
                  <c:v>1115.0999999999999</c:v>
                </c:pt>
                <c:pt idx="82" formatCode="#,##0.00">
                  <c:v>1257.6400000000001</c:v>
                </c:pt>
                <c:pt idx="83" formatCode="#,##0.00">
                  <c:v>1257.5999999999999</c:v>
                </c:pt>
                <c:pt idx="84" formatCode="#,##0.00">
                  <c:v>1426.19</c:v>
                </c:pt>
                <c:pt idx="85" formatCode="#,##0.00">
                  <c:v>1848.36</c:v>
                </c:pt>
                <c:pt idx="86" formatCode="#,##0.00">
                  <c:v>2058.9</c:v>
                </c:pt>
                <c:pt idx="87" formatCode="#,##0.00">
                  <c:v>2043.94</c:v>
                </c:pt>
                <c:pt idx="88" formatCode="#,##0.00">
                  <c:v>2238.83</c:v>
                </c:pt>
                <c:pt idx="89" formatCode="#,##0.00">
                  <c:v>2673.61</c:v>
                </c:pt>
                <c:pt idx="90" formatCode="#,##0.00">
                  <c:v>2506.85</c:v>
                </c:pt>
                <c:pt idx="91" formatCode="#,##0.00">
                  <c:v>3230.78</c:v>
                </c:pt>
                <c:pt idx="92" formatCode="#,##0.00">
                  <c:v>3756.07</c:v>
                </c:pt>
                <c:pt idx="93" formatCode="#,##0.00">
                  <c:v>4766.18</c:v>
                </c:pt>
                <c:pt idx="94" formatCode="#,##0.00">
                  <c:v>3991.24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F-4802-8F0F-38CDEDC9F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187617"/>
        <c:axId val="554124801"/>
      </c:lineChart>
      <c:catAx>
        <c:axId val="15251876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54124801"/>
        <c:crosses val="autoZero"/>
        <c:auto val="1"/>
        <c:lblAlgn val="ctr"/>
        <c:lblOffset val="100"/>
        <c:noMultiLvlLbl val="1"/>
      </c:catAx>
      <c:valAx>
        <c:axId val="5541248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1000" b="0" i="0">
                    <a:solidFill>
                      <a:srgbClr val="000000"/>
                    </a:solidFill>
                    <a:latin typeface="+mn-lt"/>
                  </a:rPr>
                  <a:t>S&amp;P 500 Index (log scaled)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5187617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38100</xdr:colOff>
      <xdr:row>5</xdr:row>
      <xdr:rowOff>161925</xdr:rowOff>
    </xdr:from>
    <xdr:ext cx="11458575" cy="38004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tabSelected="1" workbookViewId="0">
      <selection activeCell="J7" sqref="J7"/>
    </sheetView>
  </sheetViews>
  <sheetFormatPr defaultColWidth="14.42578125" defaultRowHeight="15" customHeight="1"/>
  <cols>
    <col min="1" max="1" width="33.28515625" customWidth="1"/>
    <col min="2" max="2" width="13.140625" customWidth="1"/>
    <col min="3" max="3" width="4" customWidth="1"/>
    <col min="4" max="4" width="4.140625" customWidth="1"/>
    <col min="5" max="5" width="8.5703125" customWidth="1"/>
    <col min="6" max="6" width="3" customWidth="1"/>
    <col min="7" max="7" width="3.7109375" customWidth="1"/>
    <col min="8" max="8" width="5.85546875" customWidth="1"/>
    <col min="9" max="9" width="8" customWidth="1"/>
    <col min="10" max="10" width="3.7109375" customWidth="1"/>
    <col min="11" max="11" width="10.85546875" customWidth="1"/>
    <col min="12" max="12" width="4.28515625" customWidth="1"/>
    <col min="13" max="14" width="9.5703125" customWidth="1"/>
    <col min="15" max="16" width="10.42578125" customWidth="1"/>
    <col min="17" max="17" width="10.5703125" bestFit="1" customWidth="1"/>
    <col min="18" max="18" width="10.85546875" customWidth="1"/>
    <col min="19" max="19" width="5.140625" customWidth="1"/>
    <col min="20" max="20" width="10.28515625" customWidth="1"/>
    <col min="21" max="21" width="9.7109375" customWidth="1"/>
    <col min="22" max="22" width="8" customWidth="1"/>
    <col min="23" max="23" width="10.7109375" customWidth="1"/>
    <col min="24" max="24" width="13.28515625" customWidth="1"/>
    <col min="25" max="25" width="10.28515625" customWidth="1"/>
    <col min="26" max="26" width="12.85546875" customWidth="1"/>
    <col min="27" max="27" width="10.85546875" customWidth="1"/>
    <col min="28" max="28" width="15.42578125" customWidth="1"/>
    <col min="29" max="29" width="9.85546875" customWidth="1"/>
  </cols>
  <sheetData>
    <row r="1" spans="1:29" ht="14.25" customHeight="1">
      <c r="A1" s="64" t="s">
        <v>185</v>
      </c>
      <c r="B1" s="64"/>
      <c r="D1" s="10"/>
      <c r="E1" s="10"/>
      <c r="F1" s="52" t="s">
        <v>54</v>
      </c>
      <c r="G1" s="51"/>
      <c r="H1" s="65" t="s">
        <v>55</v>
      </c>
      <c r="I1" s="57" t="s">
        <v>56</v>
      </c>
      <c r="K1" s="12" t="s">
        <v>57</v>
      </c>
      <c r="M1" s="59" t="s">
        <v>58</v>
      </c>
      <c r="N1" s="54"/>
      <c r="O1" s="54"/>
      <c r="P1" s="54"/>
      <c r="Q1" s="54"/>
      <c r="R1" s="54"/>
      <c r="T1" s="60" t="s">
        <v>59</v>
      </c>
      <c r="U1" s="61"/>
      <c r="V1" s="61"/>
      <c r="W1" s="61"/>
      <c r="X1" s="61"/>
      <c r="Y1" s="61"/>
      <c r="Z1" s="61"/>
      <c r="AA1" s="61"/>
      <c r="AB1" s="61"/>
    </row>
    <row r="2" spans="1:29" ht="14.25" customHeight="1">
      <c r="A2" s="44" t="s">
        <v>184</v>
      </c>
      <c r="B2" s="45"/>
      <c r="D2" s="10" t="s">
        <v>61</v>
      </c>
      <c r="E2" s="10" t="s">
        <v>62</v>
      </c>
      <c r="F2" s="10" t="s">
        <v>63</v>
      </c>
      <c r="G2" s="10" t="s">
        <v>64</v>
      </c>
      <c r="H2" s="58"/>
      <c r="I2" s="58"/>
      <c r="K2" s="10">
        <v>0</v>
      </c>
      <c r="M2" s="10" t="s">
        <v>65</v>
      </c>
      <c r="N2" s="12" t="s">
        <v>66</v>
      </c>
      <c r="O2" s="10">
        <v>0</v>
      </c>
      <c r="P2" s="10" t="s">
        <v>67</v>
      </c>
      <c r="Q2" s="52" t="s">
        <v>68</v>
      </c>
      <c r="R2" s="51"/>
      <c r="T2" s="13" t="s">
        <v>62</v>
      </c>
      <c r="U2" s="13" t="s">
        <v>69</v>
      </c>
      <c r="V2" s="13" t="s">
        <v>70</v>
      </c>
      <c r="W2" s="13" t="s">
        <v>71</v>
      </c>
      <c r="X2" s="13" t="s">
        <v>72</v>
      </c>
      <c r="Y2" s="13" t="s">
        <v>73</v>
      </c>
      <c r="Z2" s="13" t="s">
        <v>74</v>
      </c>
      <c r="AA2" s="10">
        <v>0</v>
      </c>
      <c r="AB2" s="10" t="s">
        <v>75</v>
      </c>
    </row>
    <row r="3" spans="1:29" ht="14.25" customHeight="1">
      <c r="D3" s="1">
        <v>1</v>
      </c>
      <c r="E3" s="15">
        <f t="array" ref="E3">INDEX(SPY_yearly_history!$C$3:$C$200,D3+$B$4-1928,0)</f>
        <v>0.14761321909424718</v>
      </c>
      <c r="F3" s="48">
        <v>7</v>
      </c>
      <c r="G3" s="42">
        <v>2</v>
      </c>
      <c r="H3" s="42">
        <v>35</v>
      </c>
      <c r="I3" s="3">
        <f t="shared" ref="I3:I34" si="0">IF(D3&lt;=$B$5,1,0)*$B$6</f>
        <v>35000</v>
      </c>
      <c r="J3" s="3"/>
      <c r="K3" s="3">
        <f t="shared" ref="K3:K52" si="1">K2*(1+E3)+I3</f>
        <v>35000</v>
      </c>
      <c r="L3" s="16"/>
      <c r="M3" s="3">
        <f t="shared" ref="M3:M34" si="2">IF(D3&lt;=$B$9,1,0)*$B$11</f>
        <v>900</v>
      </c>
      <c r="N3" s="3">
        <f t="shared" ref="N3:N34" si="3">IF(AND(F3&gt;18,F2&lt;22),1,0)*$B$13+IF(AND(G3&gt;18,G2&lt;22),1,0)*$B$13</f>
        <v>0</v>
      </c>
      <c r="O3" s="3">
        <f t="shared" ref="O3:O52" si="4">O2*(1+E3)+I3-M3-N3</f>
        <v>34100</v>
      </c>
      <c r="P3" s="3">
        <f t="shared" ref="P3:P34" si="5">O3+IF(D3&lt;=$B$9,1,0)*$B$7</f>
        <v>1034100</v>
      </c>
      <c r="Q3" s="3">
        <f>O2*(1+E3)+I3-M3-SUM($N$3:N3)*$B$14</f>
        <v>34100</v>
      </c>
      <c r="R3" s="17">
        <f t="shared" ref="R3:R34" si="6">IF(D3&lt;=$B$9,1,0)*$B$7+Q3</f>
        <v>1034100</v>
      </c>
      <c r="T3" s="15">
        <f t="shared" ref="T3:T34" si="7">IF(IF(E3&gt;0,E3,0)&lt;$B$23,IF(E3&gt;0,E3,0),$B$23)</f>
        <v>0.12</v>
      </c>
      <c r="U3" s="3">
        <f t="shared" ref="U3:U34" si="8">IF(AND(F3&gt;18,F3&lt;=22),1,0)*$B$21+IF(AND(G3&gt;18,G3&lt;=22),1,0)*$B$21</f>
        <v>0</v>
      </c>
      <c r="V3" s="3">
        <f t="shared" ref="V3:V34" si="9">I3*$B$18</f>
        <v>2800</v>
      </c>
      <c r="W3" s="3">
        <f t="shared" ref="W3:W34" si="10">$B$7*$B$19*IF(D3&lt;11,1,0)</f>
        <v>1500</v>
      </c>
      <c r="X3" s="14">
        <f t="array" ref="X3">IF(INDEX(US_mortality_table!I3:I97,MATCH(H3,US_mortality_table!H3:H97))*($B$7-AA2)&lt;0,0,INDEX(US_mortality_table!I3:I97,MATCH(H3,US_mortality_table!H3:H97))*($B$7-AA2))</f>
        <v>1627</v>
      </c>
      <c r="Y3" s="3">
        <f t="shared" ref="Y3:Y34" si="11">I3*$B$20</f>
        <v>385</v>
      </c>
      <c r="Z3" s="3">
        <f t="shared" ref="Z3:Z52" si="12">SUM(V3:X3)-Y3</f>
        <v>5542</v>
      </c>
      <c r="AA3" s="16">
        <f>AA2*(1+T3)+I3-Z3-SUM($U$3:U3)*$B$22</f>
        <v>29458</v>
      </c>
      <c r="AB3" s="3">
        <f>B7-U3</f>
        <v>1000000</v>
      </c>
      <c r="AC3" s="3"/>
    </row>
    <row r="4" spans="1:29" ht="14.25" customHeight="1">
      <c r="A4" s="1" t="s">
        <v>180</v>
      </c>
      <c r="B4" s="42">
        <v>1981</v>
      </c>
      <c r="D4" s="1">
        <f t="shared" ref="D4:D52" si="13">D3+1</f>
        <v>2</v>
      </c>
      <c r="E4" s="15">
        <f t="array" ref="E4">INDEX(SPY_yearly_history!$C$3:$C$200,D4+$B$4-1928,0)</f>
        <v>0.17271046643913546</v>
      </c>
      <c r="F4" s="1">
        <f t="shared" ref="F4:H4" si="14">F3+1</f>
        <v>8</v>
      </c>
      <c r="G4" s="1">
        <f t="shared" si="14"/>
        <v>3</v>
      </c>
      <c r="H4" s="1">
        <f t="shared" si="14"/>
        <v>36</v>
      </c>
      <c r="I4" s="3">
        <f t="shared" si="0"/>
        <v>35000</v>
      </c>
      <c r="J4" s="3"/>
      <c r="K4" s="3">
        <f t="shared" si="1"/>
        <v>76044.866325369745</v>
      </c>
      <c r="L4" s="16"/>
      <c r="M4" s="3">
        <f t="shared" si="2"/>
        <v>900</v>
      </c>
      <c r="N4" s="3">
        <f t="shared" si="3"/>
        <v>0</v>
      </c>
      <c r="O4" s="3">
        <f t="shared" si="4"/>
        <v>74089.42690557451</v>
      </c>
      <c r="P4" s="3">
        <f t="shared" si="5"/>
        <v>1074089.4269055745</v>
      </c>
      <c r="Q4" s="3">
        <f>Q3*(1+E4)+I4-M4-SUM($N$3:N4)*$B$14</f>
        <v>74089.42690557451</v>
      </c>
      <c r="R4" s="17">
        <f t="shared" si="6"/>
        <v>1074089.4269055745</v>
      </c>
      <c r="S4" s="3"/>
      <c r="T4" s="15">
        <f t="shared" si="7"/>
        <v>0.12</v>
      </c>
      <c r="U4" s="3">
        <f t="shared" si="8"/>
        <v>0</v>
      </c>
      <c r="V4" s="3">
        <f t="shared" si="9"/>
        <v>2800</v>
      </c>
      <c r="W4" s="3">
        <f t="shared" si="10"/>
        <v>1500</v>
      </c>
      <c r="X4" s="14">
        <f t="array" ref="X4">IF(INDEX(US_mortality_table!I4:I98,MATCH(H4,US_mortality_table!H4:H98))*($B$7-AA3)&lt;0,0,INDEX(US_mortality_table!I4:I98,MATCH(H4,US_mortality_table!H4:H98))*($B$7-AA3))</f>
        <v>1652.347755</v>
      </c>
      <c r="Y4" s="3">
        <f t="shared" si="11"/>
        <v>385</v>
      </c>
      <c r="Z4" s="3">
        <f t="shared" si="12"/>
        <v>5567.3477549999998</v>
      </c>
      <c r="AA4" s="16">
        <f>AA3*(1+T4)+I4-Z4-SUM($U$3:U4)*$B$22</f>
        <v>62425.612245000004</v>
      </c>
      <c r="AB4" s="3">
        <f t="shared" ref="AB4:AB52" si="15">AB3-U4</f>
        <v>1000000</v>
      </c>
      <c r="AC4" s="3"/>
    </row>
    <row r="5" spans="1:29" ht="14.25" customHeight="1">
      <c r="A5" s="1" t="s">
        <v>53</v>
      </c>
      <c r="B5" s="42">
        <v>5</v>
      </c>
      <c r="D5" s="1">
        <f t="shared" si="13"/>
        <v>3</v>
      </c>
      <c r="E5" s="15">
        <f t="array" ref="E5">INDEX(SPY_yearly_history!$C$3:$C$200,D5+$B$4-1928,0)</f>
        <v>1.4005941914751796E-2</v>
      </c>
      <c r="F5" s="1">
        <f t="shared" ref="F5:H5" si="16">F4+1</f>
        <v>9</v>
      </c>
      <c r="G5" s="1">
        <f t="shared" si="16"/>
        <v>4</v>
      </c>
      <c r="H5" s="1">
        <f t="shared" si="16"/>
        <v>37</v>
      </c>
      <c r="I5" s="3">
        <f t="shared" si="0"/>
        <v>35000</v>
      </c>
      <c r="J5" s="3"/>
      <c r="K5" s="3">
        <f t="shared" si="1"/>
        <v>112109.94630603793</v>
      </c>
      <c r="L5" s="16"/>
      <c r="M5" s="3">
        <f t="shared" si="2"/>
        <v>900</v>
      </c>
      <c r="N5" s="3">
        <f t="shared" si="3"/>
        <v>0</v>
      </c>
      <c r="O5" s="3">
        <f t="shared" si="4"/>
        <v>109227.11911531123</v>
      </c>
      <c r="P5" s="3">
        <f t="shared" si="5"/>
        <v>1109227.1191153112</v>
      </c>
      <c r="Q5" s="3">
        <f>Q4*(1+E5)+I5-M5-SUM($N$3:N5)*$B$14</f>
        <v>109227.11911531123</v>
      </c>
      <c r="R5" s="17">
        <f t="shared" si="6"/>
        <v>1109227.1191153112</v>
      </c>
      <c r="S5" s="3"/>
      <c r="T5" s="15">
        <f t="shared" si="7"/>
        <v>1.4005941914751796E-2</v>
      </c>
      <c r="U5" s="3">
        <f t="shared" si="8"/>
        <v>0</v>
      </c>
      <c r="V5" s="3">
        <f t="shared" si="9"/>
        <v>2800</v>
      </c>
      <c r="W5" s="3">
        <f t="shared" si="10"/>
        <v>1500</v>
      </c>
      <c r="X5" s="14">
        <f t="array" ref="X5">IF(INDEX(US_mortality_table!I5:I99,MATCH(H5,US_mortality_table!H5:H99))*($B$7-AA4)&lt;0,0,INDEX(US_mortality_table!I5:I99,MATCH(H5,US_mortality_table!H5:H99))*($B$7-AA4))</f>
        <v>1666.069687040635</v>
      </c>
      <c r="Y5" s="3">
        <f t="shared" si="11"/>
        <v>385</v>
      </c>
      <c r="Z5" s="3">
        <f t="shared" si="12"/>
        <v>5581.0696870406355</v>
      </c>
      <c r="AA5" s="16">
        <f>AA4*(1+T5)+I5-Z5-SUM($U$3:U5)*$B$22</f>
        <v>92718.872057055647</v>
      </c>
      <c r="AB5" s="3">
        <f t="shared" si="15"/>
        <v>1000000</v>
      </c>
      <c r="AC5" s="3"/>
    </row>
    <row r="6" spans="1:29" ht="14.25" customHeight="1">
      <c r="A6" s="1" t="s">
        <v>60</v>
      </c>
      <c r="B6" s="37">
        <v>35000</v>
      </c>
      <c r="D6" s="1">
        <f t="shared" si="13"/>
        <v>4</v>
      </c>
      <c r="E6" s="15">
        <f t="array" ref="E6">INDEX(SPY_yearly_history!$C$3:$C$200,D6+$B$4-1928,0)</f>
        <v>0.26333413059076771</v>
      </c>
      <c r="F6" s="1">
        <f t="shared" ref="F6:H6" si="17">F5+1</f>
        <v>10</v>
      </c>
      <c r="G6" s="1">
        <f t="shared" si="17"/>
        <v>5</v>
      </c>
      <c r="H6" s="1">
        <f t="shared" si="17"/>
        <v>38</v>
      </c>
      <c r="I6" s="3">
        <f t="shared" si="0"/>
        <v>35000</v>
      </c>
      <c r="J6" s="3"/>
      <c r="K6" s="3">
        <f t="shared" si="1"/>
        <v>176632.32154711609</v>
      </c>
      <c r="L6" s="16"/>
      <c r="M6" s="3">
        <f t="shared" si="2"/>
        <v>900</v>
      </c>
      <c r="N6" s="3">
        <f t="shared" si="3"/>
        <v>0</v>
      </c>
      <c r="O6" s="3">
        <f t="shared" si="4"/>
        <v>172090.34756447593</v>
      </c>
      <c r="P6" s="3">
        <f t="shared" si="5"/>
        <v>1172090.3475644758</v>
      </c>
      <c r="Q6" s="3">
        <f>Q5*(1+E6)+I6-M6-SUM($N$3:N6)*$B$14</f>
        <v>172090.34756447593</v>
      </c>
      <c r="R6" s="17">
        <f t="shared" si="6"/>
        <v>1172090.3475644758</v>
      </c>
      <c r="S6" s="3"/>
      <c r="T6" s="15">
        <f t="shared" si="7"/>
        <v>0.12</v>
      </c>
      <c r="U6" s="3">
        <f t="shared" si="8"/>
        <v>0</v>
      </c>
      <c r="V6" s="3">
        <f t="shared" si="9"/>
        <v>2800</v>
      </c>
      <c r="W6" s="3">
        <f t="shared" si="10"/>
        <v>1500</v>
      </c>
      <c r="X6" s="14">
        <f t="array" ref="X6">IF(INDEX(US_mortality_table!I6:I100,MATCH(H6,US_mortality_table!H6:H100))*($B$7-AA5)&lt;0,0,INDEX(US_mortality_table!I6:I100,MATCH(H6,US_mortality_table!H6:H100))*($B$7-AA5))</f>
        <v>1676.2018838745901</v>
      </c>
      <c r="Y6" s="3">
        <f t="shared" si="11"/>
        <v>385</v>
      </c>
      <c r="Z6" s="3">
        <f t="shared" si="12"/>
        <v>5591.2018838745898</v>
      </c>
      <c r="AA6" s="16">
        <f>AA5*(1+T6)+I6-Z6-SUM($U$3:U6)*$B$22</f>
        <v>133253.93482002773</v>
      </c>
      <c r="AB6" s="3">
        <f t="shared" si="15"/>
        <v>1000000</v>
      </c>
      <c r="AC6" s="3"/>
    </row>
    <row r="7" spans="1:29" ht="14.25" customHeight="1">
      <c r="A7" s="1" t="s">
        <v>76</v>
      </c>
      <c r="B7" s="37">
        <v>1000000</v>
      </c>
      <c r="D7" s="1">
        <f t="shared" si="13"/>
        <v>5</v>
      </c>
      <c r="E7" s="15">
        <f t="array" ref="E7">INDEX(SPY_yearly_history!$C$3:$C$200,D7+$B$4-1928,0)</f>
        <v>0.14620408936009088</v>
      </c>
      <c r="F7" s="1">
        <f t="shared" ref="F7:H7" si="18">F6+1</f>
        <v>11</v>
      </c>
      <c r="G7" s="1">
        <f t="shared" si="18"/>
        <v>6</v>
      </c>
      <c r="H7" s="1">
        <f t="shared" si="18"/>
        <v>39</v>
      </c>
      <c r="I7" s="3">
        <f t="shared" si="0"/>
        <v>35000</v>
      </c>
      <c r="J7" s="3"/>
      <c r="K7" s="3">
        <f t="shared" si="1"/>
        <v>237456.68927047096</v>
      </c>
      <c r="L7" s="16"/>
      <c r="M7" s="3">
        <f t="shared" si="2"/>
        <v>900</v>
      </c>
      <c r="N7" s="3">
        <f t="shared" si="3"/>
        <v>0</v>
      </c>
      <c r="O7" s="3">
        <f t="shared" si="4"/>
        <v>231350.66011780166</v>
      </c>
      <c r="P7" s="3">
        <f t="shared" si="5"/>
        <v>1231350.6601178017</v>
      </c>
      <c r="Q7" s="3">
        <f>Q6*(1+E7)+I7-M7-SUM($N$3:N7)*$B$14</f>
        <v>231350.66011780166</v>
      </c>
      <c r="R7" s="17">
        <f t="shared" si="6"/>
        <v>1231350.6601178017</v>
      </c>
      <c r="S7" s="3"/>
      <c r="T7" s="15">
        <f t="shared" si="7"/>
        <v>0.12</v>
      </c>
      <c r="U7" s="3">
        <f t="shared" si="8"/>
        <v>0</v>
      </c>
      <c r="V7" s="3">
        <f t="shared" si="9"/>
        <v>2800</v>
      </c>
      <c r="W7" s="3">
        <f t="shared" si="10"/>
        <v>1500</v>
      </c>
      <c r="X7" s="14">
        <f t="array" ref="X7">IF(INDEX(US_mortality_table!I7:I101,MATCH(H7,US_mortality_table!H7:H101))*($B$7-AA6)&lt;0,0,INDEX(US_mortality_table!I7:I101,MATCH(H7,US_mortality_table!H7:H101))*($B$7-AA6))</f>
        <v>1663.7190721129566</v>
      </c>
      <c r="Y7" s="3">
        <f t="shared" si="11"/>
        <v>385</v>
      </c>
      <c r="Z7" s="3">
        <f t="shared" si="12"/>
        <v>5578.7190721129564</v>
      </c>
      <c r="AA7" s="16">
        <f>AA6*(1+T7)+I7-Z7-SUM($U$3:U7)*$B$22</f>
        <v>178665.68792631812</v>
      </c>
      <c r="AB7" s="3">
        <f t="shared" si="15"/>
        <v>1000000</v>
      </c>
      <c r="AC7" s="3"/>
    </row>
    <row r="8" spans="1:29" ht="14.25" customHeight="1">
      <c r="D8" s="1">
        <f t="shared" si="13"/>
        <v>6</v>
      </c>
      <c r="E8" s="15">
        <f t="array" ref="E8">INDEX(SPY_yearly_history!$C$3:$C$200,D8+$B$4-1928,0)</f>
        <v>2.0275013420324672E-2</v>
      </c>
      <c r="F8" s="1">
        <f t="shared" ref="F8:H8" si="19">F7+1</f>
        <v>12</v>
      </c>
      <c r="G8" s="1">
        <f t="shared" si="19"/>
        <v>7</v>
      </c>
      <c r="H8" s="1">
        <f t="shared" si="19"/>
        <v>40</v>
      </c>
      <c r="I8" s="3">
        <f t="shared" si="0"/>
        <v>0</v>
      </c>
      <c r="J8" s="3"/>
      <c r="K8" s="3">
        <f t="shared" si="1"/>
        <v>242271.12683217562</v>
      </c>
      <c r="L8" s="16"/>
      <c r="M8" s="3">
        <f t="shared" si="2"/>
        <v>900</v>
      </c>
      <c r="N8" s="3">
        <f t="shared" si="3"/>
        <v>0</v>
      </c>
      <c r="O8" s="3">
        <f t="shared" si="4"/>
        <v>235141.29785649106</v>
      </c>
      <c r="P8" s="3">
        <f t="shared" si="5"/>
        <v>1235141.2978564911</v>
      </c>
      <c r="Q8" s="3">
        <f>Q7*(1+E8)+I8-M8-SUM($N$3:N8)*$B$14</f>
        <v>235141.29785649106</v>
      </c>
      <c r="R8" s="17">
        <f t="shared" si="6"/>
        <v>1235141.2978564911</v>
      </c>
      <c r="S8" s="3"/>
      <c r="T8" s="15">
        <f t="shared" si="7"/>
        <v>2.0275013420324672E-2</v>
      </c>
      <c r="U8" s="3">
        <f t="shared" si="8"/>
        <v>0</v>
      </c>
      <c r="V8" s="3">
        <f t="shared" si="9"/>
        <v>0</v>
      </c>
      <c r="W8" s="3">
        <f t="shared" si="10"/>
        <v>1500</v>
      </c>
      <c r="X8" s="14">
        <f t="array" ref="X8">IF(INDEX(US_mortality_table!I8:I102,MATCH(H8,US_mortality_table!H8:H102))*($B$7-AA7)&lt;0,0,INDEX(US_mortality_table!I8:I102,MATCH(H8,US_mortality_table!H8:H102))*($B$7-AA7))</f>
        <v>1644.311292771511</v>
      </c>
      <c r="Y8" s="3">
        <f t="shared" si="11"/>
        <v>0</v>
      </c>
      <c r="Z8" s="3">
        <f t="shared" si="12"/>
        <v>3144.311292771511</v>
      </c>
      <c r="AA8" s="16">
        <f>AA7*(1+T8)+I8-Z8-SUM($U$3:U8)*$B$22</f>
        <v>179143.82585400424</v>
      </c>
      <c r="AB8" s="3">
        <f t="shared" si="15"/>
        <v>1000000</v>
      </c>
      <c r="AC8" s="3"/>
    </row>
    <row r="9" spans="1:29" ht="14.25" customHeight="1">
      <c r="A9" s="1" t="s">
        <v>77</v>
      </c>
      <c r="B9" s="42">
        <v>25</v>
      </c>
      <c r="D9" s="1">
        <f t="shared" si="13"/>
        <v>7</v>
      </c>
      <c r="E9" s="15">
        <f t="array" ref="E9">INDEX(SPY_yearly_history!$C$3:$C$200,D9+$B$4-1928,0)</f>
        <v>0.12400841832604836</v>
      </c>
      <c r="F9" s="1">
        <f t="shared" ref="F9:H9" si="20">F8+1</f>
        <v>13</v>
      </c>
      <c r="G9" s="1">
        <f t="shared" si="20"/>
        <v>8</v>
      </c>
      <c r="H9" s="1">
        <f t="shared" si="20"/>
        <v>41</v>
      </c>
      <c r="I9" s="3">
        <f t="shared" si="0"/>
        <v>0</v>
      </c>
      <c r="J9" s="3"/>
      <c r="K9" s="3">
        <f t="shared" si="1"/>
        <v>272314.78607670317</v>
      </c>
      <c r="L9" s="16"/>
      <c r="M9" s="3">
        <f t="shared" si="2"/>
        <v>900</v>
      </c>
      <c r="N9" s="3">
        <f t="shared" si="3"/>
        <v>0</v>
      </c>
      <c r="O9" s="3">
        <f t="shared" si="4"/>
        <v>263400.79828680871</v>
      </c>
      <c r="P9" s="3">
        <f t="shared" si="5"/>
        <v>1263400.7982868087</v>
      </c>
      <c r="Q9" s="3">
        <f>Q8*(1+E9)+I9-M9-SUM($N$3:N9)*$B$14</f>
        <v>263400.79828680871</v>
      </c>
      <c r="R9" s="17">
        <f t="shared" si="6"/>
        <v>1263400.7982868087</v>
      </c>
      <c r="S9" s="3"/>
      <c r="T9" s="15">
        <f t="shared" si="7"/>
        <v>0.12</v>
      </c>
      <c r="U9" s="3">
        <f t="shared" si="8"/>
        <v>0</v>
      </c>
      <c r="V9" s="3">
        <f t="shared" si="9"/>
        <v>0</v>
      </c>
      <c r="W9" s="3">
        <f t="shared" si="10"/>
        <v>1500</v>
      </c>
      <c r="X9" s="14">
        <f t="array" ref="X9">IF(INDEX(US_mortality_table!I9:I103,MATCH(H9,US_mortality_table!H9:H103))*($B$7-AA8)&lt;0,0,INDEX(US_mortality_table!I9:I103,MATCH(H9,US_mortality_table!H9:H103))*($B$7-AA8))</f>
        <v>1723.3875376195183</v>
      </c>
      <c r="Y9" s="3">
        <f t="shared" si="11"/>
        <v>0</v>
      </c>
      <c r="Z9" s="3">
        <f t="shared" si="12"/>
        <v>3223.3875376195183</v>
      </c>
      <c r="AA9" s="16">
        <f>AA8*(1+T9)+I9-Z9-SUM($U$3:U9)*$B$22</f>
        <v>197417.69741886525</v>
      </c>
      <c r="AB9" s="3">
        <f t="shared" si="15"/>
        <v>1000000</v>
      </c>
      <c r="AC9" s="3"/>
    </row>
    <row r="10" spans="1:29" ht="14.25" customHeight="1">
      <c r="A10" s="1" t="s">
        <v>78</v>
      </c>
      <c r="B10" s="43">
        <v>8.9999999999999998E-4</v>
      </c>
      <c r="D10" s="1">
        <f t="shared" si="13"/>
        <v>8</v>
      </c>
      <c r="E10" s="15">
        <f t="array" ref="E10">INDEX(SPY_yearly_history!$C$3:$C$200,D10+$B$4-1928,0)</f>
        <v>0.27250468097364222</v>
      </c>
      <c r="F10" s="1">
        <f t="shared" ref="F10:H10" si="21">F9+1</f>
        <v>14</v>
      </c>
      <c r="G10" s="1">
        <f t="shared" si="21"/>
        <v>9</v>
      </c>
      <c r="H10" s="1">
        <f t="shared" si="21"/>
        <v>42</v>
      </c>
      <c r="I10" s="3">
        <f t="shared" si="0"/>
        <v>0</v>
      </c>
      <c r="J10" s="3"/>
      <c r="K10" s="3">
        <f t="shared" si="1"/>
        <v>346521.8399809408</v>
      </c>
      <c r="L10" s="16"/>
      <c r="M10" s="3">
        <f t="shared" si="2"/>
        <v>900</v>
      </c>
      <c r="N10" s="3">
        <f t="shared" si="3"/>
        <v>0</v>
      </c>
      <c r="O10" s="3">
        <f t="shared" si="4"/>
        <v>334278.74879215821</v>
      </c>
      <c r="P10" s="3">
        <f t="shared" si="5"/>
        <v>1334278.7487921582</v>
      </c>
      <c r="Q10" s="3">
        <f>Q9*(1+E10)+I10-M10-SUM($N$3:N10)*$B$14</f>
        <v>334278.74879215821</v>
      </c>
      <c r="R10" s="17">
        <f t="shared" si="6"/>
        <v>1334278.7487921582</v>
      </c>
      <c r="S10" s="3"/>
      <c r="T10" s="15">
        <f t="shared" si="7"/>
        <v>0.12</v>
      </c>
      <c r="U10" s="3">
        <f t="shared" si="8"/>
        <v>0</v>
      </c>
      <c r="V10" s="3">
        <f t="shared" si="9"/>
        <v>0</v>
      </c>
      <c r="W10" s="3">
        <f t="shared" si="10"/>
        <v>1500</v>
      </c>
      <c r="X10" s="14">
        <f t="array" ref="X10">IF(INDEX(US_mortality_table!I10:I104,MATCH(H10,US_mortality_table!H10:H104))*($B$7-AA9)&lt;0,0,INDEX(US_mortality_table!I10:I104,MATCH(H10,US_mortality_table!H10:H104))*($B$7-AA9))</f>
        <v>1775.31205330947</v>
      </c>
      <c r="Y10" s="3">
        <f t="shared" si="11"/>
        <v>0</v>
      </c>
      <c r="Z10" s="3">
        <f t="shared" si="12"/>
        <v>3275.3120533094698</v>
      </c>
      <c r="AA10" s="16">
        <f>AA9*(1+T10)+I10-Z10-SUM($U$3:U10)*$B$22</f>
        <v>217832.50905581965</v>
      </c>
      <c r="AB10" s="3">
        <f t="shared" si="15"/>
        <v>1000000</v>
      </c>
      <c r="AC10" s="3"/>
    </row>
    <row r="11" spans="1:29" ht="14.25" customHeight="1">
      <c r="A11" s="1" t="s">
        <v>79</v>
      </c>
      <c r="B11" s="37">
        <f>B7*B10</f>
        <v>900</v>
      </c>
      <c r="D11" s="1">
        <f t="shared" si="13"/>
        <v>9</v>
      </c>
      <c r="E11" s="15">
        <f t="array" ref="E11">INDEX(SPY_yearly_history!$C$3:$C$200,D11+$B$4-1928,0)</f>
        <v>-6.5591397849462219E-2</v>
      </c>
      <c r="F11" s="1">
        <f t="shared" ref="F11:H11" si="22">F10+1</f>
        <v>15</v>
      </c>
      <c r="G11" s="1">
        <f t="shared" si="22"/>
        <v>10</v>
      </c>
      <c r="H11" s="1">
        <f t="shared" si="22"/>
        <v>43</v>
      </c>
      <c r="I11" s="3">
        <f t="shared" si="0"/>
        <v>0</v>
      </c>
      <c r="J11" s="3"/>
      <c r="K11" s="3">
        <f t="shared" si="1"/>
        <v>323792.98811122321</v>
      </c>
      <c r="L11" s="16"/>
      <c r="M11" s="3">
        <f t="shared" si="2"/>
        <v>900</v>
      </c>
      <c r="N11" s="3">
        <f t="shared" si="3"/>
        <v>0</v>
      </c>
      <c r="O11" s="3">
        <f t="shared" si="4"/>
        <v>311452.9383875113</v>
      </c>
      <c r="P11" s="3">
        <f t="shared" si="5"/>
        <v>1311452.9383875113</v>
      </c>
      <c r="Q11" s="3">
        <f>Q10*(1+E11)+I11-M11-SUM($N$3:N11)*$B$14</f>
        <v>311452.9383875113</v>
      </c>
      <c r="R11" s="17">
        <f t="shared" si="6"/>
        <v>1311452.9383875113</v>
      </c>
      <c r="S11" s="3"/>
      <c r="T11" s="15">
        <f t="shared" si="7"/>
        <v>0</v>
      </c>
      <c r="U11" s="3">
        <f t="shared" si="8"/>
        <v>0</v>
      </c>
      <c r="V11" s="3">
        <f t="shared" si="9"/>
        <v>0</v>
      </c>
      <c r="W11" s="3">
        <f t="shared" si="10"/>
        <v>1500</v>
      </c>
      <c r="X11" s="14">
        <f t="array" ref="X11">IF(INDEX(US_mortality_table!I11:I105,MATCH(H11,US_mortality_table!H11:H105))*($B$7-AA10)&lt;0,0,INDEX(US_mortality_table!I11:I105,MATCH(H11,US_mortality_table!H11:H105))*($B$7-AA10))</f>
        <v>1832.2273475367426</v>
      </c>
      <c r="Y11" s="3">
        <f t="shared" si="11"/>
        <v>0</v>
      </c>
      <c r="Z11" s="3">
        <f t="shared" si="12"/>
        <v>3332.2273475367429</v>
      </c>
      <c r="AA11" s="16">
        <f>AA10*(1+T11)+I11-Z11-SUM($U$3:U11)*$B$22</f>
        <v>214500.28170828291</v>
      </c>
      <c r="AB11" s="3">
        <f t="shared" si="15"/>
        <v>1000000</v>
      </c>
      <c r="AC11" s="3"/>
    </row>
    <row r="12" spans="1:29" ht="14.25" customHeight="1">
      <c r="D12" s="1">
        <f t="shared" si="13"/>
        <v>10</v>
      </c>
      <c r="E12" s="15">
        <f t="array" ref="E12">INDEX(SPY_yearly_history!$C$3:$C$200,D12+$B$4-1928,0)</f>
        <v>0.26306704621161625</v>
      </c>
      <c r="F12" s="1">
        <f t="shared" ref="F12:H12" si="23">F11+1</f>
        <v>16</v>
      </c>
      <c r="G12" s="1">
        <f t="shared" si="23"/>
        <v>11</v>
      </c>
      <c r="H12" s="1">
        <f t="shared" si="23"/>
        <v>44</v>
      </c>
      <c r="I12" s="3">
        <f t="shared" si="0"/>
        <v>0</v>
      </c>
      <c r="J12" s="3"/>
      <c r="K12" s="3">
        <f t="shared" si="1"/>
        <v>408972.2530776757</v>
      </c>
      <c r="L12" s="16"/>
      <c r="M12" s="3">
        <f t="shared" si="2"/>
        <v>900</v>
      </c>
      <c r="N12" s="3">
        <f t="shared" si="3"/>
        <v>0</v>
      </c>
      <c r="O12" s="3">
        <f t="shared" si="4"/>
        <v>392485.9429230424</v>
      </c>
      <c r="P12" s="3">
        <f t="shared" si="5"/>
        <v>1392485.9429230425</v>
      </c>
      <c r="Q12" s="3">
        <f>Q11*(1+E12)+I12-M12-SUM($N$3:N12)*$B$14</f>
        <v>392485.9429230424</v>
      </c>
      <c r="R12" s="17">
        <f t="shared" si="6"/>
        <v>1392485.9429230425</v>
      </c>
      <c r="S12" s="3"/>
      <c r="T12" s="15">
        <f t="shared" si="7"/>
        <v>0.12</v>
      </c>
      <c r="U12" s="3">
        <f t="shared" si="8"/>
        <v>0</v>
      </c>
      <c r="V12" s="3">
        <f t="shared" si="9"/>
        <v>0</v>
      </c>
      <c r="W12" s="3">
        <f t="shared" si="10"/>
        <v>1500</v>
      </c>
      <c r="X12" s="14">
        <f t="array" ref="X12">IF(INDEX(US_mortality_table!I12:I106,MATCH(H12,US_mortality_table!H12:H106))*($B$7-AA11)&lt;0,0,INDEX(US_mortality_table!I12:I106,MATCH(H12,US_mortality_table!H12:H106))*($B$7-AA11))</f>
        <v>1957.858047842105</v>
      </c>
      <c r="Y12" s="3">
        <f t="shared" si="11"/>
        <v>0</v>
      </c>
      <c r="Z12" s="3">
        <f t="shared" si="12"/>
        <v>3457.858047842105</v>
      </c>
      <c r="AA12" s="16">
        <f>AA11*(1+T12)+I12-Z12-SUM($U$3:U12)*$B$22</f>
        <v>236782.45746543477</v>
      </c>
      <c r="AB12" s="3">
        <f t="shared" si="15"/>
        <v>1000000</v>
      </c>
      <c r="AC12" s="3"/>
    </row>
    <row r="13" spans="1:29" ht="14.25" customHeight="1">
      <c r="A13" s="1" t="s">
        <v>83</v>
      </c>
      <c r="B13" s="2">
        <v>0</v>
      </c>
      <c r="D13" s="1">
        <f t="shared" si="13"/>
        <v>11</v>
      </c>
      <c r="E13" s="15">
        <f t="array" ref="E13">INDEX(SPY_yearly_history!$C$3:$C$200,D13+$B$4-1928,0)</f>
        <v>4.4642643074636279E-2</v>
      </c>
      <c r="F13" s="1">
        <f t="shared" ref="F13:H13" si="24">F12+1</f>
        <v>17</v>
      </c>
      <c r="G13" s="1">
        <f t="shared" si="24"/>
        <v>12</v>
      </c>
      <c r="H13" s="1">
        <f t="shared" si="24"/>
        <v>45</v>
      </c>
      <c r="I13" s="3">
        <f t="shared" si="0"/>
        <v>0</v>
      </c>
      <c r="J13" s="3"/>
      <c r="K13" s="3">
        <f t="shared" si="1"/>
        <v>427229.85539925221</v>
      </c>
      <c r="L13" s="16"/>
      <c r="M13" s="3">
        <f t="shared" si="2"/>
        <v>900</v>
      </c>
      <c r="N13" s="3">
        <f t="shared" si="3"/>
        <v>0</v>
      </c>
      <c r="O13" s="3">
        <f t="shared" si="4"/>
        <v>409107.55278476787</v>
      </c>
      <c r="P13" s="3">
        <f t="shared" si="5"/>
        <v>1409107.5527847679</v>
      </c>
      <c r="Q13" s="3">
        <f>Q12*(1+E13)+I13-M13-SUM($N$3:N13)*$B$14</f>
        <v>409107.55278476787</v>
      </c>
      <c r="R13" s="17">
        <f t="shared" si="6"/>
        <v>1409107.5527847679</v>
      </c>
      <c r="S13" s="3"/>
      <c r="T13" s="15">
        <f t="shared" si="7"/>
        <v>4.4642643074636279E-2</v>
      </c>
      <c r="U13" s="3">
        <f t="shared" si="8"/>
        <v>0</v>
      </c>
      <c r="V13" s="3">
        <f t="shared" si="9"/>
        <v>0</v>
      </c>
      <c r="W13" s="3">
        <f t="shared" si="10"/>
        <v>0</v>
      </c>
      <c r="X13" s="14">
        <f t="array" ref="X13">IF(INDEX(US_mortality_table!I13:I107,MATCH(H13,US_mortality_table!H13:H107))*($B$7-AA12)&lt;0,0,INDEX(US_mortality_table!I13:I107,MATCH(H13,US_mortality_table!H13:H107))*($B$7-AA12))</f>
        <v>2032.8299245408145</v>
      </c>
      <c r="Y13" s="3">
        <f t="shared" si="11"/>
        <v>0</v>
      </c>
      <c r="Z13" s="3">
        <f t="shared" si="12"/>
        <v>2032.8299245408145</v>
      </c>
      <c r="AA13" s="16">
        <f>AA12*(1+T13)+I13-Z13-SUM($U$3:U13)*$B$22</f>
        <v>245320.2222758586</v>
      </c>
      <c r="AB13" s="3">
        <f t="shared" si="15"/>
        <v>1000000</v>
      </c>
      <c r="AC13" s="3"/>
    </row>
    <row r="14" spans="1:29" ht="14.25" customHeight="1">
      <c r="A14" s="1" t="s">
        <v>84</v>
      </c>
      <c r="B14" s="41">
        <v>6.5000000000000002E-2</v>
      </c>
      <c r="D14" s="1">
        <f t="shared" si="13"/>
        <v>12</v>
      </c>
      <c r="E14" s="15">
        <f t="array" ref="E14">INDEX(SPY_yearly_history!$C$3:$C$200,D14+$B$4-1928,0)</f>
        <v>7.0551513621445405E-2</v>
      </c>
      <c r="F14" s="1">
        <f t="shared" ref="F14:H14" si="25">F13+1</f>
        <v>18</v>
      </c>
      <c r="G14" s="1">
        <f t="shared" si="25"/>
        <v>13</v>
      </c>
      <c r="H14" s="1">
        <f t="shared" si="25"/>
        <v>46</v>
      </c>
      <c r="I14" s="3">
        <f t="shared" si="0"/>
        <v>0</v>
      </c>
      <c r="J14" s="3"/>
      <c r="K14" s="3">
        <f t="shared" si="1"/>
        <v>457371.56836194068</v>
      </c>
      <c r="L14" s="16"/>
      <c r="M14" s="3">
        <f t="shared" si="2"/>
        <v>900</v>
      </c>
      <c r="N14" s="3">
        <f t="shared" si="3"/>
        <v>0</v>
      </c>
      <c r="O14" s="3">
        <f t="shared" si="4"/>
        <v>437070.70986769861</v>
      </c>
      <c r="P14" s="3">
        <f t="shared" si="5"/>
        <v>1437070.7098676986</v>
      </c>
      <c r="Q14" s="3">
        <f>Q13*(1+E14)+I14-M14-SUM($N$3:N14)*$B$14</f>
        <v>437070.70986769861</v>
      </c>
      <c r="R14" s="17">
        <f t="shared" si="6"/>
        <v>1437070.7098676986</v>
      </c>
      <c r="S14" s="3"/>
      <c r="T14" s="15">
        <f t="shared" si="7"/>
        <v>7.0551513621445405E-2</v>
      </c>
      <c r="U14" s="3">
        <f t="shared" si="8"/>
        <v>0</v>
      </c>
      <c r="V14" s="3">
        <f t="shared" si="9"/>
        <v>0</v>
      </c>
      <c r="W14" s="3">
        <f t="shared" si="10"/>
        <v>0</v>
      </c>
      <c r="X14" s="14">
        <f t="array" ref="X14">IF(INDEX(US_mortality_table!I14:I108,MATCH(H14,US_mortality_table!H14:H108))*($B$7-AA13)&lt;0,0,INDEX(US_mortality_table!I14:I108,MATCH(H14,US_mortality_table!H14:H108))*($B$7-AA13))</f>
        <v>2157.6294845133202</v>
      </c>
      <c r="Y14" s="3">
        <f t="shared" si="11"/>
        <v>0</v>
      </c>
      <c r="Z14" s="3">
        <f t="shared" si="12"/>
        <v>2157.6294845133202</v>
      </c>
      <c r="AA14" s="16">
        <f>AA13*(1+T14)+I14-Z14-SUM($U$3:U14)*$B$22</f>
        <v>260470.30579485657</v>
      </c>
      <c r="AB14" s="3">
        <f t="shared" si="15"/>
        <v>1000000</v>
      </c>
      <c r="AC14" s="3"/>
    </row>
    <row r="15" spans="1:29" ht="14.25" customHeight="1">
      <c r="D15" s="1">
        <f t="shared" si="13"/>
        <v>13</v>
      </c>
      <c r="E15" s="15">
        <f t="array" ref="E15">INDEX(SPY_yearly_history!$C$3:$C$200,D15+$B$4-1928,0)</f>
        <v>-1.5392860971165212E-2</v>
      </c>
      <c r="F15" s="1">
        <f t="shared" ref="F15:H15" si="26">F14+1</f>
        <v>19</v>
      </c>
      <c r="G15" s="1">
        <f t="shared" si="26"/>
        <v>14</v>
      </c>
      <c r="H15" s="1">
        <f t="shared" si="26"/>
        <v>47</v>
      </c>
      <c r="I15" s="3">
        <f t="shared" si="0"/>
        <v>0</v>
      </c>
      <c r="J15" s="3"/>
      <c r="K15" s="3">
        <f t="shared" si="1"/>
        <v>450331.31139798154</v>
      </c>
      <c r="L15" s="16"/>
      <c r="M15" s="3">
        <f t="shared" si="2"/>
        <v>900</v>
      </c>
      <c r="N15" s="3">
        <f t="shared" si="3"/>
        <v>0</v>
      </c>
      <c r="O15" s="3">
        <f t="shared" si="4"/>
        <v>429442.94119613664</v>
      </c>
      <c r="P15" s="3">
        <f t="shared" si="5"/>
        <v>1429442.9411961366</v>
      </c>
      <c r="Q15" s="3">
        <f>Q14*(1+E15)+I15-M15-SUM($N$3:N15)*$B$14</f>
        <v>429442.94119613664</v>
      </c>
      <c r="R15" s="17">
        <f t="shared" si="6"/>
        <v>1429442.9411961366</v>
      </c>
      <c r="S15" s="3"/>
      <c r="T15" s="15">
        <f t="shared" si="7"/>
        <v>0</v>
      </c>
      <c r="U15" s="3">
        <f t="shared" si="8"/>
        <v>0</v>
      </c>
      <c r="V15" s="3">
        <f t="shared" si="9"/>
        <v>0</v>
      </c>
      <c r="W15" s="3">
        <f t="shared" si="10"/>
        <v>0</v>
      </c>
      <c r="X15" s="14">
        <f t="array" ref="X15">IF(INDEX(US_mortality_table!I15:I109,MATCH(H15,US_mortality_table!H15:H109))*($B$7-AA14)&lt;0,0,INDEX(US_mortality_table!I15:I109,MATCH(H15,US_mortality_table!H15:H109))*($B$7-AA14))</f>
        <v>2278.8607526931496</v>
      </c>
      <c r="Y15" s="3">
        <f t="shared" si="11"/>
        <v>0</v>
      </c>
      <c r="Z15" s="3">
        <f t="shared" si="12"/>
        <v>2278.8607526931496</v>
      </c>
      <c r="AA15" s="16">
        <f>AA14*(1+T15)+I15-Z15-SUM($U$3:U15)*$B$22</f>
        <v>258191.44504216342</v>
      </c>
      <c r="AB15" s="3">
        <f t="shared" si="15"/>
        <v>1000000</v>
      </c>
      <c r="AC15" s="3"/>
    </row>
    <row r="16" spans="1:29" ht="14.25" customHeight="1">
      <c r="D16" s="1">
        <f t="shared" si="13"/>
        <v>14</v>
      </c>
      <c r="E16" s="15">
        <f t="array" ref="E16">INDEX(SPY_yearly_history!$C$3:$C$200,D16+$B$4-1928,0)</f>
        <v>0.34110653863740281</v>
      </c>
      <c r="F16" s="1">
        <f t="shared" ref="F16:H16" si="27">F15+1</f>
        <v>20</v>
      </c>
      <c r="G16" s="1">
        <f t="shared" si="27"/>
        <v>15</v>
      </c>
      <c r="H16" s="1">
        <f t="shared" si="27"/>
        <v>48</v>
      </c>
      <c r="I16" s="3">
        <f t="shared" si="0"/>
        <v>0</v>
      </c>
      <c r="J16" s="3"/>
      <c r="K16" s="3">
        <f t="shared" si="1"/>
        <v>603942.26626898942</v>
      </c>
      <c r="L16" s="16"/>
      <c r="M16" s="3">
        <f t="shared" si="2"/>
        <v>900</v>
      </c>
      <c r="N16" s="3">
        <f t="shared" si="3"/>
        <v>0</v>
      </c>
      <c r="O16" s="3">
        <f t="shared" si="4"/>
        <v>575028.73640981654</v>
      </c>
      <c r="P16" s="3">
        <f t="shared" si="5"/>
        <v>1575028.7364098164</v>
      </c>
      <c r="Q16" s="3">
        <f>Q15*(1+E16)+I16-M16-SUM($N$3:N16)*$B$14</f>
        <v>575028.73640981654</v>
      </c>
      <c r="R16" s="17">
        <f t="shared" si="6"/>
        <v>1575028.7364098164</v>
      </c>
      <c r="S16" s="3"/>
      <c r="T16" s="15">
        <f t="shared" si="7"/>
        <v>0.12</v>
      </c>
      <c r="U16" s="3">
        <f t="shared" si="8"/>
        <v>0</v>
      </c>
      <c r="V16" s="3">
        <f t="shared" si="9"/>
        <v>0</v>
      </c>
      <c r="W16" s="3">
        <f t="shared" si="10"/>
        <v>0</v>
      </c>
      <c r="X16" s="14">
        <f t="array" ref="X16">IF(INDEX(US_mortality_table!I16:I110,MATCH(H16,US_mortality_table!H16:H110))*($B$7-AA15)&lt;0,0,INDEX(US_mortality_table!I16:I110,MATCH(H16,US_mortality_table!H16:H110))*($B$7-AA15))</f>
        <v>2473.9315307843849</v>
      </c>
      <c r="Y16" s="3">
        <f t="shared" si="11"/>
        <v>0</v>
      </c>
      <c r="Z16" s="3">
        <f t="shared" si="12"/>
        <v>2473.9315307843849</v>
      </c>
      <c r="AA16" s="16">
        <f>AA15*(1+T16)+I16-Z16-SUM($U$3:U16)*$B$22</f>
        <v>286700.48691643868</v>
      </c>
      <c r="AB16" s="3">
        <f t="shared" si="15"/>
        <v>1000000</v>
      </c>
      <c r="AC16" s="3"/>
    </row>
    <row r="17" spans="1:29" ht="14.25" customHeight="1">
      <c r="A17" s="62" t="s">
        <v>181</v>
      </c>
      <c r="B17" s="62"/>
      <c r="D17" s="1">
        <f t="shared" si="13"/>
        <v>15</v>
      </c>
      <c r="E17" s="15">
        <f t="array" ref="E17">INDEX(SPY_yearly_history!$C$3:$C$200,D17+$B$4-1928,0)</f>
        <v>0.20263666325718832</v>
      </c>
      <c r="F17" s="1">
        <f t="shared" ref="F17:H17" si="28">F16+1</f>
        <v>21</v>
      </c>
      <c r="G17" s="1">
        <f t="shared" si="28"/>
        <v>16</v>
      </c>
      <c r="H17" s="1">
        <f t="shared" si="28"/>
        <v>49</v>
      </c>
      <c r="I17" s="3">
        <f t="shared" si="0"/>
        <v>0</v>
      </c>
      <c r="J17" s="3"/>
      <c r="K17" s="3">
        <f t="shared" si="1"/>
        <v>726323.11190572183</v>
      </c>
      <c r="L17" s="16"/>
      <c r="M17" s="3">
        <f t="shared" si="2"/>
        <v>900</v>
      </c>
      <c r="N17" s="3">
        <f t="shared" si="3"/>
        <v>0</v>
      </c>
      <c r="O17" s="3">
        <f t="shared" si="4"/>
        <v>690650.64083289902</v>
      </c>
      <c r="P17" s="3">
        <f t="shared" si="5"/>
        <v>1690650.6408328991</v>
      </c>
      <c r="Q17" s="3">
        <f>Q16*(1+E17)+I17-M17-SUM($N$3:N17)*$B$14</f>
        <v>690650.64083289902</v>
      </c>
      <c r="R17" s="17">
        <f t="shared" si="6"/>
        <v>1690650.6408328991</v>
      </c>
      <c r="S17" s="3"/>
      <c r="T17" s="15">
        <f t="shared" si="7"/>
        <v>0.12</v>
      </c>
      <c r="U17" s="3">
        <f t="shared" si="8"/>
        <v>0</v>
      </c>
      <c r="V17" s="3">
        <f t="shared" si="9"/>
        <v>0</v>
      </c>
      <c r="W17" s="3">
        <f t="shared" si="10"/>
        <v>0</v>
      </c>
      <c r="X17" s="14">
        <f t="array" ref="X17">IF(INDEX(US_mortality_table!I17:I111,MATCH(H17,US_mortality_table!H17:H111))*($B$7-AA16)&lt;0,0,INDEX(US_mortality_table!I17:I111,MATCH(H17,US_mortality_table!H17:H111))*($B$7-AA16))</f>
        <v>2582.8575368755755</v>
      </c>
      <c r="Y17" s="3">
        <f t="shared" si="11"/>
        <v>0</v>
      </c>
      <c r="Z17" s="3">
        <f t="shared" si="12"/>
        <v>2582.8575368755755</v>
      </c>
      <c r="AA17" s="16">
        <f>AA16*(1+T17)+I17-Z17-SUM($U$3:U17)*$B$22</f>
        <v>318521.68780953577</v>
      </c>
      <c r="AB17" s="3">
        <f t="shared" si="15"/>
        <v>1000000</v>
      </c>
      <c r="AC17" s="3"/>
    </row>
    <row r="18" spans="1:29" ht="14.25" customHeight="1">
      <c r="A18" s="18" t="s">
        <v>85</v>
      </c>
      <c r="B18" s="36">
        <v>0.08</v>
      </c>
      <c r="D18" s="1">
        <f t="shared" si="13"/>
        <v>16</v>
      </c>
      <c r="E18" s="15">
        <f t="array" ref="E18">INDEX(SPY_yearly_history!$C$3:$C$200,D18+$B$4-1928,0)</f>
        <v>0.31008181008180991</v>
      </c>
      <c r="F18" s="1">
        <f t="shared" ref="F18:H18" si="29">F17+1</f>
        <v>22</v>
      </c>
      <c r="G18" s="1">
        <f t="shared" si="29"/>
        <v>17</v>
      </c>
      <c r="H18" s="1">
        <f t="shared" si="29"/>
        <v>50</v>
      </c>
      <c r="I18" s="3">
        <f t="shared" si="0"/>
        <v>0</v>
      </c>
      <c r="J18" s="3"/>
      <c r="K18" s="3">
        <f t="shared" si="1"/>
        <v>951542.69714970107</v>
      </c>
      <c r="L18" s="16"/>
      <c r="M18" s="3">
        <f t="shared" si="2"/>
        <v>900</v>
      </c>
      <c r="N18" s="3">
        <f t="shared" si="3"/>
        <v>0</v>
      </c>
      <c r="O18" s="3">
        <f t="shared" si="4"/>
        <v>903908.84167652635</v>
      </c>
      <c r="P18" s="3">
        <f t="shared" si="5"/>
        <v>1903908.8416765262</v>
      </c>
      <c r="Q18" s="3">
        <f>Q17*(1+E18)+I18-M18-SUM($N$3:N18)*$B$14</f>
        <v>903908.84167652635</v>
      </c>
      <c r="R18" s="17">
        <f t="shared" si="6"/>
        <v>1903908.8416765262</v>
      </c>
      <c r="S18" s="3"/>
      <c r="T18" s="15">
        <f t="shared" si="7"/>
        <v>0.12</v>
      </c>
      <c r="U18" s="3">
        <f t="shared" si="8"/>
        <v>0</v>
      </c>
      <c r="V18" s="3">
        <f t="shared" si="9"/>
        <v>0</v>
      </c>
      <c r="W18" s="3">
        <f t="shared" si="10"/>
        <v>0</v>
      </c>
      <c r="X18" s="14">
        <f t="array" ref="X18">IF(INDEX(US_mortality_table!I18:I112,MATCH(H18,US_mortality_table!H18:H112))*($B$7-AA17)&lt;0,0,INDEX(US_mortality_table!I18:I112,MATCH(H18,US_mortality_table!H18:H112))*($B$7-AA17))</f>
        <v>2680.9356801572862</v>
      </c>
      <c r="Y18" s="3">
        <f t="shared" si="11"/>
        <v>0</v>
      </c>
      <c r="Z18" s="3">
        <f t="shared" si="12"/>
        <v>2680.9356801572862</v>
      </c>
      <c r="AA18" s="16">
        <f>AA17*(1+T18)+I18-Z18-SUM($U$3:U18)*$B$22</f>
        <v>354063.35466652282</v>
      </c>
      <c r="AB18" s="3">
        <f t="shared" si="15"/>
        <v>1000000</v>
      </c>
      <c r="AC18" s="3"/>
    </row>
    <row r="19" spans="1:29" ht="14.25" customHeight="1">
      <c r="A19" s="18" t="s">
        <v>86</v>
      </c>
      <c r="B19" s="36">
        <v>1.5E-3</v>
      </c>
      <c r="D19" s="1">
        <f t="shared" si="13"/>
        <v>17</v>
      </c>
      <c r="E19" s="15">
        <f t="array" ref="E19">INDEX(SPY_yearly_history!$C$3:$C$200,D19+$B$4-1928,0)</f>
        <v>0.26668590212586185</v>
      </c>
      <c r="F19" s="1">
        <f t="shared" ref="F19:H19" si="30">F18+1</f>
        <v>23</v>
      </c>
      <c r="G19" s="1">
        <f t="shared" si="30"/>
        <v>18</v>
      </c>
      <c r="H19" s="1">
        <f t="shared" si="30"/>
        <v>51</v>
      </c>
      <c r="I19" s="3">
        <f t="shared" si="0"/>
        <v>0</v>
      </c>
      <c r="J19" s="3"/>
      <c r="K19" s="3">
        <f t="shared" si="1"/>
        <v>1205305.7197503448</v>
      </c>
      <c r="L19" s="16"/>
      <c r="M19" s="3">
        <f t="shared" si="2"/>
        <v>900</v>
      </c>
      <c r="N19" s="3">
        <f t="shared" si="3"/>
        <v>0</v>
      </c>
      <c r="O19" s="3">
        <f t="shared" si="4"/>
        <v>1144068.5865585736</v>
      </c>
      <c r="P19" s="3">
        <f t="shared" si="5"/>
        <v>2144068.5865585739</v>
      </c>
      <c r="Q19" s="3">
        <f>Q18*(1+E19)+I19-M19-SUM($N$3:N19)*$B$14</f>
        <v>1144068.5865585736</v>
      </c>
      <c r="R19" s="17">
        <f t="shared" si="6"/>
        <v>2144068.5865585739</v>
      </c>
      <c r="S19" s="3"/>
      <c r="T19" s="15">
        <f t="shared" si="7"/>
        <v>0.12</v>
      </c>
      <c r="U19" s="3">
        <f t="shared" si="8"/>
        <v>0</v>
      </c>
      <c r="V19" s="3">
        <f t="shared" si="9"/>
        <v>0</v>
      </c>
      <c r="W19" s="3">
        <f t="shared" si="10"/>
        <v>0</v>
      </c>
      <c r="X19" s="14">
        <f t="array" ref="X19">IF(INDEX(US_mortality_table!I19:I113,MATCH(H19,US_mortality_table!H19:H113))*($B$7-AA18)&lt;0,0,INDEX(US_mortality_table!I19:I113,MATCH(H19,US_mortality_table!H19:H113))*($B$7-AA18))</f>
        <v>2764.2858737046158</v>
      </c>
      <c r="Y19" s="3">
        <f t="shared" si="11"/>
        <v>0</v>
      </c>
      <c r="Z19" s="3">
        <f t="shared" si="12"/>
        <v>2764.2858737046158</v>
      </c>
      <c r="AA19" s="16">
        <f>AA18*(1+T19)+I19-Z19-SUM($U$3:U19)*$B$22</f>
        <v>393786.67135280103</v>
      </c>
      <c r="AB19" s="3">
        <f t="shared" si="15"/>
        <v>1000000</v>
      </c>
      <c r="AC19" s="3"/>
    </row>
    <row r="20" spans="1:29" ht="14.25" customHeight="1">
      <c r="A20" s="18" t="s">
        <v>87</v>
      </c>
      <c r="B20" s="36">
        <v>1.0999999999999999E-2</v>
      </c>
      <c r="D20" s="1">
        <f t="shared" si="13"/>
        <v>18</v>
      </c>
      <c r="E20" s="15">
        <f t="array" ref="E20">INDEX(SPY_yearly_history!$C$3:$C$200,D20+$B$4-1928,0)</f>
        <v>0.19526044759727634</v>
      </c>
      <c r="F20" s="1">
        <f t="shared" ref="F20:H20" si="31">F19+1</f>
        <v>24</v>
      </c>
      <c r="G20" s="1">
        <f t="shared" si="31"/>
        <v>19</v>
      </c>
      <c r="H20" s="1">
        <f t="shared" si="31"/>
        <v>52</v>
      </c>
      <c r="I20" s="3">
        <f t="shared" si="0"/>
        <v>0</v>
      </c>
      <c r="J20" s="3"/>
      <c r="K20" s="3">
        <f t="shared" si="1"/>
        <v>1440654.2540803545</v>
      </c>
      <c r="L20" s="16"/>
      <c r="M20" s="3">
        <f t="shared" si="2"/>
        <v>900</v>
      </c>
      <c r="N20" s="3">
        <f t="shared" si="3"/>
        <v>0</v>
      </c>
      <c r="O20" s="3">
        <f t="shared" si="4"/>
        <v>1366559.9308519841</v>
      </c>
      <c r="P20" s="3">
        <f t="shared" si="5"/>
        <v>2366559.9308519838</v>
      </c>
      <c r="Q20" s="3">
        <f>Q19*(1+E20)+I20-M20-SUM($N$3:N20)*$B$14</f>
        <v>1366559.9308519841</v>
      </c>
      <c r="R20" s="17">
        <f t="shared" si="6"/>
        <v>2366559.9308519838</v>
      </c>
      <c r="S20" s="3"/>
      <c r="T20" s="15">
        <f t="shared" si="7"/>
        <v>0.12</v>
      </c>
      <c r="U20" s="3">
        <f t="shared" si="8"/>
        <v>0</v>
      </c>
      <c r="V20" s="3">
        <f t="shared" si="9"/>
        <v>0</v>
      </c>
      <c r="W20" s="3">
        <f t="shared" si="10"/>
        <v>0</v>
      </c>
      <c r="X20" s="14">
        <f t="array" ref="X20">IF(INDEX(US_mortality_table!I20:I114,MATCH(H20,US_mortality_table!H20:H114))*($B$7-AA19)&lt;0,0,INDEX(US_mortality_table!I20:I114,MATCH(H20,US_mortality_table!H20:H114))*($B$7-AA19))</f>
        <v>2830.1069247894484</v>
      </c>
      <c r="Y20" s="3">
        <f t="shared" si="11"/>
        <v>0</v>
      </c>
      <c r="Z20" s="3">
        <f t="shared" si="12"/>
        <v>2830.1069247894484</v>
      </c>
      <c r="AA20" s="16">
        <f>AA19*(1+T20)+I20-Z20-SUM($U$3:U20)*$B$22</f>
        <v>438210.96499034774</v>
      </c>
      <c r="AB20" s="3">
        <f t="shared" si="15"/>
        <v>1000000</v>
      </c>
      <c r="AC20" s="3"/>
    </row>
    <row r="21" spans="1:29" ht="14.25" customHeight="1">
      <c r="A21" s="1" t="s">
        <v>83</v>
      </c>
      <c r="B21" s="37">
        <f>B13</f>
        <v>0</v>
      </c>
      <c r="D21" s="1">
        <f t="shared" si="13"/>
        <v>19</v>
      </c>
      <c r="E21" s="15">
        <f t="array" ref="E21">INDEX(SPY_yearly_history!$C$3:$C$200,D21+$B$4-1928,0)</f>
        <v>-0.10139186659860477</v>
      </c>
      <c r="F21" s="1">
        <f t="shared" ref="F21:H21" si="32">F20+1</f>
        <v>25</v>
      </c>
      <c r="G21" s="1">
        <f t="shared" si="32"/>
        <v>20</v>
      </c>
      <c r="H21" s="1">
        <f t="shared" si="32"/>
        <v>53</v>
      </c>
      <c r="I21" s="3">
        <f t="shared" si="0"/>
        <v>0</v>
      </c>
      <c r="J21" s="3"/>
      <c r="K21" s="3">
        <f t="shared" si="1"/>
        <v>1294583.6301359267</v>
      </c>
      <c r="L21" s="16"/>
      <c r="M21" s="3">
        <f t="shared" si="2"/>
        <v>900</v>
      </c>
      <c r="N21" s="3">
        <f t="shared" si="3"/>
        <v>0</v>
      </c>
      <c r="O21" s="3">
        <f t="shared" si="4"/>
        <v>1227101.8686440412</v>
      </c>
      <c r="P21" s="3">
        <f t="shared" si="5"/>
        <v>2227101.868644041</v>
      </c>
      <c r="Q21" s="3">
        <f>Q20*(1+E21)+I21-M21-SUM($N$3:N21)*$B$14</f>
        <v>1227101.8686440412</v>
      </c>
      <c r="R21" s="17">
        <f t="shared" si="6"/>
        <v>2227101.868644041</v>
      </c>
      <c r="S21" s="3"/>
      <c r="T21" s="15">
        <f t="shared" si="7"/>
        <v>0</v>
      </c>
      <c r="U21" s="3">
        <f t="shared" si="8"/>
        <v>0</v>
      </c>
      <c r="V21" s="3">
        <f t="shared" si="9"/>
        <v>0</v>
      </c>
      <c r="W21" s="3">
        <f t="shared" si="10"/>
        <v>0</v>
      </c>
      <c r="X21" s="14">
        <f t="array" ref="X21">IF(INDEX(US_mortality_table!I21:I115,MATCH(H21,US_mortality_table!H21:H115))*($B$7-AA20)&lt;0,0,INDEX(US_mortality_table!I21:I115,MATCH(H21,US_mortality_table!H21:H115))*($B$7-AA20))</f>
        <v>2868.4948127592847</v>
      </c>
      <c r="Y21" s="3">
        <f t="shared" si="11"/>
        <v>0</v>
      </c>
      <c r="Z21" s="3">
        <f t="shared" si="12"/>
        <v>2868.4948127592847</v>
      </c>
      <c r="AA21" s="16">
        <f>AA20*(1+T21)+I21-Z21-SUM($U$3:U21)*$B$22</f>
        <v>435342.47017758846</v>
      </c>
      <c r="AB21" s="3">
        <f t="shared" si="15"/>
        <v>1000000</v>
      </c>
      <c r="AC21" s="3"/>
    </row>
    <row r="22" spans="1:29" ht="14.25" customHeight="1">
      <c r="A22" s="1" t="s">
        <v>182</v>
      </c>
      <c r="B22" s="38">
        <v>0.05</v>
      </c>
      <c r="D22" s="1">
        <f t="shared" si="13"/>
        <v>20</v>
      </c>
      <c r="E22" s="15">
        <f t="array" ref="E22">INDEX(SPY_yearly_history!$C$3:$C$200,D22+$B$4-1928,0)</f>
        <v>-0.1304268791468477</v>
      </c>
      <c r="F22" s="1">
        <f t="shared" ref="F22:H22" si="33">F21+1</f>
        <v>26</v>
      </c>
      <c r="G22" s="1">
        <f t="shared" si="33"/>
        <v>21</v>
      </c>
      <c r="H22" s="1">
        <f t="shared" si="33"/>
        <v>54</v>
      </c>
      <c r="I22" s="3">
        <f t="shared" si="0"/>
        <v>0</v>
      </c>
      <c r="J22" s="3"/>
      <c r="K22" s="3">
        <f t="shared" si="1"/>
        <v>1125735.1274627007</v>
      </c>
      <c r="L22" s="16"/>
      <c r="M22" s="3">
        <f t="shared" si="2"/>
        <v>900</v>
      </c>
      <c r="N22" s="3">
        <f t="shared" si="3"/>
        <v>0</v>
      </c>
      <c r="O22" s="3">
        <f t="shared" si="4"/>
        <v>1066154.8015215339</v>
      </c>
      <c r="P22" s="3">
        <f t="shared" si="5"/>
        <v>2066154.8015215339</v>
      </c>
      <c r="Q22" s="3">
        <f>Q21*(1+E22)+I22-M22-SUM($N$3:N22)*$B$14</f>
        <v>1066154.8015215339</v>
      </c>
      <c r="R22" s="17">
        <f t="shared" si="6"/>
        <v>2066154.8015215339</v>
      </c>
      <c r="S22" s="3"/>
      <c r="T22" s="15">
        <f t="shared" si="7"/>
        <v>0</v>
      </c>
      <c r="U22" s="3">
        <f t="shared" si="8"/>
        <v>0</v>
      </c>
      <c r="V22" s="3">
        <f t="shared" si="9"/>
        <v>0</v>
      </c>
      <c r="W22" s="3">
        <f t="shared" si="10"/>
        <v>0</v>
      </c>
      <c r="X22" s="14">
        <f t="array" ref="X22">IF(INDEX(US_mortality_table!I22:I116,MATCH(H22,US_mortality_table!H22:H116))*($B$7-AA21)&lt;0,0,INDEX(US_mortality_table!I22:I116,MATCH(H22,US_mortality_table!H22:H116))*($B$7-AA21))</f>
        <v>3155.5886054125463</v>
      </c>
      <c r="Y22" s="3">
        <f t="shared" si="11"/>
        <v>0</v>
      </c>
      <c r="Z22" s="3">
        <f t="shared" si="12"/>
        <v>3155.5886054125463</v>
      </c>
      <c r="AA22" s="16">
        <f>AA21*(1+T22)+I22-Z22-SUM($U$3:U22)*$B$22</f>
        <v>432186.88157217589</v>
      </c>
      <c r="AB22" s="3">
        <f t="shared" si="15"/>
        <v>1000000</v>
      </c>
      <c r="AC22" s="3"/>
    </row>
    <row r="23" spans="1:29" ht="14.25" customHeight="1">
      <c r="A23" s="11" t="s">
        <v>183</v>
      </c>
      <c r="B23" s="39">
        <v>0.12</v>
      </c>
      <c r="D23" s="1">
        <f t="shared" si="13"/>
        <v>21</v>
      </c>
      <c r="E23" s="15">
        <f t="array" ref="E23">INDEX(SPY_yearly_history!$C$3:$C$200,D23+$B$4-1928,0)</f>
        <v>-0.23365967528395226</v>
      </c>
      <c r="F23" s="1">
        <f t="shared" ref="F23:H23" si="34">F22+1</f>
        <v>27</v>
      </c>
      <c r="G23" s="1">
        <f t="shared" si="34"/>
        <v>22</v>
      </c>
      <c r="H23" s="1">
        <f t="shared" si="34"/>
        <v>55</v>
      </c>
      <c r="I23" s="3">
        <f t="shared" si="0"/>
        <v>0</v>
      </c>
      <c r="J23" s="3"/>
      <c r="K23" s="3">
        <f t="shared" si="1"/>
        <v>862696.22312402749</v>
      </c>
      <c r="L23" s="16"/>
      <c r="M23" s="3">
        <f t="shared" si="2"/>
        <v>900</v>
      </c>
      <c r="N23" s="3">
        <f t="shared" si="3"/>
        <v>0</v>
      </c>
      <c r="O23" s="3">
        <f t="shared" si="4"/>
        <v>816137.41679558565</v>
      </c>
      <c r="P23" s="3">
        <f t="shared" si="5"/>
        <v>1816137.4167955858</v>
      </c>
      <c r="Q23" s="3">
        <f>Q22*(1+E23)+I23-M23-SUM($N$3:N23)*$B$14</f>
        <v>816137.41679558565</v>
      </c>
      <c r="R23" s="17">
        <f t="shared" si="6"/>
        <v>1816137.4167955858</v>
      </c>
      <c r="S23" s="3"/>
      <c r="T23" s="15">
        <f t="shared" si="7"/>
        <v>0</v>
      </c>
      <c r="U23" s="3">
        <f t="shared" si="8"/>
        <v>0</v>
      </c>
      <c r="V23" s="3">
        <f t="shared" si="9"/>
        <v>0</v>
      </c>
      <c r="W23" s="3">
        <f t="shared" si="10"/>
        <v>0</v>
      </c>
      <c r="X23" s="14">
        <f t="array" ref="X23">IF(INDEX(US_mortality_table!I23:I117,MATCH(H23,US_mortality_table!H23:H117))*($B$7-AA22)&lt;0,0,INDEX(US_mortality_table!I23:I117,MATCH(H23,US_mortality_table!H23:H117))*($B$7-AA22))</f>
        <v>3468.4864339163637</v>
      </c>
      <c r="Y23" s="3">
        <f t="shared" si="11"/>
        <v>0</v>
      </c>
      <c r="Z23" s="3">
        <f t="shared" si="12"/>
        <v>3468.4864339163637</v>
      </c>
      <c r="AA23" s="16">
        <f>AA22*(1+T23)+I23-Z23-SUM($U$3:U23)*$B$22</f>
        <v>428718.39513825951</v>
      </c>
      <c r="AB23" s="3">
        <f t="shared" si="15"/>
        <v>1000000</v>
      </c>
      <c r="AC23" s="3"/>
    </row>
    <row r="24" spans="1:29" ht="14.25" customHeight="1">
      <c r="D24" s="1">
        <f t="shared" si="13"/>
        <v>22</v>
      </c>
      <c r="E24" s="15">
        <f t="array" ref="E24">INDEX(SPY_yearly_history!$C$3:$C$200,D24+$B$4-1928,0)</f>
        <v>0.26380395990088878</v>
      </c>
      <c r="F24" s="1">
        <f t="shared" ref="F24:H24" si="35">F23+1</f>
        <v>28</v>
      </c>
      <c r="G24" s="1">
        <f t="shared" si="35"/>
        <v>23</v>
      </c>
      <c r="H24" s="1">
        <f t="shared" si="35"/>
        <v>56</v>
      </c>
      <c r="I24" s="3">
        <f t="shared" si="0"/>
        <v>0</v>
      </c>
      <c r="J24" s="3"/>
      <c r="K24" s="3">
        <f t="shared" si="1"/>
        <v>1090278.9029756866</v>
      </c>
      <c r="L24" s="16"/>
      <c r="M24" s="3">
        <f t="shared" si="2"/>
        <v>900</v>
      </c>
      <c r="N24" s="3">
        <f t="shared" si="3"/>
        <v>0</v>
      </c>
      <c r="O24" s="3">
        <f t="shared" si="4"/>
        <v>1030537.6991695433</v>
      </c>
      <c r="P24" s="3">
        <f t="shared" si="5"/>
        <v>2030537.6991695433</v>
      </c>
      <c r="Q24" s="3">
        <f>Q23*(1+E24)+I24-M24-SUM($N$3:N24)*$B$14</f>
        <v>1030537.6991695433</v>
      </c>
      <c r="R24" s="17">
        <f t="shared" si="6"/>
        <v>2030537.6991695433</v>
      </c>
      <c r="S24" s="3"/>
      <c r="T24" s="15">
        <f t="shared" si="7"/>
        <v>0.12</v>
      </c>
      <c r="U24" s="3">
        <f t="shared" si="8"/>
        <v>0</v>
      </c>
      <c r="V24" s="3">
        <f t="shared" si="9"/>
        <v>0</v>
      </c>
      <c r="W24" s="3">
        <f t="shared" si="10"/>
        <v>0</v>
      </c>
      <c r="X24" s="14">
        <f t="array" ref="X24">IF(INDEX(US_mortality_table!I24:I118,MATCH(H24,US_mortality_table!H24:H118))*($B$7-AA23)&lt;0,0,INDEX(US_mortality_table!I24:I118,MATCH(H24,US_mortality_table!H24:H118))*($B$7-AA23))</f>
        <v>3803.5929251694674</v>
      </c>
      <c r="Y24" s="3">
        <f t="shared" si="11"/>
        <v>0</v>
      </c>
      <c r="Z24" s="3">
        <f t="shared" si="12"/>
        <v>3803.5929251694674</v>
      </c>
      <c r="AA24" s="16">
        <f>AA23*(1+T24)+I24-Z24-SUM($U$3:U24)*$B$22</f>
        <v>476361.00962968124</v>
      </c>
      <c r="AB24" s="3">
        <f t="shared" si="15"/>
        <v>1000000</v>
      </c>
      <c r="AC24" s="3"/>
    </row>
    <row r="25" spans="1:29" ht="14.25" customHeight="1">
      <c r="D25" s="1">
        <f t="shared" si="13"/>
        <v>23</v>
      </c>
      <c r="E25" s="15">
        <f t="array" ref="E25">INDEX(SPY_yearly_history!$C$3:$C$200,D25+$B$4-1928,0)</f>
        <v>8.9934527663860786E-2</v>
      </c>
      <c r="F25" s="1">
        <f t="shared" ref="F25:H25" si="36">F24+1</f>
        <v>29</v>
      </c>
      <c r="G25" s="1">
        <f t="shared" si="36"/>
        <v>24</v>
      </c>
      <c r="H25" s="1">
        <f t="shared" si="36"/>
        <v>57</v>
      </c>
      <c r="I25" s="3">
        <f t="shared" si="0"/>
        <v>0</v>
      </c>
      <c r="J25" s="3"/>
      <c r="K25" s="3">
        <f t="shared" si="1"/>
        <v>1188332.6211366772</v>
      </c>
      <c r="L25" s="16"/>
      <c r="M25" s="3">
        <f t="shared" si="2"/>
        <v>900</v>
      </c>
      <c r="N25" s="3">
        <f t="shared" si="3"/>
        <v>0</v>
      </c>
      <c r="O25" s="3">
        <f t="shared" si="4"/>
        <v>1122318.6203841581</v>
      </c>
      <c r="P25" s="3">
        <f t="shared" si="5"/>
        <v>2122318.6203841581</v>
      </c>
      <c r="Q25" s="3">
        <f>Q24*(1+E25)+I25-M25-SUM($N$3:N25)*$B$14</f>
        <v>1122318.6203841581</v>
      </c>
      <c r="R25" s="17">
        <f t="shared" si="6"/>
        <v>2122318.6203841581</v>
      </c>
      <c r="S25" s="3"/>
      <c r="T25" s="15">
        <f t="shared" si="7"/>
        <v>8.9934527663860786E-2</v>
      </c>
      <c r="U25" s="3">
        <f t="shared" si="8"/>
        <v>0</v>
      </c>
      <c r="V25" s="3">
        <f t="shared" si="9"/>
        <v>0</v>
      </c>
      <c r="W25" s="3">
        <f t="shared" si="10"/>
        <v>0</v>
      </c>
      <c r="X25" s="14">
        <f t="array" ref="X25">IF(INDEX(US_mortality_table!I25:I119,MATCH(H25,US_mortality_table!H25:H119))*($B$7-AA24)&lt;0,0,INDEX(US_mortality_table!I25:I119,MATCH(H25,US_mortality_table!H25:H119))*($B$7-AA24))</f>
        <v>3789.0517343196261</v>
      </c>
      <c r="Y25" s="3">
        <f t="shared" si="11"/>
        <v>0</v>
      </c>
      <c r="Z25" s="3">
        <f t="shared" si="12"/>
        <v>3789.0517343196261</v>
      </c>
      <c r="AA25" s="16">
        <f>AA24*(1+T25)+I25-Z25-SUM($U$3:U25)*$B$22</f>
        <v>515413.26029388688</v>
      </c>
      <c r="AB25" s="3">
        <f t="shared" si="15"/>
        <v>1000000</v>
      </c>
      <c r="AC25" s="3"/>
    </row>
    <row r="26" spans="1:29" ht="14.25" customHeight="1">
      <c r="A26" s="63" t="s">
        <v>80</v>
      </c>
      <c r="B26" s="63"/>
      <c r="D26" s="1">
        <f t="shared" si="13"/>
        <v>24</v>
      </c>
      <c r="E26" s="15">
        <f t="array" ref="E26">INDEX(SPY_yearly_history!$C$3:$C$200,D26+$B$4-1928,0)</f>
        <v>3.0010231698461842E-2</v>
      </c>
      <c r="F26" s="1">
        <f t="shared" ref="F26:H26" si="37">F25+1</f>
        <v>30</v>
      </c>
      <c r="G26" s="1">
        <f t="shared" si="37"/>
        <v>25</v>
      </c>
      <c r="H26" s="1">
        <f t="shared" si="37"/>
        <v>58</v>
      </c>
      <c r="I26" s="3">
        <f t="shared" si="0"/>
        <v>0</v>
      </c>
      <c r="J26" s="3"/>
      <c r="K26" s="3">
        <f t="shared" si="1"/>
        <v>1223994.7584318293</v>
      </c>
      <c r="L26" s="16"/>
      <c r="M26" s="3">
        <f t="shared" si="2"/>
        <v>900</v>
      </c>
      <c r="N26" s="3">
        <f t="shared" si="3"/>
        <v>0</v>
      </c>
      <c r="O26" s="3">
        <f t="shared" si="4"/>
        <v>1155099.6622213847</v>
      </c>
      <c r="P26" s="3">
        <f t="shared" si="5"/>
        <v>2155099.6622213847</v>
      </c>
      <c r="Q26" s="3">
        <f>Q25*(1+E26)+I26-M26-SUM($N$3:N26)*$B$14</f>
        <v>1155099.6622213847</v>
      </c>
      <c r="R26" s="17">
        <f t="shared" si="6"/>
        <v>2155099.6622213847</v>
      </c>
      <c r="S26" s="3"/>
      <c r="T26" s="15">
        <f t="shared" si="7"/>
        <v>3.0010231698461842E-2</v>
      </c>
      <c r="U26" s="3">
        <f t="shared" si="8"/>
        <v>0</v>
      </c>
      <c r="V26" s="3">
        <f t="shared" si="9"/>
        <v>0</v>
      </c>
      <c r="W26" s="3">
        <f t="shared" si="10"/>
        <v>0</v>
      </c>
      <c r="X26" s="14">
        <f t="array" ref="X26">IF(INDEX(US_mortality_table!I26:I120,MATCH(H26,US_mortality_table!H26:H120))*($B$7-AA25)&lt;0,0,INDEX(US_mortality_table!I26:I120,MATCH(H26,US_mortality_table!H26:H120))*($B$7-AA25))</f>
        <v>3798.4331591863679</v>
      </c>
      <c r="Y26" s="3">
        <f t="shared" si="11"/>
        <v>0</v>
      </c>
      <c r="Z26" s="3">
        <f t="shared" si="12"/>
        <v>3798.4331591863679</v>
      </c>
      <c r="AA26" s="16">
        <f>AA25*(1+T26)+I26-Z26-SUM($U$3:U26)*$B$22</f>
        <v>527082.4984965797</v>
      </c>
      <c r="AB26" s="3">
        <f t="shared" si="15"/>
        <v>1000000</v>
      </c>
      <c r="AC26" s="3"/>
    </row>
    <row r="27" spans="1:29" ht="14.25" customHeight="1">
      <c r="A27" t="s">
        <v>187</v>
      </c>
      <c r="B27" s="47">
        <v>60</v>
      </c>
      <c r="D27" s="1">
        <f t="shared" si="13"/>
        <v>25</v>
      </c>
      <c r="E27" s="15">
        <f t="array" ref="E27">INDEX(SPY_yearly_history!$C$3:$C$200,D27+$B$4-1928,0)</f>
        <v>0.13619431382130753</v>
      </c>
      <c r="F27" s="1">
        <f t="shared" ref="F27:H27" si="38">F26+1</f>
        <v>31</v>
      </c>
      <c r="G27" s="1">
        <f t="shared" si="38"/>
        <v>26</v>
      </c>
      <c r="H27" s="1">
        <f t="shared" si="38"/>
        <v>59</v>
      </c>
      <c r="I27" s="3">
        <f t="shared" si="0"/>
        <v>0</v>
      </c>
      <c r="J27" s="3"/>
      <c r="K27" s="3">
        <f t="shared" si="1"/>
        <v>1390695.8846773293</v>
      </c>
      <c r="L27" s="16"/>
      <c r="M27" s="3">
        <f t="shared" si="2"/>
        <v>900</v>
      </c>
      <c r="N27" s="3">
        <f t="shared" si="3"/>
        <v>0</v>
      </c>
      <c r="O27" s="3">
        <f t="shared" si="4"/>
        <v>1311517.6681128503</v>
      </c>
      <c r="P27" s="3">
        <f t="shared" si="5"/>
        <v>2311517.6681128503</v>
      </c>
      <c r="Q27" s="3">
        <f>Q26*(1+E27)+I27-M27-SUM($N$3:N27)*$B$14</f>
        <v>1311517.6681128503</v>
      </c>
      <c r="R27" s="17">
        <f t="shared" si="6"/>
        <v>2311517.6681128503</v>
      </c>
      <c r="S27" s="3"/>
      <c r="T27" s="15">
        <f t="shared" si="7"/>
        <v>0.12</v>
      </c>
      <c r="U27" s="3">
        <f t="shared" si="8"/>
        <v>0</v>
      </c>
      <c r="V27" s="3">
        <f t="shared" si="9"/>
        <v>0</v>
      </c>
      <c r="W27" s="3">
        <f t="shared" si="10"/>
        <v>0</v>
      </c>
      <c r="X27" s="14">
        <f t="array" ref="X27">IF(INDEX(US_mortality_table!I27:I121,MATCH(H27,US_mortality_table!H27:H121))*($B$7-AA26)&lt;0,0,INDEX(US_mortality_table!I27:I121,MATCH(H27,US_mortality_table!H27:H121))*($B$7-AA26))</f>
        <v>4004.9018614817151</v>
      </c>
      <c r="Y27" s="3">
        <f t="shared" si="11"/>
        <v>0</v>
      </c>
      <c r="Z27" s="3">
        <f t="shared" si="12"/>
        <v>4004.9018614817151</v>
      </c>
      <c r="AA27" s="16">
        <f>AA26*(1+T27)+I27-Z27-SUM($U$3:U27)*$B$22</f>
        <v>586327.49645468756</v>
      </c>
      <c r="AB27" s="3">
        <f t="shared" si="15"/>
        <v>1000000</v>
      </c>
      <c r="AC27" s="3"/>
    </row>
    <row r="28" spans="1:29" ht="14.25" customHeight="1">
      <c r="A28" s="46" t="s">
        <v>186</v>
      </c>
      <c r="B28" s="40">
        <f>INDEX(O3:O52,MATCH(B27,H3:H52))</f>
        <v>1357808.702778104</v>
      </c>
      <c r="D28" s="1">
        <f t="shared" si="13"/>
        <v>26</v>
      </c>
      <c r="E28" s="15">
        <f t="array" ref="E28">INDEX(SPY_yearly_history!$C$3:$C$200,D28+$B$4-1928,0)</f>
        <v>3.5295776633998521E-2</v>
      </c>
      <c r="F28" s="1">
        <f t="shared" ref="F28:H28" si="39">F27+1</f>
        <v>32</v>
      </c>
      <c r="G28" s="1">
        <f t="shared" si="39"/>
        <v>27</v>
      </c>
      <c r="H28" s="1">
        <f t="shared" si="39"/>
        <v>60</v>
      </c>
      <c r="I28" s="3">
        <f t="shared" si="0"/>
        <v>0</v>
      </c>
      <c r="J28" s="3"/>
      <c r="K28" s="3">
        <f t="shared" si="1"/>
        <v>1439781.5759887213</v>
      </c>
      <c r="L28" s="16"/>
      <c r="M28" s="3">
        <f t="shared" si="2"/>
        <v>0</v>
      </c>
      <c r="N28" s="3">
        <f t="shared" si="3"/>
        <v>0</v>
      </c>
      <c r="O28" s="3">
        <f t="shared" si="4"/>
        <v>1357808.702778104</v>
      </c>
      <c r="P28" s="3">
        <f t="shared" si="5"/>
        <v>1357808.702778104</v>
      </c>
      <c r="Q28" s="3">
        <f>Q27*(1+E28)+I28-M28-SUM($N$3:N28)*$B$14</f>
        <v>1357808.702778104</v>
      </c>
      <c r="R28" s="17">
        <f t="shared" si="6"/>
        <v>1357808.702778104</v>
      </c>
      <c r="S28" s="3"/>
      <c r="T28" s="15">
        <f t="shared" si="7"/>
        <v>3.5295776633998521E-2</v>
      </c>
      <c r="U28" s="3">
        <f t="shared" si="8"/>
        <v>0</v>
      </c>
      <c r="V28" s="3">
        <f t="shared" si="9"/>
        <v>0</v>
      </c>
      <c r="W28" s="3">
        <f t="shared" si="10"/>
        <v>0</v>
      </c>
      <c r="X28" s="14">
        <f t="array" ref="X28">IF(INDEX(US_mortality_table!I28:I122,MATCH(H28,US_mortality_table!H28:H122))*($B$7-AA27)&lt;0,0,INDEX(US_mortality_table!I28:I122,MATCH(H28,US_mortality_table!H28:H122))*($B$7-AA27))</f>
        <v>3790.6879862374703</v>
      </c>
      <c r="Y28" s="3">
        <f t="shared" si="11"/>
        <v>0</v>
      </c>
      <c r="Z28" s="3">
        <f t="shared" si="12"/>
        <v>3790.6879862374703</v>
      </c>
      <c r="AA28" s="16">
        <f>AA27*(1+T28)+I28-Z28-SUM($U$3:U28)*$B$22</f>
        <v>603231.69281768636</v>
      </c>
      <c r="AB28" s="3">
        <f t="shared" si="15"/>
        <v>1000000</v>
      </c>
      <c r="AC28" s="3"/>
    </row>
    <row r="29" spans="1:29" ht="14.25" customHeight="1">
      <c r="A29" s="11" t="s">
        <v>81</v>
      </c>
      <c r="B29" s="40">
        <f>INDEX(Q3:Q52,MATCH(B27,H3:H52))</f>
        <v>1357808.702778104</v>
      </c>
      <c r="D29" s="1">
        <f t="shared" si="13"/>
        <v>27</v>
      </c>
      <c r="E29" s="15">
        <f t="array" ref="E29">INDEX(SPY_yearly_history!$C$3:$C$200,D29+$B$4-1928,0)</f>
        <v>-0.38485793674575708</v>
      </c>
      <c r="F29" s="1">
        <f t="shared" ref="F29:H29" si="40">F28+1</f>
        <v>33</v>
      </c>
      <c r="G29" s="1">
        <f t="shared" si="40"/>
        <v>28</v>
      </c>
      <c r="H29" s="1">
        <f t="shared" si="40"/>
        <v>61</v>
      </c>
      <c r="I29" s="3">
        <f t="shared" si="0"/>
        <v>0</v>
      </c>
      <c r="J29" s="3"/>
      <c r="K29" s="3">
        <f t="shared" si="1"/>
        <v>885670.20928914763</v>
      </c>
      <c r="L29" s="16"/>
      <c r="M29" s="3">
        <f t="shared" si="2"/>
        <v>0</v>
      </c>
      <c r="N29" s="3">
        <f t="shared" si="3"/>
        <v>0</v>
      </c>
      <c r="O29" s="3">
        <f t="shared" si="4"/>
        <v>835245.24693149002</v>
      </c>
      <c r="P29" s="3">
        <f t="shared" si="5"/>
        <v>835245.24693149002</v>
      </c>
      <c r="Q29" s="3">
        <f>Q28*(1+E29)+I29-M29-SUM($N$3:N29)*$B$14</f>
        <v>835245.24693149002</v>
      </c>
      <c r="R29" s="17">
        <f t="shared" si="6"/>
        <v>835245.24693149002</v>
      </c>
      <c r="S29" s="3"/>
      <c r="T29" s="15">
        <f t="shared" si="7"/>
        <v>0</v>
      </c>
      <c r="U29" s="3">
        <f t="shared" si="8"/>
        <v>0</v>
      </c>
      <c r="V29" s="3">
        <f t="shared" si="9"/>
        <v>0</v>
      </c>
      <c r="W29" s="3">
        <f t="shared" si="10"/>
        <v>0</v>
      </c>
      <c r="X29" s="14">
        <f t="array" ref="X29">IF(INDEX(US_mortality_table!I29:I123,MATCH(H29,US_mortality_table!H29:H123))*($B$7-AA28)&lt;0,0,INDEX(US_mortality_table!I29:I123,MATCH(H29,US_mortality_table!H29:H123))*($B$7-AA28))</f>
        <v>3929.1965460264523</v>
      </c>
      <c r="Y29" s="3">
        <f t="shared" si="11"/>
        <v>0</v>
      </c>
      <c r="Z29" s="3">
        <f t="shared" si="12"/>
        <v>3929.1965460264523</v>
      </c>
      <c r="AA29" s="16">
        <f>AA28*(1+T29)+I29-Z29-SUM($U$3:U29)*$B$22</f>
        <v>599302.49627165985</v>
      </c>
      <c r="AB29" s="3">
        <f t="shared" si="15"/>
        <v>1000000</v>
      </c>
      <c r="AC29" s="3"/>
    </row>
    <row r="30" spans="1:29" ht="14.25" customHeight="1">
      <c r="A30" s="11" t="s">
        <v>82</v>
      </c>
      <c r="B30" s="40">
        <f>INDEX(AA3:AA43,MATCH(B27,H3:H43))</f>
        <v>603231.69281768636</v>
      </c>
      <c r="D30" s="1">
        <f t="shared" si="13"/>
        <v>28</v>
      </c>
      <c r="E30" s="15">
        <f t="array" ref="E30">INDEX(SPY_yearly_history!$C$3:$C$200,D30+$B$4-1928,0)</f>
        <v>0.23454193191253792</v>
      </c>
      <c r="F30" s="1">
        <f t="shared" ref="F30:H30" si="41">F29+1</f>
        <v>34</v>
      </c>
      <c r="G30" s="1">
        <f t="shared" si="41"/>
        <v>29</v>
      </c>
      <c r="H30" s="1">
        <f t="shared" si="41"/>
        <v>62</v>
      </c>
      <c r="I30" s="3">
        <f t="shared" si="0"/>
        <v>0</v>
      </c>
      <c r="J30" s="3"/>
      <c r="K30" s="3">
        <f t="shared" si="1"/>
        <v>1093397.0112132062</v>
      </c>
      <c r="L30" s="16"/>
      <c r="M30" s="3">
        <f t="shared" si="2"/>
        <v>0</v>
      </c>
      <c r="N30" s="3">
        <f t="shared" si="3"/>
        <v>0</v>
      </c>
      <c r="O30" s="3">
        <f t="shared" si="4"/>
        <v>1031145.2807675665</v>
      </c>
      <c r="P30" s="3">
        <f t="shared" si="5"/>
        <v>1031145.2807675665</v>
      </c>
      <c r="Q30" s="3">
        <f>Q29*(1+E30)+I30-M30-SUM($N$3:N30)*$B$14</f>
        <v>1031145.2807675665</v>
      </c>
      <c r="R30" s="17">
        <f t="shared" si="6"/>
        <v>1031145.2807675665</v>
      </c>
      <c r="S30" s="3"/>
      <c r="T30" s="15">
        <f t="shared" si="7"/>
        <v>0.12</v>
      </c>
      <c r="U30" s="3">
        <f t="shared" si="8"/>
        <v>0</v>
      </c>
      <c r="V30" s="3">
        <f t="shared" si="9"/>
        <v>0</v>
      </c>
      <c r="W30" s="3">
        <f t="shared" si="10"/>
        <v>0</v>
      </c>
      <c r="X30" s="14">
        <f t="array" ref="X30">IF(INDEX(US_mortality_table!I30:I124,MATCH(H30,US_mortality_table!H30:H124))*($B$7-AA29)&lt;0,0,INDEX(US_mortality_table!I30:I124,MATCH(H30,US_mortality_table!H30:H124))*($B$7-AA29))</f>
        <v>4258.2123721210701</v>
      </c>
      <c r="Y30" s="3">
        <f t="shared" si="11"/>
        <v>0</v>
      </c>
      <c r="Z30" s="3">
        <f t="shared" si="12"/>
        <v>4258.2123721210701</v>
      </c>
      <c r="AA30" s="16">
        <f>AA29*(1+T30)+I30-Z30-SUM($U$3:U30)*$B$22</f>
        <v>666960.583452138</v>
      </c>
      <c r="AB30" s="3">
        <f t="shared" si="15"/>
        <v>1000000</v>
      </c>
      <c r="AC30" s="3"/>
    </row>
    <row r="31" spans="1:29" ht="14.25" customHeight="1">
      <c r="D31" s="1">
        <f t="shared" si="13"/>
        <v>29</v>
      </c>
      <c r="E31" s="15">
        <f t="array" ref="E31">INDEX(SPY_yearly_history!$C$3:$C$200,D31+$B$4-1928,0)</f>
        <v>0.12782710070845682</v>
      </c>
      <c r="F31" s="1">
        <f t="shared" ref="F31:H31" si="42">F30+1</f>
        <v>35</v>
      </c>
      <c r="G31" s="1">
        <f t="shared" si="42"/>
        <v>30</v>
      </c>
      <c r="H31" s="1">
        <f t="shared" si="42"/>
        <v>63</v>
      </c>
      <c r="I31" s="3">
        <f t="shared" si="0"/>
        <v>0</v>
      </c>
      <c r="J31" s="3"/>
      <c r="K31" s="3">
        <f t="shared" si="1"/>
        <v>1233162.7810798825</v>
      </c>
      <c r="L31" s="16"/>
      <c r="M31" s="3">
        <f t="shared" si="2"/>
        <v>0</v>
      </c>
      <c r="N31" s="3">
        <f t="shared" si="3"/>
        <v>0</v>
      </c>
      <c r="O31" s="3">
        <f t="shared" si="4"/>
        <v>1162953.5924172923</v>
      </c>
      <c r="P31" s="3">
        <f t="shared" si="5"/>
        <v>1162953.5924172923</v>
      </c>
      <c r="Q31" s="3">
        <f>Q30*(1+E31)+I31-M31-SUM($N$3:N31)*$B$14</f>
        <v>1162953.5924172923</v>
      </c>
      <c r="R31" s="17">
        <f t="shared" si="6"/>
        <v>1162953.5924172923</v>
      </c>
      <c r="S31" s="3"/>
      <c r="T31" s="15">
        <f t="shared" si="7"/>
        <v>0.12</v>
      </c>
      <c r="U31" s="3">
        <f t="shared" si="8"/>
        <v>0</v>
      </c>
      <c r="V31" s="3">
        <f t="shared" si="9"/>
        <v>0</v>
      </c>
      <c r="W31" s="3">
        <f t="shared" si="10"/>
        <v>0</v>
      </c>
      <c r="X31" s="14">
        <f t="array" ref="X31">IF(INDEX(US_mortality_table!I31:I125,MATCH(H31,US_mortality_table!H31:H125))*($B$7-AA30)&lt;0,0,INDEX(US_mortality_table!I31:I125,MATCH(H31,US_mortality_table!H31:H125))*($B$7-AA30))</f>
        <v>3768.6740376556063</v>
      </c>
      <c r="Y31" s="3">
        <f t="shared" si="11"/>
        <v>0</v>
      </c>
      <c r="Z31" s="3">
        <f t="shared" si="12"/>
        <v>3768.6740376556063</v>
      </c>
      <c r="AA31" s="16">
        <f>AA30*(1+T31)+I31-Z31-SUM($U$3:U31)*$B$22</f>
        <v>743227.17942873901</v>
      </c>
      <c r="AB31" s="3">
        <f t="shared" si="15"/>
        <v>1000000</v>
      </c>
      <c r="AC31" s="3"/>
    </row>
    <row r="32" spans="1:29" ht="14.25" customHeight="1">
      <c r="D32" s="1">
        <f t="shared" si="13"/>
        <v>30</v>
      </c>
      <c r="E32" s="15">
        <f t="array" ref="E32">INDEX(SPY_yearly_history!$C$3:$C$200,D32+$B$4-1928,0)</f>
        <v>-3.1805604147616684E-5</v>
      </c>
      <c r="F32" s="1">
        <f t="shared" ref="F32:H32" si="43">F31+1</f>
        <v>36</v>
      </c>
      <c r="G32" s="1">
        <f t="shared" si="43"/>
        <v>31</v>
      </c>
      <c r="H32" s="1">
        <f t="shared" si="43"/>
        <v>64</v>
      </c>
      <c r="I32" s="3">
        <f t="shared" si="0"/>
        <v>0</v>
      </c>
      <c r="J32" s="3"/>
      <c r="K32" s="3">
        <f t="shared" si="1"/>
        <v>1233123.5595926179</v>
      </c>
      <c r="L32" s="16"/>
      <c r="M32" s="3">
        <f t="shared" si="2"/>
        <v>0</v>
      </c>
      <c r="N32" s="3">
        <f t="shared" si="3"/>
        <v>0</v>
      </c>
      <c r="O32" s="3">
        <f t="shared" si="4"/>
        <v>1162916.6039756897</v>
      </c>
      <c r="P32" s="3">
        <f t="shared" si="5"/>
        <v>1162916.6039756897</v>
      </c>
      <c r="Q32" s="3">
        <f>Q31*(1+E32)+I32-M32-SUM($N$3:N32)*$B$14</f>
        <v>1162916.6039756897</v>
      </c>
      <c r="R32" s="17">
        <f t="shared" si="6"/>
        <v>1162916.6039756897</v>
      </c>
      <c r="S32" s="3"/>
      <c r="T32" s="15">
        <f t="shared" si="7"/>
        <v>0</v>
      </c>
      <c r="U32" s="3">
        <f t="shared" si="8"/>
        <v>0</v>
      </c>
      <c r="V32" s="3">
        <f t="shared" si="9"/>
        <v>0</v>
      </c>
      <c r="W32" s="3">
        <f t="shared" si="10"/>
        <v>0</v>
      </c>
      <c r="X32" s="14">
        <f t="array" ref="X32">IF(INDEX(US_mortality_table!I32:I126,MATCH(H32,US_mortality_table!H32:H126))*($B$7-AA31)&lt;0,0,INDEX(US_mortality_table!I32:I126,MATCH(H32,US_mortality_table!H32:H126))*($B$7-AA31))</f>
        <v>3083.8415750608447</v>
      </c>
      <c r="Y32" s="3">
        <f t="shared" si="11"/>
        <v>0</v>
      </c>
      <c r="Z32" s="3">
        <f t="shared" si="12"/>
        <v>3083.8415750608447</v>
      </c>
      <c r="AA32" s="16">
        <f>AA31*(1+T32)+I32-Z32-SUM($U$3:U32)*$B$22</f>
        <v>740143.33785367815</v>
      </c>
      <c r="AB32" s="3">
        <f t="shared" si="15"/>
        <v>1000000</v>
      </c>
      <c r="AC32" s="3"/>
    </row>
    <row r="33" spans="4:29" ht="14.25" customHeight="1">
      <c r="D33" s="1">
        <f t="shared" si="13"/>
        <v>31</v>
      </c>
      <c r="E33" s="15">
        <f t="array" ref="E33">INDEX(SPY_yearly_history!$C$3:$C$200,D33+$B$4-1928,0)</f>
        <v>0.13405693384223927</v>
      </c>
      <c r="F33" s="1">
        <f t="shared" ref="F33:H33" si="44">F32+1</f>
        <v>37</v>
      </c>
      <c r="G33" s="1">
        <f t="shared" si="44"/>
        <v>32</v>
      </c>
      <c r="H33" s="1">
        <f t="shared" si="44"/>
        <v>65</v>
      </c>
      <c r="I33" s="3">
        <f t="shared" si="0"/>
        <v>0</v>
      </c>
      <c r="J33" s="3"/>
      <c r="K33" s="3">
        <f t="shared" si="1"/>
        <v>1398432.3230402321</v>
      </c>
      <c r="L33" s="16"/>
      <c r="M33" s="3">
        <f t="shared" si="2"/>
        <v>0</v>
      </c>
      <c r="N33" s="3">
        <f t="shared" si="3"/>
        <v>0</v>
      </c>
      <c r="O33" s="3">
        <f t="shared" si="4"/>
        <v>1318813.6382189004</v>
      </c>
      <c r="P33" s="3">
        <f t="shared" si="5"/>
        <v>1318813.6382189004</v>
      </c>
      <c r="Q33" s="3">
        <f>Q32*(1+E33)+I33-M33-SUM($N$3:N33)*$B$14</f>
        <v>1318813.6382189004</v>
      </c>
      <c r="R33" s="17">
        <f t="shared" si="6"/>
        <v>1318813.6382189004</v>
      </c>
      <c r="S33" s="3"/>
      <c r="T33" s="15">
        <f t="shared" si="7"/>
        <v>0.12</v>
      </c>
      <c r="U33" s="3">
        <f t="shared" si="8"/>
        <v>0</v>
      </c>
      <c r="V33" s="3">
        <f t="shared" si="9"/>
        <v>0</v>
      </c>
      <c r="W33" s="3">
        <f t="shared" si="10"/>
        <v>0</v>
      </c>
      <c r="X33" s="14">
        <f t="array" ref="X33">IF(INDEX(US_mortality_table!I33:I127,MATCH(H33,US_mortality_table!H33:H127))*($B$7-AA32)&lt;0,0,INDEX(US_mortality_table!I33:I127,MATCH(H33,US_mortality_table!H33:H127))*($B$7-AA32))</f>
        <v>3325.7754904797002</v>
      </c>
      <c r="Y33" s="3">
        <f t="shared" si="11"/>
        <v>0</v>
      </c>
      <c r="Z33" s="3">
        <f t="shared" si="12"/>
        <v>3325.7754904797002</v>
      </c>
      <c r="AA33" s="16">
        <f>AA32*(1+T33)+I33-Z33-SUM($U$3:U33)*$B$22</f>
        <v>825634.76290563995</v>
      </c>
      <c r="AB33" s="3">
        <f t="shared" si="15"/>
        <v>1000000</v>
      </c>
      <c r="AC33" s="3"/>
    </row>
    <row r="34" spans="4:29" ht="14.25" customHeight="1">
      <c r="D34" s="1">
        <f t="shared" si="13"/>
        <v>32</v>
      </c>
      <c r="E34" s="15">
        <f t="array" ref="E34">INDEX(SPY_yearly_history!$C$3:$C$200,D34+$B$4-1928,0)</f>
        <v>0.29601245275874866</v>
      </c>
      <c r="F34" s="1">
        <f t="shared" ref="F34:H34" si="45">F33+1</f>
        <v>38</v>
      </c>
      <c r="G34" s="1">
        <f t="shared" si="45"/>
        <v>33</v>
      </c>
      <c r="H34" s="1">
        <f t="shared" si="45"/>
        <v>66</v>
      </c>
      <c r="I34" s="3">
        <f t="shared" si="0"/>
        <v>0</v>
      </c>
      <c r="J34" s="3"/>
      <c r="K34" s="3">
        <f t="shared" si="1"/>
        <v>1812385.705000486</v>
      </c>
      <c r="L34" s="16"/>
      <c r="M34" s="3">
        <f t="shared" si="2"/>
        <v>0</v>
      </c>
      <c r="N34" s="3">
        <f t="shared" si="3"/>
        <v>0</v>
      </c>
      <c r="O34" s="3">
        <f t="shared" si="4"/>
        <v>1709198.897999766</v>
      </c>
      <c r="P34" s="3">
        <f t="shared" si="5"/>
        <v>1709198.897999766</v>
      </c>
      <c r="Q34" s="3">
        <f>Q33*(1+E34)+I34-M34-SUM($N$3:N34)*$B$14</f>
        <v>1709198.897999766</v>
      </c>
      <c r="R34" s="17">
        <f t="shared" si="6"/>
        <v>1709198.897999766</v>
      </c>
      <c r="S34" s="3"/>
      <c r="T34" s="15">
        <f t="shared" si="7"/>
        <v>0.12</v>
      </c>
      <c r="U34" s="3">
        <f t="shared" si="8"/>
        <v>0</v>
      </c>
      <c r="V34" s="3">
        <f t="shared" si="9"/>
        <v>0</v>
      </c>
      <c r="W34" s="3">
        <f t="shared" si="10"/>
        <v>0</v>
      </c>
      <c r="X34" s="14">
        <f t="array" ref="X34">IF(INDEX(US_mortality_table!I34:I128,MATCH(H34,US_mortality_table!H34:H128))*($B$7-AA33)&lt;0,0,INDEX(US_mortality_table!I34:I128,MATCH(H34,US_mortality_table!H34:H128))*($B$7-AA33))</f>
        <v>2391.1576788935067</v>
      </c>
      <c r="Y34" s="3">
        <f t="shared" si="11"/>
        <v>0</v>
      </c>
      <c r="Z34" s="3">
        <f t="shared" si="12"/>
        <v>2391.1576788935067</v>
      </c>
      <c r="AA34" s="16">
        <f>AA33*(1+T34)+I34-Z34-SUM($U$3:U34)*$B$22</f>
        <v>922319.77677542332</v>
      </c>
      <c r="AB34" s="3">
        <f t="shared" si="15"/>
        <v>1000000</v>
      </c>
      <c r="AC34" s="3"/>
    </row>
    <row r="35" spans="4:29" ht="14.25" customHeight="1">
      <c r="D35" s="1">
        <f t="shared" si="13"/>
        <v>33</v>
      </c>
      <c r="E35" s="15">
        <f t="array" ref="E35">INDEX(SPY_yearly_history!$C$3:$C$200,D35+$B$4-1928,0)</f>
        <v>0.11390638187366098</v>
      </c>
      <c r="F35" s="1">
        <f t="shared" ref="F35:H35" si="46">F34+1</f>
        <v>39</v>
      </c>
      <c r="G35" s="1">
        <f t="shared" si="46"/>
        <v>34</v>
      </c>
      <c r="H35" s="1">
        <f t="shared" si="46"/>
        <v>67</v>
      </c>
      <c r="I35" s="3">
        <f t="shared" ref="I35:I52" si="47">IF(D35&lt;=$B$5,1,0)*$B$6</f>
        <v>0</v>
      </c>
      <c r="J35" s="3"/>
      <c r="K35" s="3">
        <f t="shared" si="1"/>
        <v>2018828.0032166357</v>
      </c>
      <c r="L35" s="16"/>
      <c r="M35" s="3">
        <f t="shared" ref="M35:M52" si="48">IF(D35&lt;=$B$9,1,0)*$B$11</f>
        <v>0</v>
      </c>
      <c r="N35" s="3">
        <f t="shared" ref="N35:N52" si="49">IF(AND(F35&gt;18,F34&lt;22),1,0)*$B$13+IF(AND(G35&gt;18,G34&lt;22),1,0)*$B$13</f>
        <v>0</v>
      </c>
      <c r="O35" s="3">
        <f t="shared" si="4"/>
        <v>1903887.560373368</v>
      </c>
      <c r="P35" s="3">
        <f t="shared" ref="P35:P52" si="50">O35+IF(D35&lt;=$B$9,1,0)*$B$7</f>
        <v>1903887.560373368</v>
      </c>
      <c r="Q35" s="3">
        <f>Q34*(1+E35)+I35-M35-SUM($N$3:N35)*$B$14</f>
        <v>1903887.560373368</v>
      </c>
      <c r="R35" s="17">
        <f t="shared" ref="R35:R52" si="51">IF(D35&lt;=$B$9,1,0)*$B$7+Q35</f>
        <v>1903887.560373368</v>
      </c>
      <c r="S35" s="3"/>
      <c r="T35" s="15">
        <f t="shared" ref="T35:T52" si="52">IF(IF(E35&gt;0,E35,0)&lt;$B$23,IF(E35&gt;0,E35,0),$B$23)</f>
        <v>0.11390638187366098</v>
      </c>
      <c r="U35" s="3">
        <f t="shared" ref="U35:U52" si="53">IF(AND(F35&gt;18,F35&lt;=22),1,0)*$B$21+IF(AND(G35&gt;18,G35&lt;=22),1,0)*$B$21</f>
        <v>0</v>
      </c>
      <c r="V35" s="3">
        <f t="shared" ref="V35:V52" si="54">I35*$B$18</f>
        <v>0</v>
      </c>
      <c r="W35" s="3">
        <f t="shared" ref="W35:W52" si="55">$B$7*$B$19*IF(D35&lt;11,1,0)</f>
        <v>0</v>
      </c>
      <c r="X35" s="14">
        <f t="array" ref="X35">IF(INDEX(US_mortality_table!I35:I129,MATCH(H35,US_mortality_table!H35:H129))*($B$7-AA34)&lt;0,0,INDEX(US_mortality_table!I35:I129,MATCH(H35,US_mortality_table!H35:H129))*($B$7-AA34))</f>
        <v>1143.3752056425442</v>
      </c>
      <c r="Y35" s="3">
        <f t="shared" ref="Y35:Y52" si="56">I35*$B$20</f>
        <v>0</v>
      </c>
      <c r="Z35" s="3">
        <f t="shared" si="12"/>
        <v>1143.3752056425442</v>
      </c>
      <c r="AA35" s="16">
        <f>AA34*(1+T35)+I35-Z35-SUM($U$3:U35)*$B$22</f>
        <v>1026234.5102727918</v>
      </c>
      <c r="AB35" s="3">
        <f t="shared" si="15"/>
        <v>1000000</v>
      </c>
      <c r="AC35" s="3"/>
    </row>
    <row r="36" spans="4:29" ht="14.25" customHeight="1">
      <c r="D36" s="1">
        <f t="shared" si="13"/>
        <v>34</v>
      </c>
      <c r="E36" s="15">
        <f t="array" ref="E36">INDEX(SPY_yearly_history!$C$3:$C$200,D36+$B$4-1928,0)</f>
        <v>-7.26601583369757E-3</v>
      </c>
      <c r="F36" s="1">
        <f t="shared" ref="F36:H36" si="57">F35+1</f>
        <v>40</v>
      </c>
      <c r="G36" s="1">
        <f t="shared" si="57"/>
        <v>35</v>
      </c>
      <c r="H36" s="1">
        <f t="shared" si="57"/>
        <v>68</v>
      </c>
      <c r="I36" s="3">
        <f t="shared" si="47"/>
        <v>0</v>
      </c>
      <c r="J36" s="3"/>
      <c r="K36" s="3">
        <f t="shared" si="1"/>
        <v>2004159.1669797515</v>
      </c>
      <c r="L36" s="16"/>
      <c r="M36" s="3">
        <f t="shared" si="48"/>
        <v>0</v>
      </c>
      <c r="N36" s="3">
        <f t="shared" si="49"/>
        <v>0</v>
      </c>
      <c r="O36" s="3">
        <f t="shared" si="4"/>
        <v>1890053.8832141152</v>
      </c>
      <c r="P36" s="3">
        <f t="shared" si="50"/>
        <v>1890053.8832141152</v>
      </c>
      <c r="Q36" s="3">
        <f>Q35*(1+E36)+I36-M36-SUM($N$3:N36)*$B$14</f>
        <v>1890053.8832141152</v>
      </c>
      <c r="R36" s="17">
        <f t="shared" si="51"/>
        <v>1890053.8832141152</v>
      </c>
      <c r="S36" s="3"/>
      <c r="T36" s="15">
        <f t="shared" si="52"/>
        <v>0</v>
      </c>
      <c r="U36" s="3">
        <f t="shared" si="53"/>
        <v>0</v>
      </c>
      <c r="V36" s="3">
        <f t="shared" si="54"/>
        <v>0</v>
      </c>
      <c r="W36" s="3">
        <f t="shared" si="55"/>
        <v>0</v>
      </c>
      <c r="X36" s="14">
        <f t="array" ref="X36">IF(INDEX(US_mortality_table!I36:I130,MATCH(H36,US_mortality_table!H36:H130))*($B$7-AA35)&lt;0,0,INDEX(US_mortality_table!I36:I130,MATCH(H36,US_mortality_table!H36:H130))*($B$7-AA35))</f>
        <v>0</v>
      </c>
      <c r="Y36" s="3">
        <f t="shared" si="56"/>
        <v>0</v>
      </c>
      <c r="Z36" s="3">
        <f t="shared" si="12"/>
        <v>0</v>
      </c>
      <c r="AA36" s="16">
        <f>AA35*(1+T36)+I36-Z36-SUM($U$3:U36)*$B$22</f>
        <v>1026234.5102727918</v>
      </c>
      <c r="AB36" s="3">
        <f t="shared" si="15"/>
        <v>1000000</v>
      </c>
      <c r="AC36" s="3"/>
    </row>
    <row r="37" spans="4:29" ht="14.25" customHeight="1">
      <c r="D37" s="1">
        <f t="shared" si="13"/>
        <v>35</v>
      </c>
      <c r="E37" s="15">
        <f t="array" ref="E37">INDEX(SPY_yearly_history!$C$3:$C$200,D37+$B$4-1928,0)</f>
        <v>9.5350157049619799E-2</v>
      </c>
      <c r="F37" s="1">
        <f t="shared" ref="F37:H37" si="58">F36+1</f>
        <v>41</v>
      </c>
      <c r="G37" s="1">
        <f t="shared" si="58"/>
        <v>36</v>
      </c>
      <c r="H37" s="1">
        <f t="shared" si="58"/>
        <v>69</v>
      </c>
      <c r="I37" s="3">
        <f t="shared" si="47"/>
        <v>0</v>
      </c>
      <c r="J37" s="3"/>
      <c r="K37" s="3">
        <f t="shared" si="1"/>
        <v>2195256.0583037059</v>
      </c>
      <c r="L37" s="16"/>
      <c r="M37" s="3">
        <f t="shared" si="48"/>
        <v>0</v>
      </c>
      <c r="N37" s="3">
        <f t="shared" si="49"/>
        <v>0</v>
      </c>
      <c r="O37" s="3">
        <f t="shared" si="4"/>
        <v>2070270.8178108248</v>
      </c>
      <c r="P37" s="3">
        <f t="shared" si="50"/>
        <v>2070270.8178108248</v>
      </c>
      <c r="Q37" s="3">
        <f>Q36*(1+E37)+I37-M37-SUM($N$3:N37)*$B$14</f>
        <v>2070270.8178108248</v>
      </c>
      <c r="R37" s="17">
        <f t="shared" si="51"/>
        <v>2070270.8178108248</v>
      </c>
      <c r="S37" s="3"/>
      <c r="T37" s="15">
        <f t="shared" si="52"/>
        <v>9.5350157049619799E-2</v>
      </c>
      <c r="U37" s="3">
        <f t="shared" si="53"/>
        <v>0</v>
      </c>
      <c r="V37" s="3">
        <f t="shared" si="54"/>
        <v>0</v>
      </c>
      <c r="W37" s="3">
        <f t="shared" si="55"/>
        <v>0</v>
      </c>
      <c r="X37" s="14">
        <f t="array" ref="X37">IF(INDEX(US_mortality_table!I37:I131,MATCH(H37,US_mortality_table!H37:H131))*($B$7-AA36)&lt;0,0,INDEX(US_mortality_table!I37:I131,MATCH(H37,US_mortality_table!H37:H131))*($B$7-AA36))</f>
        <v>0</v>
      </c>
      <c r="Y37" s="3">
        <f t="shared" si="56"/>
        <v>0</v>
      </c>
      <c r="Z37" s="3">
        <f t="shared" si="12"/>
        <v>0</v>
      </c>
      <c r="AA37" s="16">
        <f>AA36*(1+T37)+I37-Z37-SUM($U$3:U37)*$B$22</f>
        <v>1124086.1319970421</v>
      </c>
      <c r="AB37" s="3">
        <f t="shared" si="15"/>
        <v>1000000</v>
      </c>
      <c r="AC37" s="3"/>
    </row>
    <row r="38" spans="4:29" ht="14.25" customHeight="1">
      <c r="D38" s="1">
        <f t="shared" si="13"/>
        <v>36</v>
      </c>
      <c r="E38" s="15">
        <f t="array" ref="E38">INDEX(SPY_yearly_history!$C$3:$C$200,D38+$B$4-1928,0)</f>
        <v>0.19419964892376829</v>
      </c>
      <c r="F38" s="1">
        <f t="shared" ref="F38:H38" si="59">F37+1</f>
        <v>42</v>
      </c>
      <c r="G38" s="1">
        <f t="shared" si="59"/>
        <v>37</v>
      </c>
      <c r="H38" s="1">
        <f t="shared" si="59"/>
        <v>70</v>
      </c>
      <c r="I38" s="3">
        <f t="shared" si="47"/>
        <v>0</v>
      </c>
      <c r="J38" s="3"/>
      <c r="K38" s="3">
        <f t="shared" si="1"/>
        <v>2621574.014124061</v>
      </c>
      <c r="L38" s="16"/>
      <c r="M38" s="3">
        <f t="shared" si="48"/>
        <v>0</v>
      </c>
      <c r="N38" s="3">
        <f t="shared" si="49"/>
        <v>0</v>
      </c>
      <c r="O38" s="3">
        <f t="shared" si="4"/>
        <v>2472316.6838068096</v>
      </c>
      <c r="P38" s="3">
        <f t="shared" si="50"/>
        <v>2472316.6838068096</v>
      </c>
      <c r="Q38" s="3">
        <f>Q37*(1+E38)+I38-M38-SUM($N$3:N38)*$B$14</f>
        <v>2472316.6838068096</v>
      </c>
      <c r="R38" s="17">
        <f t="shared" si="51"/>
        <v>2472316.6838068096</v>
      </c>
      <c r="S38" s="3"/>
      <c r="T38" s="15">
        <f t="shared" si="52"/>
        <v>0.12</v>
      </c>
      <c r="U38" s="3">
        <f t="shared" si="53"/>
        <v>0</v>
      </c>
      <c r="V38" s="3">
        <f t="shared" si="54"/>
        <v>0</v>
      </c>
      <c r="W38" s="3">
        <f t="shared" si="55"/>
        <v>0</v>
      </c>
      <c r="X38" s="14">
        <f t="array" ref="X38">IF(INDEX(US_mortality_table!I38:I132,MATCH(H38,US_mortality_table!H38:H132))*($B$7-AA37)&lt;0,0,INDEX(US_mortality_table!I38:I132,MATCH(H38,US_mortality_table!H38:H132))*($B$7-AA37))</f>
        <v>0</v>
      </c>
      <c r="Y38" s="3">
        <f t="shared" si="56"/>
        <v>0</v>
      </c>
      <c r="Z38" s="3">
        <f t="shared" si="12"/>
        <v>0</v>
      </c>
      <c r="AA38" s="16">
        <f>AA37*(1+T38)+I38-Z38-SUM($U$3:U38)*$B$22</f>
        <v>1258976.4678366873</v>
      </c>
      <c r="AB38" s="3">
        <f t="shared" si="15"/>
        <v>1000000</v>
      </c>
      <c r="AC38" s="3"/>
    </row>
    <row r="39" spans="4:29" ht="14.25" customHeight="1">
      <c r="D39" s="1">
        <f t="shared" si="13"/>
        <v>37</v>
      </c>
      <c r="E39" s="15">
        <f t="array" ref="E39">INDEX(SPY_yearly_history!$C$3:$C$200,D39+$B$4-1928,0)</f>
        <v>-6.2372597349650949E-2</v>
      </c>
      <c r="F39" s="1">
        <f t="shared" ref="F39:H39" si="60">F38+1</f>
        <v>43</v>
      </c>
      <c r="G39" s="1">
        <f t="shared" si="60"/>
        <v>38</v>
      </c>
      <c r="H39" s="1">
        <f t="shared" si="60"/>
        <v>71</v>
      </c>
      <c r="I39" s="3">
        <f t="shared" si="47"/>
        <v>0</v>
      </c>
      <c r="J39" s="3"/>
      <c r="K39" s="3">
        <f t="shared" si="1"/>
        <v>2458059.6337187928</v>
      </c>
      <c r="L39" s="16"/>
      <c r="M39" s="3">
        <f t="shared" si="48"/>
        <v>0</v>
      </c>
      <c r="N39" s="3">
        <f t="shared" si="49"/>
        <v>0</v>
      </c>
      <c r="O39" s="3">
        <f t="shared" si="4"/>
        <v>2318111.8707669033</v>
      </c>
      <c r="P39" s="3">
        <f t="shared" si="50"/>
        <v>2318111.8707669033</v>
      </c>
      <c r="Q39" s="3">
        <f>Q38*(1+E39)+I39-M39-SUM($N$3:N39)*$B$14</f>
        <v>2318111.8707669033</v>
      </c>
      <c r="R39" s="17">
        <f t="shared" si="51"/>
        <v>2318111.8707669033</v>
      </c>
      <c r="S39" s="3"/>
      <c r="T39" s="15">
        <f t="shared" si="52"/>
        <v>0</v>
      </c>
      <c r="U39" s="3">
        <f t="shared" si="53"/>
        <v>0</v>
      </c>
      <c r="V39" s="3">
        <f t="shared" si="54"/>
        <v>0</v>
      </c>
      <c r="W39" s="3">
        <f t="shared" si="55"/>
        <v>0</v>
      </c>
      <c r="X39" s="14">
        <f t="array" ref="X39">IF(INDEX(US_mortality_table!I39:I133,MATCH(H39,US_mortality_table!H39:H133))*($B$7-AA38)&lt;0,0,INDEX(US_mortality_table!I39:I133,MATCH(H39,US_mortality_table!H39:H133))*($B$7-AA38))</f>
        <v>0</v>
      </c>
      <c r="Y39" s="3">
        <f t="shared" si="56"/>
        <v>0</v>
      </c>
      <c r="Z39" s="3">
        <f t="shared" si="12"/>
        <v>0</v>
      </c>
      <c r="AA39" s="16">
        <f>AA38*(1+T39)+I39-Z39-SUM($U$3:U39)*$B$22</f>
        <v>1258976.4678366873</v>
      </c>
      <c r="AB39" s="3">
        <f t="shared" si="15"/>
        <v>1000000</v>
      </c>
      <c r="AC39" s="3"/>
    </row>
    <row r="40" spans="4:29" ht="14.25" customHeight="1">
      <c r="D40" s="1">
        <f t="shared" si="13"/>
        <v>38</v>
      </c>
      <c r="E40" s="15">
        <f t="array" ref="E40">INDEX(SPY_yearly_history!$C$3:$C$200,D40+$B$4-1928,0)</f>
        <v>0.28878074077028959</v>
      </c>
      <c r="F40" s="1">
        <f t="shared" ref="F40:H40" si="61">F39+1</f>
        <v>44</v>
      </c>
      <c r="G40" s="1">
        <f t="shared" si="61"/>
        <v>39</v>
      </c>
      <c r="H40" s="1">
        <f t="shared" si="61"/>
        <v>72</v>
      </c>
      <c r="I40" s="3">
        <f t="shared" si="47"/>
        <v>0</v>
      </c>
      <c r="J40" s="3"/>
      <c r="K40" s="3">
        <f t="shared" si="1"/>
        <v>3167899.9156016526</v>
      </c>
      <c r="L40" s="16"/>
      <c r="M40" s="3">
        <f t="shared" si="48"/>
        <v>0</v>
      </c>
      <c r="N40" s="3">
        <f t="shared" si="49"/>
        <v>0</v>
      </c>
      <c r="O40" s="3">
        <f t="shared" si="4"/>
        <v>2987537.9339953712</v>
      </c>
      <c r="P40" s="3">
        <f t="shared" si="50"/>
        <v>2987537.9339953712</v>
      </c>
      <c r="Q40" s="3">
        <f>Q39*(1+E40)+I40-M40-SUM($N$3:N40)*$B$14</f>
        <v>2987537.9339953712</v>
      </c>
      <c r="R40" s="17">
        <f t="shared" si="51"/>
        <v>2987537.9339953712</v>
      </c>
      <c r="S40" s="3"/>
      <c r="T40" s="15">
        <f t="shared" si="52"/>
        <v>0.12</v>
      </c>
      <c r="U40" s="3">
        <f t="shared" si="53"/>
        <v>0</v>
      </c>
      <c r="V40" s="3">
        <f t="shared" si="54"/>
        <v>0</v>
      </c>
      <c r="W40" s="3">
        <f t="shared" si="55"/>
        <v>0</v>
      </c>
      <c r="X40" s="14">
        <f t="array" ref="X40">IF(INDEX(US_mortality_table!I40:I134,MATCH(H40,US_mortality_table!H40:H134))*($B$7-AA39)&lt;0,0,INDEX(US_mortality_table!I40:I134,MATCH(H40,US_mortality_table!H40:H134))*($B$7-AA39))</f>
        <v>0</v>
      </c>
      <c r="Y40" s="3">
        <f t="shared" si="56"/>
        <v>0</v>
      </c>
      <c r="Z40" s="3">
        <f t="shared" si="12"/>
        <v>0</v>
      </c>
      <c r="AA40" s="16">
        <f>AA39*(1+T40)+I40-Z40-SUM($U$3:U40)*$B$22</f>
        <v>1410053.64397709</v>
      </c>
      <c r="AB40" s="3">
        <f t="shared" si="15"/>
        <v>1000000</v>
      </c>
      <c r="AC40" s="3"/>
    </row>
    <row r="41" spans="4:29" ht="14.25" customHeight="1">
      <c r="D41" s="1">
        <f t="shared" si="13"/>
        <v>39</v>
      </c>
      <c r="E41" s="15">
        <f t="array" ref="E41">INDEX(SPY_yearly_history!$C$3:$C$200,D41+$B$4-1928,0)</f>
        <v>0.16258921994069531</v>
      </c>
      <c r="F41" s="1">
        <f t="shared" ref="F41:H41" si="62">F40+1</f>
        <v>45</v>
      </c>
      <c r="G41" s="1">
        <f t="shared" si="62"/>
        <v>40</v>
      </c>
      <c r="H41" s="1">
        <f t="shared" si="62"/>
        <v>73</v>
      </c>
      <c r="I41" s="3">
        <f t="shared" si="47"/>
        <v>0</v>
      </c>
      <c r="J41" s="3"/>
      <c r="K41" s="3">
        <f t="shared" si="1"/>
        <v>3682966.2917295196</v>
      </c>
      <c r="L41" s="16"/>
      <c r="M41" s="3">
        <f t="shared" si="48"/>
        <v>0</v>
      </c>
      <c r="N41" s="3">
        <f t="shared" si="49"/>
        <v>0</v>
      </c>
      <c r="O41" s="3">
        <f t="shared" si="4"/>
        <v>3473279.3962269151</v>
      </c>
      <c r="P41" s="3">
        <f t="shared" si="50"/>
        <v>3473279.3962269151</v>
      </c>
      <c r="Q41" s="3">
        <f>Q40*(1+E41)+I41-M41-SUM($N$3:N41)*$B$14</f>
        <v>3473279.3962269151</v>
      </c>
      <c r="R41" s="17">
        <f t="shared" si="51"/>
        <v>3473279.3962269151</v>
      </c>
      <c r="S41" s="3"/>
      <c r="T41" s="15">
        <f t="shared" si="52"/>
        <v>0.12</v>
      </c>
      <c r="U41" s="3">
        <f t="shared" si="53"/>
        <v>0</v>
      </c>
      <c r="V41" s="3">
        <f t="shared" si="54"/>
        <v>0</v>
      </c>
      <c r="W41" s="3">
        <f t="shared" si="55"/>
        <v>0</v>
      </c>
      <c r="X41" s="14">
        <f t="array" ref="X41">IF(INDEX(US_mortality_table!I41:I135,MATCH(H41,US_mortality_table!H41:H135))*($B$7-AA40)&lt;0,0,INDEX(US_mortality_table!I41:I135,MATCH(H41,US_mortality_table!H41:H135))*($B$7-AA40))</f>
        <v>0</v>
      </c>
      <c r="Y41" s="3">
        <f t="shared" si="56"/>
        <v>0</v>
      </c>
      <c r="Z41" s="3">
        <f t="shared" si="12"/>
        <v>0</v>
      </c>
      <c r="AA41" s="16">
        <f>AA40*(1+T41)+I41-Z41-SUM($U$3:U41)*$B$22</f>
        <v>1579260.0812543409</v>
      </c>
      <c r="AB41" s="3">
        <f t="shared" si="15"/>
        <v>1000000</v>
      </c>
      <c r="AC41" s="3"/>
    </row>
    <row r="42" spans="4:29" ht="14.25" customHeight="1">
      <c r="D42" s="1">
        <f t="shared" si="13"/>
        <v>40</v>
      </c>
      <c r="E42" s="15">
        <f t="array" ref="E42">INDEX(SPY_yearly_history!$C$3:$C$200,D42+$B$4-1928,0)</f>
        <v>0.268927362908572</v>
      </c>
      <c r="F42" s="1">
        <f t="shared" ref="F42:H42" si="63">F41+1</f>
        <v>46</v>
      </c>
      <c r="G42" s="1">
        <f t="shared" si="63"/>
        <v>41</v>
      </c>
      <c r="H42" s="1">
        <f t="shared" si="63"/>
        <v>74</v>
      </c>
      <c r="I42" s="3">
        <f t="shared" si="47"/>
        <v>0</v>
      </c>
      <c r="J42" s="3"/>
      <c r="K42" s="3">
        <f t="shared" si="1"/>
        <v>4673416.7042455021</v>
      </c>
      <c r="L42" s="16"/>
      <c r="M42" s="3">
        <f t="shared" si="48"/>
        <v>0</v>
      </c>
      <c r="N42" s="3">
        <f t="shared" si="49"/>
        <v>0</v>
      </c>
      <c r="O42" s="3">
        <f t="shared" si="4"/>
        <v>4407339.2648988962</v>
      </c>
      <c r="P42" s="3">
        <f t="shared" si="50"/>
        <v>4407339.2648988962</v>
      </c>
      <c r="Q42" s="3">
        <f>Q41*(1+E42)+I42-M42-SUM($N$3:N42)*$B$14</f>
        <v>4407339.2648988962</v>
      </c>
      <c r="R42" s="17">
        <f t="shared" si="51"/>
        <v>4407339.2648988962</v>
      </c>
      <c r="S42" s="3"/>
      <c r="T42" s="15">
        <f t="shared" si="52"/>
        <v>0.12</v>
      </c>
      <c r="U42" s="3">
        <f t="shared" si="53"/>
        <v>0</v>
      </c>
      <c r="V42" s="3">
        <f t="shared" si="54"/>
        <v>0</v>
      </c>
      <c r="W42" s="3">
        <f t="shared" si="55"/>
        <v>0</v>
      </c>
      <c r="X42" s="14">
        <f t="array" ref="X42">IF(INDEX(US_mortality_table!I42:I136,MATCH(H42,US_mortality_table!H42:H136))*($B$7-AA41)&lt;0,0,INDEX(US_mortality_table!I42:I136,MATCH(H42,US_mortality_table!H42:H136))*($B$7-AA41))</f>
        <v>0</v>
      </c>
      <c r="Y42" s="3">
        <f t="shared" si="56"/>
        <v>0</v>
      </c>
      <c r="Z42" s="3">
        <f t="shared" si="12"/>
        <v>0</v>
      </c>
      <c r="AA42" s="16">
        <f>AA41*(1+T42)+I42-Z42-SUM($U$3:U42)*$B$22</f>
        <v>1768771.2910048619</v>
      </c>
      <c r="AB42" s="3">
        <f t="shared" si="15"/>
        <v>1000000</v>
      </c>
      <c r="AC42" s="3"/>
    </row>
    <row r="43" spans="4:29" ht="14.25" customHeight="1">
      <c r="D43" s="1">
        <f t="shared" si="13"/>
        <v>41</v>
      </c>
      <c r="E43" s="15">
        <f t="array" ref="E43">INDEX(SPY_yearly_history!$C$3:$C$200,D43+$B$4-1928,0)</f>
        <v>-0.16259142541825955</v>
      </c>
      <c r="F43" s="1">
        <f t="shared" ref="F43:H43" si="64">F42+1</f>
        <v>47</v>
      </c>
      <c r="G43" s="1">
        <f t="shared" si="64"/>
        <v>42</v>
      </c>
      <c r="H43" s="1">
        <f t="shared" si="64"/>
        <v>75</v>
      </c>
      <c r="I43" s="3">
        <f t="shared" si="47"/>
        <v>0</v>
      </c>
      <c r="J43" s="3"/>
      <c r="K43" s="3">
        <f t="shared" si="1"/>
        <v>3913559.220728721</v>
      </c>
      <c r="L43" s="16"/>
      <c r="M43" s="3">
        <f t="shared" si="48"/>
        <v>0</v>
      </c>
      <c r="N43" s="3">
        <f t="shared" si="49"/>
        <v>0</v>
      </c>
      <c r="O43" s="3">
        <f t="shared" si="4"/>
        <v>3690743.6915171207</v>
      </c>
      <c r="P43" s="3">
        <f t="shared" si="50"/>
        <v>3690743.6915171207</v>
      </c>
      <c r="Q43" s="3">
        <f>Q42*(1+E43)+I43-M43-SUM($N$3:N43)*$B$14</f>
        <v>3690743.6915171207</v>
      </c>
      <c r="R43" s="17">
        <f t="shared" si="51"/>
        <v>3690743.6915171207</v>
      </c>
      <c r="S43" s="3"/>
      <c r="T43" s="15">
        <f t="shared" si="52"/>
        <v>0</v>
      </c>
      <c r="U43" s="3">
        <f t="shared" si="53"/>
        <v>0</v>
      </c>
      <c r="V43" s="3">
        <f t="shared" si="54"/>
        <v>0</v>
      </c>
      <c r="W43" s="3">
        <f t="shared" si="55"/>
        <v>0</v>
      </c>
      <c r="X43" s="14">
        <f t="array" ref="X43">IF(INDEX(US_mortality_table!I43:I137,MATCH(H43,US_mortality_table!H43:H137))*($B$7-AA42)&lt;0,0,INDEX(US_mortality_table!I43:I137,MATCH(H43,US_mortality_table!H43:H137))*($B$7-AA42))</f>
        <v>0</v>
      </c>
      <c r="Y43" s="3">
        <f t="shared" si="56"/>
        <v>0</v>
      </c>
      <c r="Z43" s="3">
        <f t="shared" si="12"/>
        <v>0</v>
      </c>
      <c r="AA43" s="16">
        <f>AA42*(1+T43)+I43-Z43-SUM($U$3:U43)*$B$22</f>
        <v>1768771.2910048619</v>
      </c>
      <c r="AB43" s="3">
        <f t="shared" si="15"/>
        <v>1000000</v>
      </c>
      <c r="AC43" s="3"/>
    </row>
    <row r="44" spans="4:29" ht="14.25" customHeight="1">
      <c r="D44" s="1">
        <f t="shared" si="13"/>
        <v>42</v>
      </c>
      <c r="E44" s="15">
        <f t="array" ref="E44">INDEX(SPY_yearly_history!$C$3:$C$200,D44+$B$4-1928,0)</f>
        <v>6.7000000000000004E-2</v>
      </c>
      <c r="F44" s="1">
        <f t="shared" ref="F44:H44" si="65">F43+1</f>
        <v>48</v>
      </c>
      <c r="G44" s="1">
        <f t="shared" si="65"/>
        <v>43</v>
      </c>
      <c r="H44" s="1">
        <f t="shared" si="65"/>
        <v>76</v>
      </c>
      <c r="I44" s="3">
        <f t="shared" si="47"/>
        <v>0</v>
      </c>
      <c r="K44" s="3">
        <f t="shared" si="1"/>
        <v>4175767.6885175449</v>
      </c>
      <c r="M44" s="3">
        <f t="shared" si="48"/>
        <v>0</v>
      </c>
      <c r="N44" s="3">
        <f t="shared" si="49"/>
        <v>0</v>
      </c>
      <c r="O44" s="3">
        <f t="shared" si="4"/>
        <v>3938023.5188487675</v>
      </c>
      <c r="P44" s="3">
        <f t="shared" si="50"/>
        <v>3938023.5188487675</v>
      </c>
      <c r="Q44" s="3">
        <f>Q43*(1+E44)+I44-M44-SUM($N$3:N44)*$B$14</f>
        <v>3938023.5188487675</v>
      </c>
      <c r="R44" s="17">
        <f t="shared" si="51"/>
        <v>3938023.5188487675</v>
      </c>
      <c r="T44" s="15">
        <f t="shared" si="52"/>
        <v>6.7000000000000004E-2</v>
      </c>
      <c r="U44" s="3">
        <f t="shared" si="53"/>
        <v>0</v>
      </c>
      <c r="V44" s="3">
        <f t="shared" si="54"/>
        <v>0</v>
      </c>
      <c r="W44" s="3">
        <f t="shared" si="55"/>
        <v>0</v>
      </c>
      <c r="X44" s="14">
        <f t="array" ref="X44">IF(INDEX(US_mortality_table!I44:I138,MATCH(H44,US_mortality_table!H44:H138))*($B$7-AA43)&lt;0,0,INDEX(US_mortality_table!I44:I138,MATCH(H44,US_mortality_table!H44:H138))*($B$7-AA43))</f>
        <v>0</v>
      </c>
      <c r="Y44" s="3">
        <f t="shared" si="56"/>
        <v>0</v>
      </c>
      <c r="Z44" s="3">
        <f t="shared" si="12"/>
        <v>0</v>
      </c>
      <c r="AA44" s="16">
        <f>AA43*(1+T44)+I44-Z44-SUM($U$3:U44)*$B$22</f>
        <v>1887278.9675021877</v>
      </c>
      <c r="AB44" s="3">
        <f t="shared" si="15"/>
        <v>1000000</v>
      </c>
    </row>
    <row r="45" spans="4:29" ht="14.25" customHeight="1">
      <c r="D45" s="1">
        <f t="shared" si="13"/>
        <v>43</v>
      </c>
      <c r="E45" s="15">
        <f t="array" ref="E45">INDEX(SPY_yearly_history!$C$3:$C$200,D45+$B$4-1928,0)</f>
        <v>6.7000000000000004E-2</v>
      </c>
      <c r="F45" s="1">
        <f t="shared" ref="F45:H45" si="66">F44+1</f>
        <v>49</v>
      </c>
      <c r="G45" s="1">
        <f t="shared" si="66"/>
        <v>44</v>
      </c>
      <c r="H45" s="1">
        <f t="shared" si="66"/>
        <v>77</v>
      </c>
      <c r="I45" s="3">
        <f t="shared" si="47"/>
        <v>0</v>
      </c>
      <c r="K45" s="3">
        <f t="shared" si="1"/>
        <v>4455544.1236482197</v>
      </c>
      <c r="M45" s="3">
        <f t="shared" si="48"/>
        <v>0</v>
      </c>
      <c r="N45" s="3">
        <f t="shared" si="49"/>
        <v>0</v>
      </c>
      <c r="O45" s="3">
        <f t="shared" si="4"/>
        <v>4201871.0946116345</v>
      </c>
      <c r="P45" s="3">
        <f t="shared" si="50"/>
        <v>4201871.0946116345</v>
      </c>
      <c r="Q45" s="3">
        <f>Q44*(1+E45)+I45-M45-SUM($N$3:N45)*$B$14</f>
        <v>4201871.0946116345</v>
      </c>
      <c r="R45" s="17">
        <f t="shared" si="51"/>
        <v>4201871.0946116345</v>
      </c>
      <c r="T45" s="15">
        <f t="shared" si="52"/>
        <v>6.7000000000000004E-2</v>
      </c>
      <c r="U45" s="3">
        <f t="shared" si="53"/>
        <v>0</v>
      </c>
      <c r="V45" s="3">
        <f t="shared" si="54"/>
        <v>0</v>
      </c>
      <c r="W45" s="3">
        <f t="shared" si="55"/>
        <v>0</v>
      </c>
      <c r="X45" s="14">
        <f t="array" ref="X45">IF(INDEX(US_mortality_table!I45:I139,MATCH(H45,US_mortality_table!H45:H139))*($B$7-AA44)&lt;0,0,INDEX(US_mortality_table!I45:I139,MATCH(H45,US_mortality_table!H45:H139))*($B$7-AA44))</f>
        <v>0</v>
      </c>
      <c r="Y45" s="3">
        <f t="shared" si="56"/>
        <v>0</v>
      </c>
      <c r="Z45" s="3">
        <f t="shared" si="12"/>
        <v>0</v>
      </c>
      <c r="AA45" s="16">
        <f>AA44*(1+T45)+I45-Z45-SUM($U$3:U45)*$B$22</f>
        <v>2013726.6583248342</v>
      </c>
      <c r="AB45" s="3">
        <f t="shared" si="15"/>
        <v>1000000</v>
      </c>
    </row>
    <row r="46" spans="4:29" ht="14.25" customHeight="1">
      <c r="D46" s="1">
        <f t="shared" si="13"/>
        <v>44</v>
      </c>
      <c r="E46" s="15">
        <f t="array" ref="E46">INDEX(SPY_yearly_history!$C$3:$C$200,D46+$B$4-1928,0)</f>
        <v>6.7000000000000004E-2</v>
      </c>
      <c r="F46" s="1">
        <f t="shared" ref="F46:H46" si="67">F45+1</f>
        <v>50</v>
      </c>
      <c r="G46" s="1">
        <f t="shared" si="67"/>
        <v>45</v>
      </c>
      <c r="H46" s="1">
        <f t="shared" si="67"/>
        <v>78</v>
      </c>
      <c r="I46" s="3">
        <f t="shared" si="47"/>
        <v>0</v>
      </c>
      <c r="K46" s="3">
        <f t="shared" si="1"/>
        <v>4754065.5799326506</v>
      </c>
      <c r="M46" s="3">
        <f t="shared" si="48"/>
        <v>0</v>
      </c>
      <c r="N46" s="3">
        <f t="shared" si="49"/>
        <v>0</v>
      </c>
      <c r="O46" s="3">
        <f t="shared" si="4"/>
        <v>4483396.4579506135</v>
      </c>
      <c r="P46" s="3">
        <f t="shared" si="50"/>
        <v>4483396.4579506135</v>
      </c>
      <c r="Q46" s="3">
        <f>Q45*(1+E46)+I46-M46-SUM($N$3:N46)*$B$14</f>
        <v>4483396.4579506135</v>
      </c>
      <c r="R46" s="17">
        <f t="shared" si="51"/>
        <v>4483396.4579506135</v>
      </c>
      <c r="T46" s="15">
        <f t="shared" si="52"/>
        <v>6.7000000000000004E-2</v>
      </c>
      <c r="U46" s="3">
        <f t="shared" si="53"/>
        <v>0</v>
      </c>
      <c r="V46" s="3">
        <f t="shared" si="54"/>
        <v>0</v>
      </c>
      <c r="W46" s="3">
        <f t="shared" si="55"/>
        <v>0</v>
      </c>
      <c r="X46" s="14">
        <f t="array" ref="X46">IF(INDEX(US_mortality_table!I46:I140,MATCH(H46,US_mortality_table!H46:H140))*($B$7-AA45)&lt;0,0,INDEX(US_mortality_table!I46:I140,MATCH(H46,US_mortality_table!H46:H140))*($B$7-AA45))</f>
        <v>0</v>
      </c>
      <c r="Y46" s="3">
        <f t="shared" si="56"/>
        <v>0</v>
      </c>
      <c r="Z46" s="3">
        <f t="shared" si="12"/>
        <v>0</v>
      </c>
      <c r="AA46" s="16">
        <f>AA45*(1+T46)+I46-Z46-SUM($U$3:U46)*$B$22</f>
        <v>2148646.344432598</v>
      </c>
      <c r="AB46" s="3">
        <f t="shared" si="15"/>
        <v>1000000</v>
      </c>
    </row>
    <row r="47" spans="4:29" ht="14.25" customHeight="1">
      <c r="D47" s="1">
        <f t="shared" si="13"/>
        <v>45</v>
      </c>
      <c r="E47" s="15">
        <f t="array" ref="E47">INDEX(SPY_yearly_history!$C$3:$C$200,D47+$B$4-1928,0)</f>
        <v>6.6799999999999998E-2</v>
      </c>
      <c r="F47" s="1">
        <f t="shared" ref="F47:H47" si="68">F46+1</f>
        <v>51</v>
      </c>
      <c r="G47" s="1">
        <f t="shared" si="68"/>
        <v>46</v>
      </c>
      <c r="H47" s="1">
        <f t="shared" si="68"/>
        <v>79</v>
      </c>
      <c r="I47" s="3">
        <f t="shared" si="47"/>
        <v>0</v>
      </c>
      <c r="K47" s="3">
        <f t="shared" si="1"/>
        <v>5071637.1606721515</v>
      </c>
      <c r="M47" s="3">
        <f t="shared" si="48"/>
        <v>0</v>
      </c>
      <c r="N47" s="3">
        <f t="shared" si="49"/>
        <v>0</v>
      </c>
      <c r="O47" s="3">
        <f t="shared" si="4"/>
        <v>4782887.3413417144</v>
      </c>
      <c r="P47" s="3">
        <f t="shared" si="50"/>
        <v>4782887.3413417144</v>
      </c>
      <c r="Q47" s="3">
        <f>Q46*(1+E47)+I47-M47-SUM($N$3:N47)*$B$14</f>
        <v>4782887.3413417144</v>
      </c>
      <c r="R47" s="17">
        <f t="shared" si="51"/>
        <v>4782887.3413417144</v>
      </c>
      <c r="T47" s="15">
        <f t="shared" si="52"/>
        <v>6.6799999999999998E-2</v>
      </c>
      <c r="U47" s="3">
        <f t="shared" si="53"/>
        <v>0</v>
      </c>
      <c r="V47" s="3">
        <f t="shared" si="54"/>
        <v>0</v>
      </c>
      <c r="W47" s="3">
        <f t="shared" si="55"/>
        <v>0</v>
      </c>
      <c r="X47" s="14">
        <f t="array" ref="X47">IF(INDEX(US_mortality_table!I47:I141,MATCH(H47,US_mortality_table!H47:H141))*($B$7-AA46)&lt;0,0,INDEX(US_mortality_table!I47:I141,MATCH(H47,US_mortality_table!H47:H141))*($B$7-AA46))</f>
        <v>0</v>
      </c>
      <c r="Y47" s="3">
        <f t="shared" si="56"/>
        <v>0</v>
      </c>
      <c r="Z47" s="3">
        <f t="shared" si="12"/>
        <v>0</v>
      </c>
      <c r="AA47" s="16">
        <f>AA46*(1+T47)+I47-Z47-SUM($U$3:U47)*$B$22</f>
        <v>2292175.9202406956</v>
      </c>
      <c r="AB47" s="3">
        <f t="shared" si="15"/>
        <v>1000000</v>
      </c>
    </row>
    <row r="48" spans="4:29" ht="14.25" customHeight="1">
      <c r="D48" s="1">
        <f t="shared" si="13"/>
        <v>46</v>
      </c>
      <c r="E48" s="15">
        <f t="array" ref="E48">INDEX(SPY_yearly_history!$C$3:$C$200,D48+$B$4-1928,0)</f>
        <v>6.6799999999999998E-2</v>
      </c>
      <c r="F48" s="1">
        <f t="shared" ref="F48:H48" si="69">F47+1</f>
        <v>52</v>
      </c>
      <c r="G48" s="1">
        <f t="shared" si="69"/>
        <v>47</v>
      </c>
      <c r="H48" s="1">
        <f t="shared" si="69"/>
        <v>80</v>
      </c>
      <c r="I48" s="3">
        <f t="shared" si="47"/>
        <v>0</v>
      </c>
      <c r="K48" s="3">
        <f t="shared" si="1"/>
        <v>5410422.5230050506</v>
      </c>
      <c r="M48" s="3">
        <f t="shared" si="48"/>
        <v>0</v>
      </c>
      <c r="N48" s="3">
        <f t="shared" si="49"/>
        <v>0</v>
      </c>
      <c r="O48" s="3">
        <f t="shared" si="4"/>
        <v>5102384.2157433406</v>
      </c>
      <c r="P48" s="3">
        <f t="shared" si="50"/>
        <v>5102384.2157433406</v>
      </c>
      <c r="Q48" s="3">
        <f>Q47*(1+E48)+I48-M48-SUM($N$3:N48)*$B$14</f>
        <v>5102384.2157433406</v>
      </c>
      <c r="R48" s="17">
        <f t="shared" si="51"/>
        <v>5102384.2157433406</v>
      </c>
      <c r="T48" s="15">
        <f t="shared" si="52"/>
        <v>6.6799999999999998E-2</v>
      </c>
      <c r="U48" s="3">
        <f t="shared" si="53"/>
        <v>0</v>
      </c>
      <c r="V48" s="3">
        <f t="shared" si="54"/>
        <v>0</v>
      </c>
      <c r="W48" s="3">
        <f t="shared" si="55"/>
        <v>0</v>
      </c>
      <c r="X48" s="14">
        <f t="array" ref="X48">IF(INDEX(US_mortality_table!I48:I142,MATCH(H48,US_mortality_table!H48:H142))*($B$7-AA47)&lt;0,0,INDEX(US_mortality_table!I48:I142,MATCH(H48,US_mortality_table!H48:H142))*($B$7-AA47))</f>
        <v>0</v>
      </c>
      <c r="Y48" s="3">
        <f t="shared" si="56"/>
        <v>0</v>
      </c>
      <c r="Z48" s="3">
        <f t="shared" si="12"/>
        <v>0</v>
      </c>
      <c r="AA48" s="16">
        <f>AA47*(1+T48)+I48-Z48-SUM($U$3:U48)*$B$22</f>
        <v>2445293.2717127739</v>
      </c>
      <c r="AB48" s="3">
        <f t="shared" si="15"/>
        <v>1000000</v>
      </c>
    </row>
    <row r="49" spans="4:28" ht="14.25" customHeight="1">
      <c r="D49" s="1">
        <f t="shared" si="13"/>
        <v>47</v>
      </c>
      <c r="E49" s="15">
        <f t="array" ref="E49">INDEX(SPY_yearly_history!$C$3:$C$200,D49+$B$4-1928,0)</f>
        <v>6.6799999999999998E-2</v>
      </c>
      <c r="F49" s="1">
        <f t="shared" ref="F49:H49" si="70">F48+1</f>
        <v>53</v>
      </c>
      <c r="G49" s="1">
        <f t="shared" si="70"/>
        <v>48</v>
      </c>
      <c r="H49" s="1">
        <f t="shared" si="70"/>
        <v>81</v>
      </c>
      <c r="I49" s="3">
        <f t="shared" si="47"/>
        <v>0</v>
      </c>
      <c r="K49" s="3">
        <f t="shared" si="1"/>
        <v>5771838.747541788</v>
      </c>
      <c r="M49" s="3">
        <f t="shared" si="48"/>
        <v>0</v>
      </c>
      <c r="N49" s="3">
        <f t="shared" si="49"/>
        <v>0</v>
      </c>
      <c r="O49" s="3">
        <f t="shared" si="4"/>
        <v>5443223.4813549956</v>
      </c>
      <c r="P49" s="3">
        <f t="shared" si="50"/>
        <v>5443223.4813549956</v>
      </c>
      <c r="Q49" s="3">
        <f>Q48*(1+E49)+I49-M49-SUM($N$3:N49)*$B$14</f>
        <v>5443223.4813549956</v>
      </c>
      <c r="R49" s="17">
        <f t="shared" si="51"/>
        <v>5443223.4813549956</v>
      </c>
      <c r="T49" s="15">
        <f t="shared" si="52"/>
        <v>6.6799999999999998E-2</v>
      </c>
      <c r="U49" s="3">
        <f t="shared" si="53"/>
        <v>0</v>
      </c>
      <c r="V49" s="3">
        <f t="shared" si="54"/>
        <v>0</v>
      </c>
      <c r="W49" s="3">
        <f t="shared" si="55"/>
        <v>0</v>
      </c>
      <c r="X49" s="14">
        <f t="array" ref="X49">IF(INDEX(US_mortality_table!I49:I143,MATCH(H49,US_mortality_table!H49:H143))*($B$7-AA48)&lt;0,0,INDEX(US_mortality_table!I49:I143,MATCH(H49,US_mortality_table!H49:H143))*($B$7-AA48))</f>
        <v>0</v>
      </c>
      <c r="Y49" s="3">
        <f t="shared" si="56"/>
        <v>0</v>
      </c>
      <c r="Z49" s="3">
        <f t="shared" si="12"/>
        <v>0</v>
      </c>
      <c r="AA49" s="16">
        <f>AA48*(1+T49)+I49-Z49-SUM($U$3:U49)*$B$22</f>
        <v>2608638.8622631873</v>
      </c>
      <c r="AB49" s="3">
        <f t="shared" si="15"/>
        <v>1000000</v>
      </c>
    </row>
    <row r="50" spans="4:28" ht="14.25" customHeight="1">
      <c r="D50" s="1">
        <f t="shared" si="13"/>
        <v>48</v>
      </c>
      <c r="E50" s="15">
        <f t="array" ref="E50">INDEX(SPY_yearly_history!$C$3:$C$200,D50+$B$4-1928,0)</f>
        <v>6.6799999999999998E-2</v>
      </c>
      <c r="F50" s="1">
        <f t="shared" ref="F50:H50" si="71">F49+1</f>
        <v>54</v>
      </c>
      <c r="G50" s="1">
        <f t="shared" si="71"/>
        <v>49</v>
      </c>
      <c r="H50" s="1">
        <f t="shared" si="71"/>
        <v>82</v>
      </c>
      <c r="I50" s="3">
        <f t="shared" si="47"/>
        <v>0</v>
      </c>
      <c r="K50" s="3">
        <f t="shared" si="1"/>
        <v>6157397.5758775789</v>
      </c>
      <c r="M50" s="3">
        <f t="shared" si="48"/>
        <v>0</v>
      </c>
      <c r="N50" s="3">
        <f t="shared" si="49"/>
        <v>0</v>
      </c>
      <c r="O50" s="3">
        <f t="shared" si="4"/>
        <v>5806830.8099095095</v>
      </c>
      <c r="P50" s="3">
        <f t="shared" si="50"/>
        <v>5806830.8099095095</v>
      </c>
      <c r="Q50" s="3">
        <f>Q49*(1+E50)+I50-M50-SUM($N$3:N50)*$B$14</f>
        <v>5806830.8099095095</v>
      </c>
      <c r="R50" s="17">
        <f t="shared" si="51"/>
        <v>5806830.8099095095</v>
      </c>
      <c r="T50" s="15">
        <f t="shared" si="52"/>
        <v>6.6799999999999998E-2</v>
      </c>
      <c r="U50" s="3">
        <f t="shared" si="53"/>
        <v>0</v>
      </c>
      <c r="V50" s="3">
        <f t="shared" si="54"/>
        <v>0</v>
      </c>
      <c r="W50" s="3">
        <f t="shared" si="55"/>
        <v>0</v>
      </c>
      <c r="X50" s="14">
        <f t="array" ref="X50">IF(INDEX(US_mortality_table!I50:I144,MATCH(H50,US_mortality_table!H50:H144))*($B$7-AA49)&lt;0,0,INDEX(US_mortality_table!I50:I144,MATCH(H50,US_mortality_table!H50:H144))*($B$7-AA49))</f>
        <v>0</v>
      </c>
      <c r="Y50" s="3">
        <f t="shared" si="56"/>
        <v>0</v>
      </c>
      <c r="Z50" s="3">
        <f t="shared" si="12"/>
        <v>0</v>
      </c>
      <c r="AA50" s="16">
        <f>AA49*(1+T50)+I50-Z50-SUM($U$3:U50)*$B$22</f>
        <v>2782895.9382623681</v>
      </c>
      <c r="AB50" s="3">
        <f t="shared" si="15"/>
        <v>1000000</v>
      </c>
    </row>
    <row r="51" spans="4:28" ht="14.25" customHeight="1">
      <c r="D51" s="1">
        <f t="shared" si="13"/>
        <v>49</v>
      </c>
      <c r="E51" s="15">
        <f t="array" ref="E51">INDEX(SPY_yearly_history!$C$3:$C$200,D51+$B$4-1928,0)</f>
        <v>6.6799999999999998E-2</v>
      </c>
      <c r="F51" s="1">
        <f t="shared" ref="F51:H51" si="72">F50+1</f>
        <v>55</v>
      </c>
      <c r="G51" s="1">
        <f t="shared" si="72"/>
        <v>50</v>
      </c>
      <c r="H51" s="1">
        <f t="shared" si="72"/>
        <v>83</v>
      </c>
      <c r="I51" s="3">
        <f t="shared" si="47"/>
        <v>0</v>
      </c>
      <c r="K51" s="3">
        <f t="shared" si="1"/>
        <v>6568711.7339462014</v>
      </c>
      <c r="M51" s="3">
        <f t="shared" si="48"/>
        <v>0</v>
      </c>
      <c r="N51" s="3">
        <f t="shared" si="49"/>
        <v>0</v>
      </c>
      <c r="O51" s="3">
        <f t="shared" si="4"/>
        <v>6194727.1080114646</v>
      </c>
      <c r="P51" s="3">
        <f t="shared" si="50"/>
        <v>6194727.1080114646</v>
      </c>
      <c r="Q51" s="3">
        <f>Q50*(1+E51)+I51-M51-SUM($N$3:N51)*$B$14</f>
        <v>6194727.1080114646</v>
      </c>
      <c r="R51" s="17">
        <f t="shared" si="51"/>
        <v>6194727.1080114646</v>
      </c>
      <c r="T51" s="15">
        <f t="shared" si="52"/>
        <v>6.6799999999999998E-2</v>
      </c>
      <c r="U51" s="3">
        <f t="shared" si="53"/>
        <v>0</v>
      </c>
      <c r="V51" s="3">
        <f t="shared" si="54"/>
        <v>0</v>
      </c>
      <c r="W51" s="3">
        <f t="shared" si="55"/>
        <v>0</v>
      </c>
      <c r="X51" s="14">
        <f t="array" ref="X51">IF(INDEX(US_mortality_table!I51:I145,MATCH(H51,US_mortality_table!H51:H145))*($B$7-AA50)&lt;0,0,INDEX(US_mortality_table!I51:I145,MATCH(H51,US_mortality_table!H51:H145))*($B$7-AA50))</f>
        <v>0</v>
      </c>
      <c r="Y51" s="3">
        <f t="shared" si="56"/>
        <v>0</v>
      </c>
      <c r="Z51" s="3">
        <f t="shared" si="12"/>
        <v>0</v>
      </c>
      <c r="AA51" s="16">
        <f>AA50*(1+T51)+I51-Z51-SUM($U$3:U51)*$B$22</f>
        <v>2968793.3869382944</v>
      </c>
      <c r="AB51" s="3">
        <f t="shared" si="15"/>
        <v>1000000</v>
      </c>
    </row>
    <row r="52" spans="4:28" ht="14.25" customHeight="1">
      <c r="D52" s="1">
        <f t="shared" si="13"/>
        <v>50</v>
      </c>
      <c r="E52" s="15">
        <f t="array" ref="E52">INDEX(SPY_yearly_history!$C$3:$C$200,D52+$B$4-1928,0)</f>
        <v>6.6799999999999998E-2</v>
      </c>
      <c r="F52" s="1">
        <f t="shared" ref="F52:H52" si="73">F51+1</f>
        <v>56</v>
      </c>
      <c r="G52" s="1">
        <f t="shared" si="73"/>
        <v>51</v>
      </c>
      <c r="H52" s="1">
        <f t="shared" si="73"/>
        <v>84</v>
      </c>
      <c r="I52" s="3">
        <f t="shared" si="47"/>
        <v>0</v>
      </c>
      <c r="K52" s="3">
        <f t="shared" si="1"/>
        <v>7007501.6777738072</v>
      </c>
      <c r="M52" s="3">
        <f t="shared" si="48"/>
        <v>0</v>
      </c>
      <c r="N52" s="3">
        <f t="shared" si="49"/>
        <v>0</v>
      </c>
      <c r="O52" s="3">
        <f t="shared" si="4"/>
        <v>6608534.8788266303</v>
      </c>
      <c r="P52" s="3">
        <f t="shared" si="50"/>
        <v>6608534.8788266303</v>
      </c>
      <c r="Q52" s="3">
        <f>Q51*(1+E52)+I52-M52-SUM($N$3:N52)*$B$14</f>
        <v>6608534.8788266303</v>
      </c>
      <c r="R52" s="17">
        <f t="shared" si="51"/>
        <v>6608534.8788266303</v>
      </c>
      <c r="T52" s="15">
        <f t="shared" si="52"/>
        <v>6.6799999999999998E-2</v>
      </c>
      <c r="U52" s="3">
        <f t="shared" si="53"/>
        <v>0</v>
      </c>
      <c r="V52" s="3">
        <f t="shared" si="54"/>
        <v>0</v>
      </c>
      <c r="W52" s="3">
        <f t="shared" si="55"/>
        <v>0</v>
      </c>
      <c r="X52" s="14">
        <f t="array" ref="X52">IF(INDEX(US_mortality_table!I52:I146,MATCH(H52,US_mortality_table!H52:H146))*($B$7-AA51)&lt;0,0,INDEX(US_mortality_table!I52:I146,MATCH(H52,US_mortality_table!H52:H146))*($B$7-AA51))</f>
        <v>0</v>
      </c>
      <c r="Y52" s="3">
        <f t="shared" si="56"/>
        <v>0</v>
      </c>
      <c r="Z52" s="3">
        <f t="shared" si="12"/>
        <v>0</v>
      </c>
      <c r="AA52" s="16">
        <f>AA51*(1+T52)+I52-Z52-SUM($U$3:U52)*$B$22</f>
        <v>3167108.7851857725</v>
      </c>
      <c r="AB52" s="3">
        <f t="shared" si="15"/>
        <v>1000000</v>
      </c>
    </row>
    <row r="53" spans="4:28" ht="14.25" customHeight="1"/>
    <row r="54" spans="4:28" ht="14.25" customHeight="1">
      <c r="D54" s="18" t="s">
        <v>88</v>
      </c>
      <c r="E54" s="20">
        <f>COUNTIF(E3:E52,"&gt;0")</f>
        <v>40</v>
      </c>
    </row>
    <row r="55" spans="4:28" ht="14.25" customHeight="1">
      <c r="D55" s="18" t="s">
        <v>89</v>
      </c>
      <c r="E55" s="20">
        <f>COUNTIF(E3:E52,"&lt;0")</f>
        <v>10</v>
      </c>
    </row>
    <row r="56" spans="4:28" ht="14.25" customHeight="1"/>
    <row r="57" spans="4:28" ht="14.25" customHeight="1"/>
    <row r="58" spans="4:28" ht="14.25" customHeight="1"/>
    <row r="59" spans="4:28" ht="14.25" customHeight="1"/>
    <row r="60" spans="4:28" ht="14.25" customHeight="1"/>
    <row r="61" spans="4:28" ht="14.25" customHeight="1"/>
    <row r="62" spans="4:28" ht="14.25" customHeight="1"/>
    <row r="63" spans="4:28" ht="14.25" customHeight="1"/>
    <row r="64" spans="4:28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6:B26"/>
    <mergeCell ref="A1:B1"/>
    <mergeCell ref="F1:G1"/>
    <mergeCell ref="H1:H2"/>
    <mergeCell ref="I1:I2"/>
    <mergeCell ref="M1:R1"/>
    <mergeCell ref="T1:AB1"/>
    <mergeCell ref="Q2:R2"/>
    <mergeCell ref="A17:B17"/>
  </mergeCells>
  <conditionalFormatting sqref="F3:G52">
    <cfRule type="cellIs" dxfId="2" priority="2" operator="between">
      <formula>19</formula>
      <formula>22</formula>
    </cfRule>
  </conditionalFormatting>
  <conditionalFormatting sqref="H3:H52">
    <cfRule type="cellIs" dxfId="1" priority="3" operator="equal">
      <formula>$B$27</formula>
    </cfRule>
  </conditionalFormatting>
  <conditionalFormatting sqref="A1">
    <cfRule type="cellIs" dxfId="0" priority="1" operator="between">
      <formula>19</formula>
      <formula>22</formula>
    </cfRule>
  </conditionalFormatting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4.42578125" defaultRowHeight="15" customHeight="1"/>
  <cols>
    <col min="1" max="1" width="27" customWidth="1"/>
    <col min="2" max="2" width="10.85546875" customWidth="1"/>
    <col min="3" max="3" width="6.5703125" customWidth="1"/>
    <col min="4" max="4" width="10.85546875" customWidth="1"/>
    <col min="5" max="5" width="8.42578125" customWidth="1"/>
    <col min="6" max="6" width="1.7109375" customWidth="1"/>
    <col min="7" max="7" width="16.85546875" customWidth="1"/>
    <col min="8" max="9" width="7.28515625" customWidth="1"/>
    <col min="10" max="10" width="11.7109375" customWidth="1"/>
    <col min="11" max="13" width="7.28515625" customWidth="1"/>
    <col min="14" max="14" width="8.85546875" customWidth="1"/>
    <col min="15" max="15" width="1.7109375" customWidth="1"/>
    <col min="16" max="18" width="7.28515625" customWidth="1"/>
    <col min="19" max="19" width="11.7109375" customWidth="1"/>
    <col min="20" max="21" width="7.28515625" customWidth="1"/>
    <col min="22" max="22" width="8.7109375" customWidth="1"/>
    <col min="23" max="25" width="10.7109375" customWidth="1"/>
  </cols>
  <sheetData>
    <row r="1" spans="1:25" ht="14.25" customHeight="1">
      <c r="B1" s="1" t="s">
        <v>0</v>
      </c>
      <c r="C1" s="1" t="s">
        <v>1</v>
      </c>
    </row>
    <row r="2" spans="1:25" ht="14.25" customHeight="1">
      <c r="A2" s="1" t="s">
        <v>2</v>
      </c>
      <c r="B2" s="2">
        <v>250000</v>
      </c>
      <c r="C2" s="1">
        <v>6000</v>
      </c>
      <c r="E2" s="49" t="s">
        <v>3</v>
      </c>
      <c r="F2" s="50"/>
      <c r="G2" s="50"/>
      <c r="H2" s="50"/>
      <c r="I2" s="50"/>
      <c r="J2" s="50"/>
      <c r="K2" s="50"/>
      <c r="L2" s="51"/>
      <c r="N2" s="49" t="s">
        <v>4</v>
      </c>
      <c r="O2" s="50"/>
      <c r="P2" s="50"/>
      <c r="Q2" s="50"/>
      <c r="R2" s="50"/>
      <c r="S2" s="50"/>
      <c r="T2" s="50"/>
      <c r="U2" s="51"/>
    </row>
    <row r="3" spans="1:25" ht="14.25" customHeight="1">
      <c r="A3" s="1" t="s">
        <v>5</v>
      </c>
      <c r="B3" s="3" t="e">
        <f>#REF!</f>
        <v>#REF!</v>
      </c>
      <c r="C3" s="3">
        <v>1000</v>
      </c>
      <c r="E3" s="49" t="s">
        <v>6</v>
      </c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5" ht="14.25" customHeight="1">
      <c r="A4" s="1" t="s">
        <v>7</v>
      </c>
      <c r="B4" s="1">
        <v>50</v>
      </c>
      <c r="C4" s="1">
        <v>18</v>
      </c>
      <c r="I4" s="1" t="s">
        <v>8</v>
      </c>
      <c r="J4" s="4">
        <f>IF(B2&lt;15000,0.04,0.05)</f>
        <v>0.05</v>
      </c>
      <c r="L4" s="3">
        <f>J4*B2</f>
        <v>12500</v>
      </c>
      <c r="M4" s="3"/>
      <c r="S4" s="4">
        <v>0.03</v>
      </c>
      <c r="U4" s="1">
        <f>S4*C2</f>
        <v>180</v>
      </c>
      <c r="W4" s="52" t="s">
        <v>9</v>
      </c>
      <c r="X4" s="50"/>
      <c r="Y4" s="51"/>
    </row>
    <row r="5" spans="1:25" ht="14.25" customHeight="1">
      <c r="A5" s="1" t="s">
        <v>10</v>
      </c>
      <c r="B5" s="4">
        <v>0.12</v>
      </c>
      <c r="C5" s="4">
        <v>0.2</v>
      </c>
      <c r="W5" s="1" t="s">
        <v>11</v>
      </c>
      <c r="X5" s="1" t="s">
        <v>12</v>
      </c>
      <c r="Y5" s="1" t="s">
        <v>4</v>
      </c>
    </row>
    <row r="6" spans="1:25" ht="14.25" customHeight="1">
      <c r="A6" s="1" t="s">
        <v>13</v>
      </c>
      <c r="B6" s="1">
        <v>4</v>
      </c>
      <c r="W6" s="1">
        <v>25</v>
      </c>
      <c r="X6" s="1">
        <v>0</v>
      </c>
      <c r="Y6" s="1">
        <v>0</v>
      </c>
    </row>
    <row r="7" spans="1:25" ht="14.25" customHeight="1">
      <c r="A7" s="1" t="s">
        <v>14</v>
      </c>
      <c r="B7" s="1">
        <v>1</v>
      </c>
      <c r="E7" s="53" t="s">
        <v>15</v>
      </c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W7" s="1">
        <f t="shared" ref="W7:W46" si="0">W6+1</f>
        <v>26</v>
      </c>
      <c r="X7" s="3">
        <v>400</v>
      </c>
      <c r="Y7" s="3">
        <v>100</v>
      </c>
    </row>
    <row r="8" spans="1:25" ht="14.25" customHeight="1">
      <c r="I8" s="1" t="s">
        <v>16</v>
      </c>
      <c r="J8" s="1" t="s">
        <v>17</v>
      </c>
      <c r="K8" s="1" t="s">
        <v>18</v>
      </c>
      <c r="L8" s="3">
        <f>SUM(K9:K11)</f>
        <v>12314.8</v>
      </c>
      <c r="M8" s="3"/>
      <c r="R8" s="1" t="s">
        <v>16</v>
      </c>
      <c r="S8" s="1" t="s">
        <v>17</v>
      </c>
      <c r="T8" s="1" t="s">
        <v>18</v>
      </c>
      <c r="U8" s="3">
        <f>SUM(T9:T11)</f>
        <v>459</v>
      </c>
      <c r="W8" s="1">
        <f t="shared" si="0"/>
        <v>27</v>
      </c>
      <c r="X8" s="3">
        <v>700</v>
      </c>
      <c r="Y8" s="3">
        <v>300</v>
      </c>
    </row>
    <row r="9" spans="1:25" ht="14.25" customHeight="1">
      <c r="I9" s="5">
        <v>7.6499999999999999E-2</v>
      </c>
      <c r="J9" s="3">
        <v>132900</v>
      </c>
      <c r="K9" s="3">
        <f>IF(B2&lt;=J9,B2*I9,0)</f>
        <v>0</v>
      </c>
      <c r="R9" s="5">
        <v>7.6499999999999999E-2</v>
      </c>
      <c r="S9" s="3">
        <v>132900</v>
      </c>
      <c r="T9" s="3">
        <f>IF(C2&lt;=S9,C2*R9,0)</f>
        <v>459</v>
      </c>
      <c r="W9" s="1">
        <f t="shared" si="0"/>
        <v>28</v>
      </c>
      <c r="X9" s="3">
        <v>1100</v>
      </c>
      <c r="Y9" s="3">
        <v>400</v>
      </c>
    </row>
    <row r="10" spans="1:25" ht="14.25" customHeight="1">
      <c r="A10" s="1" t="s">
        <v>19</v>
      </c>
      <c r="B10" s="3">
        <f>B2-L4-L15-K32</f>
        <v>203610</v>
      </c>
      <c r="C10" s="3">
        <f>IF(C2-U4-U8-U15&gt;0,C2-U4-U8-U15,0)*0.5</f>
        <v>0</v>
      </c>
      <c r="I10" s="5">
        <v>1.4500000000000001E-2</v>
      </c>
      <c r="J10" s="3">
        <v>200000</v>
      </c>
      <c r="K10" s="3">
        <f>IF(AND(B2&gt;J9,B2&lt;=J10),10166.85+(B2-132900)*I10,0)</f>
        <v>0</v>
      </c>
      <c r="R10" s="5">
        <v>1.4500000000000001E-2</v>
      </c>
      <c r="S10" s="3">
        <v>200000</v>
      </c>
      <c r="T10" s="3">
        <f>IF(AND(C2&gt;S9,C2&lt;=S10),10166.85+(C2-132900)*R10,0)</f>
        <v>0</v>
      </c>
      <c r="W10" s="1">
        <f t="shared" si="0"/>
        <v>29</v>
      </c>
      <c r="X10" s="3">
        <v>1500</v>
      </c>
      <c r="Y10" s="3">
        <v>600</v>
      </c>
    </row>
    <row r="11" spans="1:25" ht="14.25" customHeight="1">
      <c r="A11" s="1" t="s">
        <v>20</v>
      </c>
      <c r="B11" s="3" t="e">
        <f>IF((L24-X48*2)*B5&gt;0,(L24-X48*2)*B5,0)</f>
        <v>#REF!</v>
      </c>
      <c r="C11" s="3">
        <f>IF((U24-U15)*C5&gt;0, (U24-U15)*C5,0)</f>
        <v>0</v>
      </c>
      <c r="I11" s="5">
        <v>2.35E-2</v>
      </c>
      <c r="J11" s="3" t="s">
        <v>21</v>
      </c>
      <c r="K11" s="3">
        <f>IF(AND(B2&gt;J10),11139.8+(B2-J10)*I11,0)</f>
        <v>12314.8</v>
      </c>
      <c r="R11" s="5">
        <v>2.35E-2</v>
      </c>
      <c r="S11" s="3" t="s">
        <v>21</v>
      </c>
      <c r="T11" s="3">
        <f>IF(AND(C2&gt;S10),11139.8+(C2-S10)*R11,0)</f>
        <v>0</v>
      </c>
      <c r="W11" s="1">
        <f t="shared" si="0"/>
        <v>30</v>
      </c>
      <c r="X11" s="3">
        <v>1800</v>
      </c>
      <c r="Y11" s="3">
        <v>700</v>
      </c>
    </row>
    <row r="12" spans="1:25" ht="14.25" customHeight="1">
      <c r="A12" s="1" t="s">
        <v>22</v>
      </c>
      <c r="B12" s="3" t="e">
        <f t="shared" ref="B12:C12" si="1">SUM(B10:B11)</f>
        <v>#REF!</v>
      </c>
      <c r="C12" s="3">
        <f t="shared" si="1"/>
        <v>0</v>
      </c>
      <c r="W12" s="1">
        <f t="shared" si="0"/>
        <v>31</v>
      </c>
      <c r="X12" s="3">
        <v>2200</v>
      </c>
      <c r="Y12" s="3">
        <v>800</v>
      </c>
    </row>
    <row r="13" spans="1:25" ht="14.25" customHeight="1">
      <c r="W13" s="1">
        <f t="shared" si="0"/>
        <v>32</v>
      </c>
      <c r="X13" s="3">
        <v>2600</v>
      </c>
      <c r="Y13" s="3">
        <v>1000</v>
      </c>
    </row>
    <row r="14" spans="1:25" ht="14.25" customHeight="1">
      <c r="E14" s="49" t="s">
        <v>23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1"/>
      <c r="W14" s="1">
        <f t="shared" si="0"/>
        <v>33</v>
      </c>
      <c r="X14" s="3">
        <v>2900</v>
      </c>
      <c r="Y14" s="3">
        <v>1100</v>
      </c>
    </row>
    <row r="15" spans="1:25" ht="14.25" customHeight="1">
      <c r="A15" s="1" t="s">
        <v>24</v>
      </c>
      <c r="B15" s="3" t="e">
        <f>SUM(K38:K44)</f>
        <v>#REF!</v>
      </c>
      <c r="C15" s="3">
        <f>U37</f>
        <v>0</v>
      </c>
      <c r="G15" s="6" t="s">
        <v>14</v>
      </c>
      <c r="H15" s="6"/>
      <c r="I15" s="6"/>
      <c r="J15" s="6"/>
      <c r="K15" s="6"/>
      <c r="L15" s="3">
        <f t="array" ref="L15">INDEX(G17:K21,MATCH(B6,F17:F21,0),MATCH(B7,G16:K16,0))</f>
        <v>29890</v>
      </c>
      <c r="P15" s="55" t="s">
        <v>14</v>
      </c>
      <c r="Q15" s="54"/>
      <c r="R15" s="54"/>
      <c r="S15" s="54"/>
      <c r="T15" s="54"/>
      <c r="U15" s="3">
        <f t="array" ref="U15">INDEX(P17:T21,MATCH(B6,O17:O21,0),MATCH(B7,P16:T16,0))</f>
        <v>42200</v>
      </c>
      <c r="W15" s="1">
        <f t="shared" si="0"/>
        <v>34</v>
      </c>
      <c r="X15" s="3">
        <v>3300</v>
      </c>
      <c r="Y15" s="3">
        <v>1300</v>
      </c>
    </row>
    <row r="16" spans="1:25" ht="14.25" customHeight="1">
      <c r="G16" s="1">
        <v>1</v>
      </c>
      <c r="H16" s="1">
        <v>2</v>
      </c>
      <c r="I16" s="1">
        <v>3</v>
      </c>
      <c r="J16" s="1">
        <v>4</v>
      </c>
      <c r="K16" s="7">
        <v>5</v>
      </c>
      <c r="P16" s="1">
        <v>1</v>
      </c>
      <c r="Q16" s="1">
        <v>2</v>
      </c>
      <c r="R16" s="1">
        <v>3</v>
      </c>
      <c r="S16" s="1">
        <v>4</v>
      </c>
      <c r="T16" s="7">
        <v>5</v>
      </c>
      <c r="W16" s="1">
        <f t="shared" si="0"/>
        <v>35</v>
      </c>
      <c r="X16" s="3">
        <v>3700</v>
      </c>
      <c r="Y16" s="3">
        <v>1400</v>
      </c>
    </row>
    <row r="17" spans="1:25" ht="14.25" customHeight="1">
      <c r="E17" s="56" t="s">
        <v>25</v>
      </c>
      <c r="F17" s="7">
        <v>2</v>
      </c>
      <c r="G17" s="3">
        <v>19440</v>
      </c>
      <c r="H17" s="3">
        <v>16110</v>
      </c>
      <c r="I17" s="3">
        <v>0</v>
      </c>
      <c r="J17" s="3">
        <v>0</v>
      </c>
      <c r="K17" s="3">
        <v>0</v>
      </c>
      <c r="N17" s="56" t="s">
        <v>13</v>
      </c>
      <c r="O17" s="7">
        <v>2</v>
      </c>
      <c r="P17" s="3">
        <v>27450</v>
      </c>
      <c r="Q17" s="3">
        <v>22760</v>
      </c>
      <c r="R17" s="3">
        <v>0</v>
      </c>
      <c r="S17" s="3">
        <v>0</v>
      </c>
      <c r="T17" s="3">
        <v>0</v>
      </c>
      <c r="W17" s="1">
        <f t="shared" si="0"/>
        <v>36</v>
      </c>
      <c r="X17" s="3">
        <v>4000</v>
      </c>
      <c r="Y17" s="3">
        <v>1500</v>
      </c>
    </row>
    <row r="18" spans="1:25" ht="14.25" customHeight="1">
      <c r="B18" s="1" t="s">
        <v>26</v>
      </c>
      <c r="E18" s="54"/>
      <c r="F18" s="7">
        <v>3</v>
      </c>
      <c r="G18" s="3">
        <v>24200</v>
      </c>
      <c r="H18" s="3">
        <v>20900</v>
      </c>
      <c r="I18" s="3">
        <v>17570</v>
      </c>
      <c r="J18" s="3">
        <v>0</v>
      </c>
      <c r="K18" s="3">
        <v>0</v>
      </c>
      <c r="N18" s="54"/>
      <c r="O18" s="7">
        <v>3</v>
      </c>
      <c r="P18" s="3">
        <v>34180</v>
      </c>
      <c r="Q18" s="3">
        <v>29510</v>
      </c>
      <c r="R18" s="3">
        <v>24810</v>
      </c>
      <c r="S18" s="3">
        <v>0</v>
      </c>
      <c r="T18" s="3">
        <v>0</v>
      </c>
      <c r="W18" s="1">
        <f t="shared" si="0"/>
        <v>37</v>
      </c>
      <c r="X18" s="3">
        <v>4400</v>
      </c>
      <c r="Y18" s="3">
        <v>1700</v>
      </c>
    </row>
    <row r="19" spans="1:25" ht="14.25" customHeight="1">
      <c r="A19" s="1" t="s">
        <v>27</v>
      </c>
      <c r="B19" s="3">
        <v>57633</v>
      </c>
      <c r="E19" s="54"/>
      <c r="F19" s="7">
        <v>4</v>
      </c>
      <c r="G19" s="3">
        <v>29890</v>
      </c>
      <c r="H19" s="3">
        <v>26570</v>
      </c>
      <c r="I19" s="3">
        <v>23260</v>
      </c>
      <c r="J19" s="3">
        <v>19930</v>
      </c>
      <c r="K19" s="3">
        <v>0</v>
      </c>
      <c r="N19" s="54"/>
      <c r="O19" s="7">
        <v>4</v>
      </c>
      <c r="P19" s="3">
        <v>42200</v>
      </c>
      <c r="Q19" s="3">
        <v>37520</v>
      </c>
      <c r="R19" s="3">
        <v>32850</v>
      </c>
      <c r="S19" s="3">
        <v>28150</v>
      </c>
      <c r="T19" s="3">
        <v>0</v>
      </c>
      <c r="W19" s="1">
        <f t="shared" si="0"/>
        <v>38</v>
      </c>
      <c r="X19" s="3">
        <v>4800</v>
      </c>
      <c r="Y19" s="3">
        <v>1800</v>
      </c>
    </row>
    <row r="20" spans="1:25" ht="14.25" customHeight="1">
      <c r="A20" s="1" t="s">
        <v>28</v>
      </c>
      <c r="B20" s="3">
        <v>54000</v>
      </c>
      <c r="E20" s="54"/>
      <c r="F20" s="7">
        <v>5</v>
      </c>
      <c r="G20" s="3">
        <v>35270</v>
      </c>
      <c r="H20" s="3">
        <v>31940</v>
      </c>
      <c r="I20" s="3">
        <v>28640</v>
      </c>
      <c r="J20" s="3">
        <v>25310</v>
      </c>
      <c r="K20" s="3">
        <v>22000</v>
      </c>
      <c r="N20" s="54"/>
      <c r="O20" s="7">
        <v>5</v>
      </c>
      <c r="P20" s="3">
        <v>49800</v>
      </c>
      <c r="Q20" s="3">
        <v>45100</v>
      </c>
      <c r="R20" s="3">
        <v>40430</v>
      </c>
      <c r="S20" s="3">
        <v>35750</v>
      </c>
      <c r="T20" s="3">
        <v>31080</v>
      </c>
      <c r="W20" s="1">
        <f t="shared" si="0"/>
        <v>39</v>
      </c>
      <c r="X20" s="3">
        <v>5100</v>
      </c>
      <c r="Y20" s="3">
        <v>2000</v>
      </c>
    </row>
    <row r="21" spans="1:25" ht="14.25" customHeight="1">
      <c r="A21" s="1" t="s">
        <v>29</v>
      </c>
      <c r="B21" s="3">
        <v>57700</v>
      </c>
      <c r="E21" s="54"/>
      <c r="F21" s="7">
        <v>6</v>
      </c>
      <c r="G21" s="3">
        <v>41250</v>
      </c>
      <c r="H21" s="3">
        <v>37930</v>
      </c>
      <c r="I21" s="3">
        <v>34620</v>
      </c>
      <c r="J21" s="3">
        <v>31300</v>
      </c>
      <c r="K21" s="3">
        <v>27990</v>
      </c>
      <c r="N21" s="54"/>
      <c r="O21" s="7">
        <v>6</v>
      </c>
      <c r="P21" s="3">
        <v>58240</v>
      </c>
      <c r="Q21" s="3">
        <v>53550</v>
      </c>
      <c r="R21" s="3">
        <v>48900</v>
      </c>
      <c r="S21" s="3">
        <v>44180</v>
      </c>
      <c r="T21" s="3">
        <v>39520</v>
      </c>
      <c r="W21" s="1">
        <f t="shared" si="0"/>
        <v>40</v>
      </c>
      <c r="X21" s="3">
        <v>5500</v>
      </c>
      <c r="Y21" s="3">
        <v>2100</v>
      </c>
    </row>
    <row r="22" spans="1:25" ht="14.25" customHeight="1">
      <c r="A22" s="1" t="s">
        <v>30</v>
      </c>
      <c r="B22" s="3">
        <f>AVERAGE(B19:B21)</f>
        <v>56444.333333333336</v>
      </c>
      <c r="W22" s="1">
        <f t="shared" si="0"/>
        <v>41</v>
      </c>
      <c r="X22" s="3">
        <v>5600</v>
      </c>
      <c r="Y22" s="3">
        <v>2200</v>
      </c>
    </row>
    <row r="23" spans="1:25" ht="14.25" customHeight="1">
      <c r="E23" s="49" t="s">
        <v>31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1"/>
      <c r="W23" s="1">
        <f t="shared" si="0"/>
        <v>42</v>
      </c>
      <c r="X23" s="3">
        <v>5700</v>
      </c>
      <c r="Y23" s="3">
        <v>2200</v>
      </c>
    </row>
    <row r="24" spans="1:25" ht="14.25" customHeight="1">
      <c r="A24" s="1" t="s">
        <v>32</v>
      </c>
      <c r="B24" s="3">
        <f>B22</f>
        <v>56444.333333333336</v>
      </c>
      <c r="I24" s="1" t="s">
        <v>16</v>
      </c>
      <c r="J24" s="1" t="s">
        <v>17</v>
      </c>
      <c r="L24" s="3" t="e">
        <f>SUM(K25:K29)</f>
        <v>#REF!</v>
      </c>
      <c r="R24" s="1" t="s">
        <v>16</v>
      </c>
      <c r="S24" s="1" t="s">
        <v>17</v>
      </c>
      <c r="U24" s="3">
        <f>SUM(T25:T29)</f>
        <v>400</v>
      </c>
      <c r="W24" s="1">
        <f t="shared" si="0"/>
        <v>43</v>
      </c>
      <c r="X24" s="3">
        <v>5900</v>
      </c>
      <c r="Y24" s="3">
        <v>2300</v>
      </c>
    </row>
    <row r="25" spans="1:25" ht="14.25" customHeight="1">
      <c r="B25" s="3">
        <f>B24+B39</f>
        <v>71444.333333333343</v>
      </c>
      <c r="I25" s="4">
        <v>0</v>
      </c>
      <c r="J25" s="3">
        <v>0</v>
      </c>
      <c r="K25" s="3">
        <v>0</v>
      </c>
      <c r="R25" s="4">
        <v>0</v>
      </c>
      <c r="S25" s="3">
        <v>0</v>
      </c>
      <c r="T25" s="3">
        <v>0</v>
      </c>
      <c r="W25" s="1">
        <f t="shared" si="0"/>
        <v>44</v>
      </c>
      <c r="X25" s="3">
        <v>6000</v>
      </c>
      <c r="Y25" s="3">
        <v>2300</v>
      </c>
    </row>
    <row r="26" spans="1:25" ht="14.25" customHeight="1">
      <c r="I26" s="4">
        <v>0.4</v>
      </c>
      <c r="J26" s="3">
        <v>140000</v>
      </c>
      <c r="K26" s="3" t="e">
        <f>IF(AND(B3&lt;J26,B3&gt;0),B3*I26,0)</f>
        <v>#REF!</v>
      </c>
      <c r="R26" s="4">
        <v>0.4</v>
      </c>
      <c r="S26" s="3">
        <v>140000</v>
      </c>
      <c r="T26" s="3">
        <f>IF(C3&lt;S26,C3*R26,0)</f>
        <v>400</v>
      </c>
      <c r="W26" s="1">
        <f t="shared" si="0"/>
        <v>45</v>
      </c>
      <c r="X26" s="3">
        <v>6200</v>
      </c>
      <c r="Y26" s="3">
        <v>2400</v>
      </c>
    </row>
    <row r="27" spans="1:25" ht="14.25" customHeight="1">
      <c r="A27" s="1" t="s">
        <v>33</v>
      </c>
      <c r="B27" s="8" t="e">
        <f>IF(B24-SUM(B15:C15)&gt;0,B24-SUM(B15:C15),0)</f>
        <v>#REF!</v>
      </c>
      <c r="I27" s="4">
        <v>0.5</v>
      </c>
      <c r="J27" s="3">
        <v>415000</v>
      </c>
      <c r="K27" s="3" t="e">
        <f>IF(AND(B3&gt;=J26,B3&lt;J27),(B3-J26)*I27+56000,0)</f>
        <v>#REF!</v>
      </c>
      <c r="R27" s="4">
        <v>0.5</v>
      </c>
      <c r="S27" s="3">
        <v>415000</v>
      </c>
      <c r="T27" s="3">
        <f>IF(AND(C3&gt;=S26,C3&lt;S27),(C3-S26)*R27+56000,0)</f>
        <v>0</v>
      </c>
      <c r="W27" s="1">
        <f t="shared" si="0"/>
        <v>46</v>
      </c>
      <c r="X27" s="3">
        <v>6300</v>
      </c>
      <c r="Y27" s="3">
        <v>2400</v>
      </c>
    </row>
    <row r="28" spans="1:25" ht="14.25" customHeight="1">
      <c r="I28" s="4">
        <v>0.6</v>
      </c>
      <c r="J28" s="3">
        <v>695000</v>
      </c>
      <c r="K28" s="3" t="e">
        <f>IF(AND(B3&gt;=J27,B3&lt;J28),(B3-J27)*I28+193500,0)</f>
        <v>#REF!</v>
      </c>
      <c r="R28" s="4">
        <v>0.6</v>
      </c>
      <c r="S28" s="3">
        <v>695000</v>
      </c>
      <c r="T28" s="3">
        <f>IF(AND(C3&gt;=S27,C3&lt;S28),(C3-S27)*R28+193500,0)</f>
        <v>0</v>
      </c>
      <c r="W28" s="1">
        <f t="shared" si="0"/>
        <v>47</v>
      </c>
      <c r="X28" s="3">
        <v>6500</v>
      </c>
      <c r="Y28" s="3">
        <v>2500</v>
      </c>
    </row>
    <row r="29" spans="1:25" ht="14.25" customHeight="1">
      <c r="I29" s="4">
        <v>1</v>
      </c>
      <c r="J29" s="1" t="s">
        <v>21</v>
      </c>
      <c r="K29" s="3" t="e">
        <f>IF(B3&gt;=J28,(B3-J28)*I29+361500,0)</f>
        <v>#REF!</v>
      </c>
      <c r="R29" s="4">
        <v>1</v>
      </c>
      <c r="S29" s="1" t="s">
        <v>21</v>
      </c>
      <c r="T29" s="3">
        <f>IF(C3&gt;=S28,(C3-S28)*R29+361500,0)</f>
        <v>0</v>
      </c>
      <c r="W29" s="1">
        <f t="shared" si="0"/>
        <v>48</v>
      </c>
      <c r="X29" s="3">
        <v>6600</v>
      </c>
      <c r="Y29" s="3">
        <v>2500</v>
      </c>
    </row>
    <row r="30" spans="1:25" ht="14.25" customHeight="1">
      <c r="W30" s="1">
        <f t="shared" si="0"/>
        <v>49</v>
      </c>
      <c r="X30" s="3">
        <v>6800</v>
      </c>
      <c r="Y30" s="3">
        <v>2600</v>
      </c>
    </row>
    <row r="31" spans="1:25" ht="14.25" customHeight="1">
      <c r="E31" s="49" t="s">
        <v>34</v>
      </c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1"/>
      <c r="W31" s="1">
        <f t="shared" si="0"/>
        <v>50</v>
      </c>
      <c r="X31" s="3">
        <v>7000</v>
      </c>
      <c r="Y31" s="3">
        <v>2700</v>
      </c>
    </row>
    <row r="32" spans="1:25" ht="14.25" customHeight="1">
      <c r="B32" s="1" t="s">
        <v>26</v>
      </c>
      <c r="K32" s="3">
        <v>4000</v>
      </c>
      <c r="W32" s="1">
        <f t="shared" si="0"/>
        <v>51</v>
      </c>
      <c r="X32" s="3">
        <v>7100</v>
      </c>
      <c r="Y32" s="3">
        <v>2700</v>
      </c>
    </row>
    <row r="33" spans="1:25" ht="14.25" customHeight="1">
      <c r="A33" s="1" t="s">
        <v>35</v>
      </c>
      <c r="B33" s="1">
        <v>8992</v>
      </c>
      <c r="W33" s="1">
        <f t="shared" si="0"/>
        <v>52</v>
      </c>
      <c r="X33" s="3">
        <v>7300</v>
      </c>
      <c r="Y33" s="3">
        <v>2800</v>
      </c>
    </row>
    <row r="34" spans="1:25" ht="14.25" customHeight="1">
      <c r="A34" s="1" t="s">
        <v>36</v>
      </c>
      <c r="B34" s="1">
        <v>9101</v>
      </c>
      <c r="W34" s="1">
        <f t="shared" si="0"/>
        <v>53</v>
      </c>
      <c r="X34" s="3">
        <v>7500</v>
      </c>
      <c r="Y34" s="3">
        <v>2900</v>
      </c>
    </row>
    <row r="35" spans="1:25" ht="14.25" customHeight="1">
      <c r="A35" s="1" t="s">
        <v>37</v>
      </c>
      <c r="B35" s="1">
        <f>AVERAGE(B33:B34)</f>
        <v>9046.5</v>
      </c>
      <c r="W35" s="1">
        <f t="shared" si="0"/>
        <v>54</v>
      </c>
      <c r="X35" s="3">
        <v>7700</v>
      </c>
      <c r="Y35" s="3">
        <v>2900</v>
      </c>
    </row>
    <row r="36" spans="1:25" ht="14.25" customHeight="1">
      <c r="B36" s="3">
        <f>B35/(1-net_income!C11)</f>
        <v>11212.493802855357</v>
      </c>
      <c r="E36" s="49" t="s">
        <v>38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  <c r="W36" s="1">
        <f t="shared" si="0"/>
        <v>55</v>
      </c>
      <c r="X36" s="3">
        <v>7900</v>
      </c>
      <c r="Y36" s="3">
        <v>3000</v>
      </c>
    </row>
    <row r="37" spans="1:25" ht="14.25" customHeight="1">
      <c r="I37" s="1" t="s">
        <v>16</v>
      </c>
      <c r="J37" s="1" t="s">
        <v>17</v>
      </c>
      <c r="L37" s="3" t="e">
        <f>SUM(K38:K44)</f>
        <v>#REF!</v>
      </c>
      <c r="R37" s="1" t="s">
        <v>16</v>
      </c>
      <c r="S37" s="1" t="s">
        <v>17</v>
      </c>
      <c r="U37" s="3">
        <f>SUM(T38:T44)</f>
        <v>0</v>
      </c>
      <c r="W37" s="1">
        <f t="shared" si="0"/>
        <v>56</v>
      </c>
      <c r="X37" s="3">
        <v>8100</v>
      </c>
      <c r="Y37" s="3">
        <v>3100</v>
      </c>
    </row>
    <row r="38" spans="1:25" ht="14.25" customHeight="1">
      <c r="I38" s="4">
        <v>0</v>
      </c>
      <c r="J38" s="3">
        <v>-3409</v>
      </c>
      <c r="K38" s="1" t="e">
        <f>IF(B12&lt;J38,-750,0)</f>
        <v>#REF!</v>
      </c>
      <c r="R38" s="4">
        <v>0</v>
      </c>
      <c r="S38" s="3">
        <v>-3409</v>
      </c>
      <c r="T38" s="1">
        <f>IF(C12&lt;S38,-750,0)</f>
        <v>0</v>
      </c>
      <c r="W38" s="1">
        <f t="shared" si="0"/>
        <v>57</v>
      </c>
      <c r="X38" s="3">
        <v>8400</v>
      </c>
      <c r="Y38" s="3">
        <v>3100</v>
      </c>
    </row>
    <row r="39" spans="1:25" ht="14.25" customHeight="1">
      <c r="A39" s="1" t="s">
        <v>39</v>
      </c>
      <c r="B39" s="3">
        <v>15000</v>
      </c>
      <c r="I39" s="4">
        <v>0.22</v>
      </c>
      <c r="J39" s="3">
        <v>17400</v>
      </c>
      <c r="K39" s="3" t="e">
        <f>IF(AND(B12&gt;=J38,B12&lt;J39),(B12-J38)*I39,0)</f>
        <v>#REF!</v>
      </c>
      <c r="R39" s="4">
        <v>0.22</v>
      </c>
      <c r="S39" s="3">
        <v>17400</v>
      </c>
      <c r="T39" s="3">
        <f>IF(AND(C12&gt;=S38,C12&lt;S39),C12*R39,0)</f>
        <v>0</v>
      </c>
      <c r="W39" s="1">
        <f t="shared" si="0"/>
        <v>58</v>
      </c>
      <c r="X39" s="3">
        <v>8600</v>
      </c>
      <c r="Y39" s="3">
        <v>3200</v>
      </c>
    </row>
    <row r="40" spans="1:25" ht="14.25" customHeight="1">
      <c r="I40" s="4">
        <v>0.25</v>
      </c>
      <c r="J40" s="3">
        <v>21800</v>
      </c>
      <c r="K40" s="3" t="e">
        <f>IF(AND(B12&gt;=J39,B12&lt;J40),(B12-J39)*I40+3828,0)</f>
        <v>#REF!</v>
      </c>
      <c r="R40" s="4">
        <v>0.25</v>
      </c>
      <c r="S40" s="3">
        <v>21800</v>
      </c>
      <c r="T40" s="3">
        <f>IF(AND(C12&gt;=S39,C12&lt;S40),(C12-S39)*R40+3828,0)</f>
        <v>0</v>
      </c>
      <c r="W40" s="1">
        <f t="shared" si="0"/>
        <v>59</v>
      </c>
      <c r="X40" s="3">
        <v>8800</v>
      </c>
      <c r="Y40" s="3">
        <v>3300</v>
      </c>
    </row>
    <row r="41" spans="1:25" ht="14.25" customHeight="1">
      <c r="B41" s="3">
        <f>B36+B39</f>
        <v>26212.493802855359</v>
      </c>
      <c r="I41" s="4">
        <v>0.28999999999999998</v>
      </c>
      <c r="J41" s="3">
        <v>26200</v>
      </c>
      <c r="K41" s="3" t="e">
        <f>IF(AND(B12&gt;=J40,B12&lt;J41),(B12-J40)*I41+4928,0)</f>
        <v>#REF!</v>
      </c>
      <c r="R41" s="4">
        <v>0.28999999999999998</v>
      </c>
      <c r="S41" s="3">
        <v>26200</v>
      </c>
      <c r="T41" s="3">
        <f>IF(AND(C12&gt;=S40,C12&lt;S41),(C12-S40)*R41+4928,0)</f>
        <v>0</v>
      </c>
      <c r="W41" s="1">
        <f t="shared" si="0"/>
        <v>60</v>
      </c>
      <c r="X41" s="3">
        <v>9100</v>
      </c>
      <c r="Y41" s="3">
        <v>3400</v>
      </c>
    </row>
    <row r="42" spans="1:25" ht="14.25" customHeight="1">
      <c r="I42" s="4">
        <v>0.34</v>
      </c>
      <c r="J42" s="3">
        <v>30700</v>
      </c>
      <c r="K42" s="3" t="e">
        <f>IF(AND(B12&gt;=J41,B12&lt;J42),(B12-J41)*I42+6204,0)</f>
        <v>#REF!</v>
      </c>
      <c r="R42" s="4">
        <v>0.34</v>
      </c>
      <c r="S42" s="3">
        <v>30700</v>
      </c>
      <c r="T42" s="3">
        <f>IF(AND(C12&gt;=S41,C12&lt;S42),(C12-S41)*R42+6204,0)</f>
        <v>0</v>
      </c>
      <c r="W42" s="1">
        <f t="shared" si="0"/>
        <v>61</v>
      </c>
      <c r="X42" s="3">
        <v>9300</v>
      </c>
      <c r="Y42" s="3">
        <v>3500</v>
      </c>
    </row>
    <row r="43" spans="1:25" ht="14.25" customHeight="1">
      <c r="I43" s="4">
        <v>0.4</v>
      </c>
      <c r="J43" s="3">
        <v>35100</v>
      </c>
      <c r="K43" s="3" t="e">
        <f>IF(AND(B12&gt;=J42,B12&lt;J43),(B12-J42)*I43+7734,0)</f>
        <v>#REF!</v>
      </c>
      <c r="R43" s="4">
        <v>0.4</v>
      </c>
      <c r="S43" s="3">
        <v>35100</v>
      </c>
      <c r="T43" s="3">
        <f>IF(AND(C12&gt;=S42,C12&lt;S43),(C12-S42)*R43+7734,0)</f>
        <v>0</v>
      </c>
      <c r="W43" s="1">
        <f t="shared" si="0"/>
        <v>62</v>
      </c>
      <c r="X43" s="3">
        <v>9600</v>
      </c>
      <c r="Y43" s="3">
        <v>3600</v>
      </c>
    </row>
    <row r="44" spans="1:25" ht="14.25" customHeight="1">
      <c r="I44" s="4">
        <v>0.47</v>
      </c>
      <c r="J44" s="1" t="s">
        <v>21</v>
      </c>
      <c r="K44" s="3" t="e">
        <f>IF(B12&gt;=J43,(B12-J43)*I44+9494,0)</f>
        <v>#REF!</v>
      </c>
      <c r="R44" s="4">
        <v>0.47</v>
      </c>
      <c r="S44" s="1" t="s">
        <v>21</v>
      </c>
      <c r="T44" s="3">
        <f>IF(C12&gt;=S43,(C12-S43)*R44+9494,0)</f>
        <v>0</v>
      </c>
      <c r="W44" s="1">
        <f t="shared" si="0"/>
        <v>63</v>
      </c>
      <c r="X44" s="3">
        <v>9900</v>
      </c>
      <c r="Y44" s="3">
        <v>3700</v>
      </c>
    </row>
    <row r="45" spans="1:25" ht="14.25" customHeight="1">
      <c r="W45" s="1">
        <f t="shared" si="0"/>
        <v>64</v>
      </c>
      <c r="X45" s="3">
        <v>10200</v>
      </c>
      <c r="Y45" s="3">
        <v>3800</v>
      </c>
    </row>
    <row r="46" spans="1:25" ht="14.25" customHeight="1">
      <c r="W46" s="1">
        <f t="shared" si="0"/>
        <v>65</v>
      </c>
      <c r="X46" s="3">
        <v>10500</v>
      </c>
      <c r="Y46" s="3">
        <v>3900</v>
      </c>
    </row>
    <row r="47" spans="1:25" ht="14.25" customHeight="1"/>
    <row r="48" spans="1:25" ht="14.25" customHeight="1">
      <c r="X48" s="9">
        <f t="array" ref="X48">IF(AND(B4&lt;66,B4&gt;24),INDEX(X6:X46,MATCH(B4,W6:W46,0),0))</f>
        <v>7000</v>
      </c>
      <c r="Y48" s="1">
        <f t="array" ref="Y48">IF(OR(C4&lt;25,C4&gt;65),0,INDEX(Y6:Y46,MATCH(C4,W6:W46)))</f>
        <v>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2:L2"/>
    <mergeCell ref="N2:U2"/>
    <mergeCell ref="E3:U3"/>
    <mergeCell ref="E31:U31"/>
    <mergeCell ref="E36:U36"/>
    <mergeCell ref="W4:Y4"/>
    <mergeCell ref="E7:U7"/>
    <mergeCell ref="P15:T15"/>
    <mergeCell ref="N17:N21"/>
    <mergeCell ref="E23:U23"/>
    <mergeCell ref="E14:U14"/>
    <mergeCell ref="E17:E21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defaultColWidth="14.42578125" defaultRowHeight="15" customHeight="1"/>
  <cols>
    <col min="1" max="1" width="15.85546875" customWidth="1"/>
    <col min="2" max="2" width="9.28515625" customWidth="1"/>
    <col min="3" max="3" width="17.7109375" customWidth="1"/>
    <col min="4" max="4" width="8.7109375" customWidth="1"/>
    <col min="5" max="5" width="10.42578125" customWidth="1"/>
    <col min="6" max="6" width="10.85546875" customWidth="1"/>
    <col min="7" max="10" width="8.7109375" customWidth="1"/>
  </cols>
  <sheetData>
    <row r="1" spans="1:7" ht="14.25" customHeight="1"/>
    <row r="2" spans="1:7" ht="14.25" customHeight="1">
      <c r="E2" s="52" t="s">
        <v>40</v>
      </c>
      <c r="F2" s="50"/>
      <c r="G2" s="51"/>
    </row>
    <row r="3" spans="1:7" ht="14.25" customHeight="1">
      <c r="A3" s="1" t="s">
        <v>41</v>
      </c>
      <c r="B3" s="2">
        <v>270000</v>
      </c>
      <c r="E3" s="10" t="s">
        <v>42</v>
      </c>
      <c r="F3" s="10" t="s">
        <v>17</v>
      </c>
      <c r="G3" s="10" t="s">
        <v>43</v>
      </c>
    </row>
    <row r="4" spans="1:7" ht="14.25" customHeight="1">
      <c r="A4" s="1" t="s">
        <v>44</v>
      </c>
      <c r="B4" s="2">
        <v>75000</v>
      </c>
      <c r="E4" s="4">
        <v>0.1</v>
      </c>
      <c r="F4" s="3">
        <v>20550</v>
      </c>
      <c r="G4" s="3">
        <f>IF(B3&lt;=F4,B3*E4,0)</f>
        <v>0</v>
      </c>
    </row>
    <row r="5" spans="1:7" ht="14.25" customHeight="1">
      <c r="A5" s="1" t="s">
        <v>45</v>
      </c>
      <c r="B5" s="3">
        <f>SUM(B3:B4)</f>
        <v>345000</v>
      </c>
      <c r="E5" s="4">
        <v>0.12</v>
      </c>
      <c r="F5" s="3">
        <v>83550</v>
      </c>
      <c r="G5" s="3">
        <f>IF(AND($B$3&gt;F4,$B$3&lt;=F5),($B$3-F4)*E5+2055,0)</f>
        <v>0</v>
      </c>
    </row>
    <row r="6" spans="1:7" ht="14.25" customHeight="1">
      <c r="E6" s="4">
        <v>0.22</v>
      </c>
      <c r="F6" s="3">
        <v>178150</v>
      </c>
      <c r="G6" s="3">
        <f>IF(AND($B$3&gt;F5,$B$3&lt;=F6),($B$3-F5)*E6+9615,0)</f>
        <v>0</v>
      </c>
    </row>
    <row r="7" spans="1:7" ht="14.25" customHeight="1">
      <c r="B7" s="1" t="s">
        <v>43</v>
      </c>
      <c r="C7" s="1" t="s">
        <v>46</v>
      </c>
      <c r="E7" s="4">
        <v>0.24</v>
      </c>
      <c r="F7" s="3">
        <v>340100</v>
      </c>
      <c r="G7" s="3">
        <f>IF(AND($B$3&gt;F6,$B$3&lt;=F7),($B$3-F6)*E7+30427,0)</f>
        <v>52471</v>
      </c>
    </row>
    <row r="8" spans="1:7" ht="14.25" customHeight="1">
      <c r="A8" s="1" t="s">
        <v>47</v>
      </c>
      <c r="B8" s="3">
        <f>SUM(G4:G10)</f>
        <v>52471</v>
      </c>
      <c r="C8" s="4">
        <f>B8/B3</f>
        <v>0.19433703703703703</v>
      </c>
      <c r="E8" s="4">
        <v>0.32</v>
      </c>
      <c r="F8" s="3">
        <v>431900</v>
      </c>
      <c r="G8" s="3">
        <f>IF(AND($B$3&gt;F7,$B$3&lt;=F8),($B$3-F7)*E8+69295,0)</f>
        <v>0</v>
      </c>
    </row>
    <row r="9" spans="1:7" ht="14.25" customHeight="1">
      <c r="A9" s="1" t="s">
        <v>48</v>
      </c>
      <c r="B9" s="3">
        <f>G14</f>
        <v>14175</v>
      </c>
      <c r="C9" s="4">
        <f t="shared" ref="C9:C11" si="0">B9/B3</f>
        <v>5.2499999999999998E-2</v>
      </c>
      <c r="E9" s="4">
        <v>0.35</v>
      </c>
      <c r="F9" s="3">
        <v>647850</v>
      </c>
      <c r="G9" s="3">
        <f>IF(AND($B$3&gt;F8,$B$3&lt;=F9),($B$3-F8)*E9+98671,0)</f>
        <v>0</v>
      </c>
    </row>
    <row r="10" spans="1:7" ht="14.25" customHeight="1">
      <c r="A10" s="1" t="s">
        <v>44</v>
      </c>
      <c r="B10" s="3">
        <f>SUM(G18:G20)</f>
        <v>0</v>
      </c>
      <c r="C10" s="4">
        <f t="shared" si="0"/>
        <v>0</v>
      </c>
      <c r="E10" s="4">
        <v>0.37</v>
      </c>
      <c r="F10" s="1" t="s">
        <v>21</v>
      </c>
      <c r="G10" s="3">
        <f>IF(AND($B$3&gt;F9,$B$3&lt;=F10),($B$3-F9)*E10+174253,0)</f>
        <v>0</v>
      </c>
    </row>
    <row r="11" spans="1:7" ht="14.25" customHeight="1">
      <c r="A11" s="1" t="s">
        <v>45</v>
      </c>
      <c r="B11" s="3">
        <f>SUM(B8:B10)</f>
        <v>66646</v>
      </c>
      <c r="C11" s="4">
        <f t="shared" si="0"/>
        <v>0.19317681159420289</v>
      </c>
    </row>
    <row r="12" spans="1:7" ht="14.25" customHeight="1">
      <c r="E12" s="52" t="s">
        <v>49</v>
      </c>
      <c r="F12" s="50"/>
      <c r="G12" s="51"/>
    </row>
    <row r="13" spans="1:7" ht="14.25" customHeight="1">
      <c r="E13" s="1" t="s">
        <v>42</v>
      </c>
      <c r="G13" s="1" t="s">
        <v>43</v>
      </c>
    </row>
    <row r="14" spans="1:7" ht="14.25" customHeight="1">
      <c r="A14" s="1" t="s">
        <v>50</v>
      </c>
      <c r="B14" s="3">
        <f>B5-B11</f>
        <v>278354</v>
      </c>
      <c r="E14" s="5">
        <v>5.2499999999999998E-2</v>
      </c>
      <c r="F14" s="1" t="s">
        <v>51</v>
      </c>
      <c r="G14" s="3">
        <f>E14*B3</f>
        <v>14175</v>
      </c>
    </row>
    <row r="15" spans="1:7" ht="14.25" customHeight="1"/>
    <row r="16" spans="1:7" ht="14.25" customHeight="1">
      <c r="E16" s="52" t="s">
        <v>52</v>
      </c>
      <c r="F16" s="50"/>
      <c r="G16" s="51"/>
    </row>
    <row r="17" spans="5:10" ht="14.25" customHeight="1">
      <c r="E17" s="1" t="s">
        <v>42</v>
      </c>
      <c r="F17" s="1" t="s">
        <v>17</v>
      </c>
      <c r="G17" s="1" t="s">
        <v>43</v>
      </c>
    </row>
    <row r="18" spans="5:10" ht="14.25" customHeight="1">
      <c r="E18" s="4">
        <v>0</v>
      </c>
      <c r="F18" s="3">
        <v>80800</v>
      </c>
      <c r="G18" s="3">
        <f>IF(B4&lt;=F18,B4*E18,0)</f>
        <v>0</v>
      </c>
    </row>
    <row r="19" spans="5:10" ht="14.25" customHeight="1">
      <c r="E19" s="4">
        <v>0.15</v>
      </c>
      <c r="F19" s="3">
        <v>501600</v>
      </c>
      <c r="G19" s="3">
        <f>IF(AND(B4&gt;F18,B4&lt;=F19),(B4-F18)*E19,0)</f>
        <v>0</v>
      </c>
      <c r="I19" s="3"/>
      <c r="J19" s="3"/>
    </row>
    <row r="20" spans="5:10" ht="14.25" customHeight="1">
      <c r="E20" s="4">
        <v>0.2</v>
      </c>
      <c r="F20" s="1" t="s">
        <v>21</v>
      </c>
      <c r="G20" s="3">
        <f>IF(B4&gt;F19,(B4-F19)*E20+63120,0)</f>
        <v>0</v>
      </c>
    </row>
    <row r="21" spans="5:10" ht="14.25" customHeight="1"/>
    <row r="22" spans="5:10" ht="14.25" customHeight="1"/>
    <row r="23" spans="5:10" ht="14.25" customHeight="1"/>
    <row r="24" spans="5:10" ht="14.25" customHeight="1"/>
    <row r="25" spans="5:10" ht="14.25" customHeight="1"/>
    <row r="26" spans="5:10" ht="14.25" customHeight="1"/>
    <row r="27" spans="5:10" ht="14.25" customHeight="1"/>
    <row r="28" spans="5:10" ht="14.25" customHeight="1"/>
    <row r="29" spans="5:10" ht="14.25" customHeight="1"/>
    <row r="30" spans="5:10" ht="14.25" customHeight="1"/>
    <row r="31" spans="5:10" ht="14.25" customHeight="1"/>
    <row r="32" spans="5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2:G2"/>
    <mergeCell ref="E12:G12"/>
    <mergeCell ref="E16:G1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000"/>
  <sheetViews>
    <sheetView workbookViewId="0"/>
  </sheetViews>
  <sheetFormatPr defaultColWidth="14.42578125" defaultRowHeight="15" customHeight="1"/>
  <cols>
    <col min="1" max="1" width="22.5703125" customWidth="1"/>
    <col min="2" max="2" width="9.85546875" customWidth="1"/>
    <col min="3" max="6" width="8.7109375" customWidth="1"/>
    <col min="7" max="7" width="16.42578125" customWidth="1"/>
    <col min="8" max="8" width="12.28515625" customWidth="1"/>
    <col min="9" max="9" width="12.85546875" customWidth="1"/>
    <col min="10" max="12" width="11.140625" customWidth="1"/>
    <col min="13" max="13" width="6" customWidth="1"/>
    <col min="14" max="14" width="6.28515625" customWidth="1"/>
    <col min="15" max="15" width="6.7109375" customWidth="1"/>
    <col min="16" max="16" width="6.28515625" customWidth="1"/>
    <col min="17" max="17" width="14.140625" customWidth="1"/>
  </cols>
  <sheetData>
    <row r="1" spans="1:17" ht="14.25" customHeight="1">
      <c r="A1" s="1" t="s">
        <v>90</v>
      </c>
      <c r="B1" s="2">
        <v>500000</v>
      </c>
      <c r="F1" s="1" t="s">
        <v>61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62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 ht="14.25" customHeight="1">
      <c r="A2" s="1" t="s">
        <v>100</v>
      </c>
      <c r="B2" s="19">
        <v>0.25</v>
      </c>
      <c r="F2" s="1">
        <v>1</v>
      </c>
      <c r="G2" s="3">
        <f t="array" ref="G2">INDEX($Q$2:$Q$361,F2*$B$9)</f>
        <v>369948.41451295587</v>
      </c>
      <c r="H2" s="3">
        <f>B1*(1+B25)</f>
        <v>517499.99999999994</v>
      </c>
      <c r="I2" s="3">
        <f t="shared" ref="I2:I31" si="0">H2-G2</f>
        <v>147551.58548704407</v>
      </c>
      <c r="J2" s="21">
        <f t="shared" ref="J2:J31" si="1">I2-$B$11+($B$27*($B$9-$B$28)-$B$23*$B$9)*F2-$B$15</f>
        <v>8301.5854870440671</v>
      </c>
      <c r="K2" s="4">
        <f t="shared" ref="K2:K31" si="2">EXP(LN(J2/$B$11+1)/F2)-1</f>
        <v>6.6412683896352576E-2</v>
      </c>
      <c r="L2" s="21"/>
      <c r="M2" s="1">
        <v>1</v>
      </c>
      <c r="N2" s="3">
        <f t="shared" ref="N2:N256" si="3">$B$19</f>
        <v>2129.2087550512606</v>
      </c>
      <c r="O2" s="3">
        <f>$B$5/$B$9*B10</f>
        <v>1718.75</v>
      </c>
      <c r="P2" s="3">
        <f t="shared" ref="P2:P256" si="4">N2-O2</f>
        <v>410.4587550512606</v>
      </c>
      <c r="Q2" s="3">
        <f>B10-P2</f>
        <v>374589.54124494875</v>
      </c>
    </row>
    <row r="3" spans="1:17" ht="14.25" customHeight="1">
      <c r="A3" s="1" t="s">
        <v>101</v>
      </c>
      <c r="B3" s="4">
        <v>0.01</v>
      </c>
      <c r="F3" s="1">
        <f t="shared" ref="F3:F31" si="5">F2+1</f>
        <v>2</v>
      </c>
      <c r="G3" s="3">
        <f t="array" ref="G3">INDEX($Q$2:$Q$361,F3*$B$9)</f>
        <v>364611.87989703298</v>
      </c>
      <c r="H3" s="3">
        <f t="shared" ref="H3:H31" si="6">H2*(1+$B$25)</f>
        <v>535612.49999999988</v>
      </c>
      <c r="I3" s="3">
        <f t="shared" si="0"/>
        <v>171000.6201029669</v>
      </c>
      <c r="J3" s="21">
        <f t="shared" si="1"/>
        <v>31750.620102966903</v>
      </c>
      <c r="K3" s="4">
        <f t="shared" si="2"/>
        <v>0.11982362933800217</v>
      </c>
      <c r="L3" s="21"/>
      <c r="M3" s="1">
        <f t="shared" ref="M3:M257" si="7">M2+1</f>
        <v>2</v>
      </c>
      <c r="N3" s="3">
        <f t="shared" si="3"/>
        <v>2129.2087550512606</v>
      </c>
      <c r="O3" s="3">
        <f t="shared" ref="O3:O257" si="8">Q2*$B$5/$B$9</f>
        <v>1716.8687307060152</v>
      </c>
      <c r="P3" s="3">
        <f t="shared" si="4"/>
        <v>412.34002434524541</v>
      </c>
      <c r="Q3" s="3">
        <f t="shared" ref="Q3:Q257" si="9">Q2-P3</f>
        <v>374177.20122060349</v>
      </c>
    </row>
    <row r="4" spans="1:17" ht="14.25" customHeight="1">
      <c r="A4" s="1" t="s">
        <v>102</v>
      </c>
      <c r="B4" s="1">
        <v>100</v>
      </c>
      <c r="F4" s="1">
        <f t="shared" si="5"/>
        <v>3</v>
      </c>
      <c r="G4" s="3">
        <f t="array" ref="G4">INDEX($Q$2:$Q$361,F4*$B$9)</f>
        <v>358974.3227815525</v>
      </c>
      <c r="H4" s="3">
        <f t="shared" si="6"/>
        <v>554358.93749999988</v>
      </c>
      <c r="I4" s="3">
        <f t="shared" si="0"/>
        <v>195384.61471844738</v>
      </c>
      <c r="J4" s="21">
        <f t="shared" si="1"/>
        <v>56134.614718447381</v>
      </c>
      <c r="K4" s="4">
        <f t="shared" si="2"/>
        <v>0.13161096296580777</v>
      </c>
      <c r="L4" s="21"/>
      <c r="M4" s="1">
        <f t="shared" si="7"/>
        <v>3</v>
      </c>
      <c r="N4" s="3">
        <f t="shared" si="3"/>
        <v>2129.2087550512606</v>
      </c>
      <c r="O4" s="3">
        <f t="shared" si="8"/>
        <v>1714.9788389277658</v>
      </c>
      <c r="P4" s="3">
        <f t="shared" si="4"/>
        <v>414.22991612349483</v>
      </c>
      <c r="Q4" s="3">
        <f t="shared" si="9"/>
        <v>373762.97130447999</v>
      </c>
    </row>
    <row r="5" spans="1:17" ht="14.25" customHeight="1">
      <c r="A5" s="1" t="s">
        <v>103</v>
      </c>
      <c r="B5" s="22">
        <v>5.5E-2</v>
      </c>
      <c r="F5" s="1">
        <f t="shared" si="5"/>
        <v>4</v>
      </c>
      <c r="G5" s="3">
        <f t="array" ref="G5">INDEX($Q$2:$Q$361,F5*$B$9)</f>
        <v>353018.76313138654</v>
      </c>
      <c r="H5" s="3">
        <f t="shared" si="6"/>
        <v>573761.50031249982</v>
      </c>
      <c r="I5" s="3">
        <f t="shared" si="0"/>
        <v>220742.73718111328</v>
      </c>
      <c r="J5" s="21">
        <f t="shared" si="1"/>
        <v>81492.737181113276</v>
      </c>
      <c r="K5" s="4">
        <f t="shared" si="2"/>
        <v>0.1337014237236982</v>
      </c>
      <c r="L5" s="21"/>
      <c r="M5" s="1">
        <f t="shared" si="7"/>
        <v>4</v>
      </c>
      <c r="N5" s="3">
        <f t="shared" si="3"/>
        <v>2129.2087550512606</v>
      </c>
      <c r="O5" s="3">
        <f t="shared" si="8"/>
        <v>1713.0802851455335</v>
      </c>
      <c r="P5" s="3">
        <f t="shared" si="4"/>
        <v>416.12846990572712</v>
      </c>
      <c r="Q5" s="3">
        <f t="shared" si="9"/>
        <v>373346.84283457429</v>
      </c>
    </row>
    <row r="6" spans="1:17" ht="14.25" customHeight="1">
      <c r="A6" s="1" t="s">
        <v>104</v>
      </c>
      <c r="B6" s="1">
        <f>B7*B8*B9</f>
        <v>360</v>
      </c>
      <c r="F6" s="1">
        <f t="shared" si="5"/>
        <v>5</v>
      </c>
      <c r="G6" s="3">
        <f t="array" ref="G6">INDEX($Q$2:$Q$361,F6*$B$9)</f>
        <v>346727.26310395636</v>
      </c>
      <c r="H6" s="3">
        <f t="shared" si="6"/>
        <v>593843.15282343724</v>
      </c>
      <c r="I6" s="3">
        <f t="shared" si="0"/>
        <v>247115.88971948088</v>
      </c>
      <c r="J6" s="21">
        <f t="shared" si="1"/>
        <v>107865.88971948088</v>
      </c>
      <c r="K6" s="4">
        <f t="shared" si="2"/>
        <v>0.13250250918675555</v>
      </c>
      <c r="L6" s="21"/>
      <c r="M6" s="1">
        <f t="shared" si="7"/>
        <v>5</v>
      </c>
      <c r="N6" s="3">
        <f t="shared" si="3"/>
        <v>2129.2087550512606</v>
      </c>
      <c r="O6" s="3">
        <f t="shared" si="8"/>
        <v>1711.1730296584656</v>
      </c>
      <c r="P6" s="3">
        <f t="shared" si="4"/>
        <v>418.03572539279503</v>
      </c>
      <c r="Q6" s="3">
        <f t="shared" si="9"/>
        <v>372928.80710918148</v>
      </c>
    </row>
    <row r="7" spans="1:17" ht="14.25" customHeight="1">
      <c r="A7" s="1" t="s">
        <v>105</v>
      </c>
      <c r="B7" s="1">
        <v>30</v>
      </c>
      <c r="F7" s="1">
        <f t="shared" si="5"/>
        <v>6</v>
      </c>
      <c r="G7" s="3">
        <f t="array" ref="G7">INDEX($Q$2:$Q$361,F7*$B$9)</f>
        <v>340080.87302136322</v>
      </c>
      <c r="H7" s="3">
        <f t="shared" si="6"/>
        <v>614627.66317225748</v>
      </c>
      <c r="I7" s="3">
        <f t="shared" si="0"/>
        <v>274546.79015089426</v>
      </c>
      <c r="J7" s="21">
        <f t="shared" si="1"/>
        <v>135296.79015089426</v>
      </c>
      <c r="K7" s="4">
        <f t="shared" si="2"/>
        <v>0.13003822231855522</v>
      </c>
      <c r="L7" s="21"/>
      <c r="M7" s="1">
        <f t="shared" si="7"/>
        <v>6</v>
      </c>
      <c r="N7" s="3">
        <f t="shared" si="3"/>
        <v>2129.2087550512606</v>
      </c>
      <c r="O7" s="3">
        <f t="shared" si="8"/>
        <v>1709.2570325837485</v>
      </c>
      <c r="P7" s="3">
        <f t="shared" si="4"/>
        <v>419.95172246751213</v>
      </c>
      <c r="Q7" s="3">
        <f t="shared" si="9"/>
        <v>372508.85538671399</v>
      </c>
    </row>
    <row r="8" spans="1:17" ht="14.25" customHeight="1">
      <c r="A8" s="1" t="s">
        <v>106</v>
      </c>
      <c r="B8" s="11">
        <v>1</v>
      </c>
      <c r="F8" s="1">
        <f t="shared" si="5"/>
        <v>7</v>
      </c>
      <c r="G8" s="3">
        <f t="array" ref="G8">INDEX($Q$2:$Q$361,F8*$B$9)</f>
        <v>333059.5742949234</v>
      </c>
      <c r="H8" s="3">
        <f t="shared" si="6"/>
        <v>636139.63138328644</v>
      </c>
      <c r="I8" s="3">
        <f t="shared" si="0"/>
        <v>303080.05708836304</v>
      </c>
      <c r="J8" s="21">
        <f t="shared" si="1"/>
        <v>163830.05708836304</v>
      </c>
      <c r="K8" s="4">
        <f t="shared" si="2"/>
        <v>0.12709822952538974</v>
      </c>
      <c r="L8" s="21"/>
      <c r="M8" s="1">
        <f t="shared" si="7"/>
        <v>7</v>
      </c>
      <c r="N8" s="3">
        <f t="shared" si="3"/>
        <v>2129.2087550512606</v>
      </c>
      <c r="O8" s="3">
        <f t="shared" si="8"/>
        <v>1707.3322538557725</v>
      </c>
      <c r="P8" s="3">
        <f t="shared" si="4"/>
        <v>421.87650119548812</v>
      </c>
      <c r="Q8" s="3">
        <f t="shared" si="9"/>
        <v>372086.9788855185</v>
      </c>
    </row>
    <row r="9" spans="1:17" ht="14.25" customHeight="1">
      <c r="A9" s="1" t="s">
        <v>107</v>
      </c>
      <c r="B9" s="1">
        <v>12</v>
      </c>
      <c r="F9" s="1">
        <f t="shared" si="5"/>
        <v>8</v>
      </c>
      <c r="G9" s="3">
        <f t="array" ref="G9">INDEX($Q$2:$Q$361,F9*$B$9)</f>
        <v>325642.21913019737</v>
      </c>
      <c r="H9" s="3">
        <f t="shared" si="6"/>
        <v>658404.51848170138</v>
      </c>
      <c r="I9" s="3">
        <f t="shared" si="0"/>
        <v>332762.29935150401</v>
      </c>
      <c r="J9" s="21">
        <f t="shared" si="1"/>
        <v>193512.29935150401</v>
      </c>
      <c r="K9" s="4">
        <f t="shared" si="2"/>
        <v>0.12402772684809671</v>
      </c>
      <c r="L9" s="21"/>
      <c r="M9" s="1">
        <f t="shared" si="7"/>
        <v>8</v>
      </c>
      <c r="N9" s="3">
        <f t="shared" si="3"/>
        <v>2129.2087550512606</v>
      </c>
      <c r="O9" s="3">
        <f t="shared" si="8"/>
        <v>1705.3986532252932</v>
      </c>
      <c r="P9" s="3">
        <f t="shared" si="4"/>
        <v>423.81010182596742</v>
      </c>
      <c r="Q9" s="3">
        <f t="shared" si="9"/>
        <v>371663.16878369253</v>
      </c>
    </row>
    <row r="10" spans="1:17" ht="14.25" customHeight="1">
      <c r="A10" s="1" t="s">
        <v>108</v>
      </c>
      <c r="B10" s="3">
        <f>B1*(1-B2)</f>
        <v>375000</v>
      </c>
      <c r="F10" s="1">
        <f t="shared" si="5"/>
        <v>9</v>
      </c>
      <c r="G10" s="3">
        <f t="array" ref="G10">INDEX($Q$2:$Q$361,F10*$B$9)</f>
        <v>317806.4668309096</v>
      </c>
      <c r="H10" s="3">
        <f t="shared" si="6"/>
        <v>681448.67662856088</v>
      </c>
      <c r="I10" s="3">
        <f t="shared" si="0"/>
        <v>363642.20979765127</v>
      </c>
      <c r="J10" s="21">
        <f t="shared" si="1"/>
        <v>224392.20979765127</v>
      </c>
      <c r="K10" s="4">
        <f t="shared" si="2"/>
        <v>0.12098643192113712</v>
      </c>
      <c r="L10" s="21"/>
      <c r="M10" s="1">
        <f t="shared" si="7"/>
        <v>9</v>
      </c>
      <c r="N10" s="3">
        <f t="shared" si="3"/>
        <v>2129.2087550512606</v>
      </c>
      <c r="O10" s="3">
        <f t="shared" si="8"/>
        <v>1703.4561902585908</v>
      </c>
      <c r="P10" s="3">
        <f t="shared" si="4"/>
        <v>425.75256479266977</v>
      </c>
      <c r="Q10" s="3">
        <f t="shared" si="9"/>
        <v>371237.41621889983</v>
      </c>
    </row>
    <row r="11" spans="1:17" ht="14.25" customHeight="1">
      <c r="A11" s="1" t="s">
        <v>109</v>
      </c>
      <c r="B11" s="3">
        <f>B1*B2</f>
        <v>125000</v>
      </c>
      <c r="F11" s="1">
        <f t="shared" si="5"/>
        <v>10</v>
      </c>
      <c r="G11" s="3">
        <f t="array" ref="G11">INDEX($Q$2:$Q$361,F11*$B$9)</f>
        <v>309528.71650990797</v>
      </c>
      <c r="H11" s="3">
        <f t="shared" si="6"/>
        <v>705299.38031056046</v>
      </c>
      <c r="I11" s="3">
        <f t="shared" si="0"/>
        <v>395770.66380065249</v>
      </c>
      <c r="J11" s="21">
        <f t="shared" si="1"/>
        <v>256520.66380065249</v>
      </c>
      <c r="K11" s="4">
        <f t="shared" si="2"/>
        <v>0.11804891683930419</v>
      </c>
      <c r="L11" s="21"/>
      <c r="M11" s="1">
        <f t="shared" si="7"/>
        <v>10</v>
      </c>
      <c r="N11" s="3">
        <f t="shared" si="3"/>
        <v>2129.2087550512606</v>
      </c>
      <c r="O11" s="3">
        <f t="shared" si="8"/>
        <v>1701.5048243366243</v>
      </c>
      <c r="P11" s="3">
        <f t="shared" si="4"/>
        <v>427.70393071463627</v>
      </c>
      <c r="Q11" s="3">
        <f t="shared" si="9"/>
        <v>370809.7122881852</v>
      </c>
    </row>
    <row r="12" spans="1:17" ht="14.25" customHeight="1">
      <c r="A12" s="18" t="s">
        <v>110</v>
      </c>
      <c r="B12" s="23">
        <v>0.01</v>
      </c>
      <c r="C12" s="24">
        <f>B12*B10</f>
        <v>3750</v>
      </c>
      <c r="D12" s="18" t="s">
        <v>111</v>
      </c>
      <c r="F12" s="1">
        <f t="shared" si="5"/>
        <v>11</v>
      </c>
      <c r="G12" s="3">
        <f t="array" ref="G12">INDEX($Q$2:$Q$361,F12*$B$9)</f>
        <v>300784.03600449295</v>
      </c>
      <c r="H12" s="3">
        <f t="shared" si="6"/>
        <v>729984.85862143</v>
      </c>
      <c r="I12" s="3">
        <f t="shared" si="0"/>
        <v>429200.82261693705</v>
      </c>
      <c r="J12" s="21">
        <f t="shared" si="1"/>
        <v>289950.82261693705</v>
      </c>
      <c r="K12" s="4">
        <f t="shared" si="2"/>
        <v>0.11524814776391401</v>
      </c>
      <c r="L12" s="21"/>
      <c r="M12" s="1">
        <f t="shared" si="7"/>
        <v>11</v>
      </c>
      <c r="N12" s="3">
        <f t="shared" si="3"/>
        <v>2129.2087550512606</v>
      </c>
      <c r="O12" s="3">
        <f t="shared" si="8"/>
        <v>1699.5445146541822</v>
      </c>
      <c r="P12" s="3">
        <f t="shared" si="4"/>
        <v>429.6642403970784</v>
      </c>
      <c r="Q12" s="3">
        <f t="shared" si="9"/>
        <v>370380.04804778809</v>
      </c>
    </row>
    <row r="13" spans="1:17" ht="14.25" customHeight="1">
      <c r="A13" s="18" t="s">
        <v>112</v>
      </c>
      <c r="B13" s="23">
        <v>1.4999999999999999E-2</v>
      </c>
      <c r="C13" s="24">
        <f>B13*B1</f>
        <v>7500</v>
      </c>
      <c r="D13" s="18" t="s">
        <v>111</v>
      </c>
      <c r="F13" s="1">
        <f t="shared" si="5"/>
        <v>12</v>
      </c>
      <c r="G13" s="3">
        <f t="array" ref="G13">INDEX($Q$2:$Q$361,F13*$B$9)</f>
        <v>291546.08678201237</v>
      </c>
      <c r="H13" s="3">
        <f t="shared" si="6"/>
        <v>755534.32867317996</v>
      </c>
      <c r="I13" s="3">
        <f t="shared" si="0"/>
        <v>463988.24189116759</v>
      </c>
      <c r="J13" s="21">
        <f t="shared" si="1"/>
        <v>324738.24189116759</v>
      </c>
      <c r="K13" s="4">
        <f t="shared" si="2"/>
        <v>0.11259597310206004</v>
      </c>
      <c r="L13" s="21"/>
      <c r="M13" s="1">
        <f t="shared" si="7"/>
        <v>12</v>
      </c>
      <c r="N13" s="3">
        <f t="shared" si="3"/>
        <v>2129.2087550512606</v>
      </c>
      <c r="O13" s="3">
        <f t="shared" si="8"/>
        <v>1697.5752202190288</v>
      </c>
      <c r="P13" s="3">
        <f t="shared" si="4"/>
        <v>431.63353483223182</v>
      </c>
      <c r="Q13" s="3">
        <f t="shared" si="9"/>
        <v>369948.41451295587</v>
      </c>
    </row>
    <row r="14" spans="1:17" ht="14.25" customHeight="1">
      <c r="A14" s="18" t="s">
        <v>113</v>
      </c>
      <c r="B14" s="25">
        <v>3000</v>
      </c>
      <c r="F14" s="1">
        <f t="shared" si="5"/>
        <v>13</v>
      </c>
      <c r="G14" s="3">
        <f t="array" ref="G14">INDEX($Q$2:$Q$361,F14*$B$9)</f>
        <v>281787.04460954142</v>
      </c>
      <c r="H14" s="3">
        <f t="shared" si="6"/>
        <v>781978.03017674119</v>
      </c>
      <c r="I14" s="3">
        <f t="shared" si="0"/>
        <v>500190.98556719976</v>
      </c>
      <c r="J14" s="21">
        <f t="shared" si="1"/>
        <v>360940.98556719976</v>
      </c>
      <c r="K14" s="4">
        <f t="shared" si="2"/>
        <v>0.11009335075292448</v>
      </c>
      <c r="L14" s="21"/>
      <c r="M14" s="1">
        <f t="shared" si="7"/>
        <v>13</v>
      </c>
      <c r="N14" s="3">
        <f t="shared" si="3"/>
        <v>2129.2087550512606</v>
      </c>
      <c r="O14" s="3">
        <f t="shared" si="8"/>
        <v>1695.5968998510477</v>
      </c>
      <c r="P14" s="3">
        <f t="shared" si="4"/>
        <v>433.61185520021286</v>
      </c>
      <c r="Q14" s="3">
        <f t="shared" si="9"/>
        <v>369514.80265775567</v>
      </c>
    </row>
    <row r="15" spans="1:17" ht="14.25" customHeight="1">
      <c r="A15" s="11" t="s">
        <v>114</v>
      </c>
      <c r="B15" s="3">
        <f>SUM(B14,C13,C12)</f>
        <v>14250</v>
      </c>
      <c r="F15" s="1">
        <f t="shared" si="5"/>
        <v>14</v>
      </c>
      <c r="G15" s="3">
        <f t="array" ref="G15">INDEX($Q$2:$Q$361,F15*$B$9)</f>
        <v>271477.51574870915</v>
      </c>
      <c r="H15" s="3">
        <f t="shared" si="6"/>
        <v>809347.26123292709</v>
      </c>
      <c r="I15" s="3">
        <f t="shared" si="0"/>
        <v>537869.745484218</v>
      </c>
      <c r="J15" s="21">
        <f t="shared" si="1"/>
        <v>398619.745484218</v>
      </c>
      <c r="K15" s="4">
        <f t="shared" si="2"/>
        <v>0.10773567622573976</v>
      </c>
      <c r="L15" s="21"/>
      <c r="M15" s="1">
        <f t="shared" si="7"/>
        <v>14</v>
      </c>
      <c r="N15" s="3">
        <f t="shared" si="3"/>
        <v>2129.2087550512606</v>
      </c>
      <c r="O15" s="3">
        <f t="shared" si="8"/>
        <v>1693.6095121813803</v>
      </c>
      <c r="P15" s="3">
        <f t="shared" si="4"/>
        <v>435.5992428698803</v>
      </c>
      <c r="Q15" s="3">
        <f t="shared" si="9"/>
        <v>369079.20341488579</v>
      </c>
    </row>
    <row r="16" spans="1:17" ht="14.25" customHeight="1">
      <c r="F16" s="1">
        <f t="shared" si="5"/>
        <v>15</v>
      </c>
      <c r="G16" s="3">
        <f t="array" ref="G16">INDEX($Q$2:$Q$361,F16*$B$9)</f>
        <v>260586.44842325433</v>
      </c>
      <c r="H16" s="3">
        <f t="shared" si="6"/>
        <v>837674.4153760795</v>
      </c>
      <c r="I16" s="3">
        <f t="shared" si="0"/>
        <v>577087.9669528252</v>
      </c>
      <c r="J16" s="21">
        <f t="shared" si="1"/>
        <v>437837.9669528252</v>
      </c>
      <c r="K16" s="4">
        <f t="shared" si="2"/>
        <v>0.10551564122271451</v>
      </c>
      <c r="L16" s="21"/>
      <c r="M16" s="1">
        <f t="shared" si="7"/>
        <v>15</v>
      </c>
      <c r="N16" s="3">
        <f t="shared" si="3"/>
        <v>2129.2087550512606</v>
      </c>
      <c r="O16" s="3">
        <f t="shared" si="8"/>
        <v>1691.6130156515599</v>
      </c>
      <c r="P16" s="3">
        <f t="shared" si="4"/>
        <v>437.59573939970073</v>
      </c>
      <c r="Q16" s="3">
        <f t="shared" si="9"/>
        <v>368641.60767548607</v>
      </c>
    </row>
    <row r="17" spans="1:17" ht="14.25" customHeight="1">
      <c r="F17" s="1">
        <f t="shared" si="5"/>
        <v>16</v>
      </c>
      <c r="G17" s="3">
        <f t="array" ref="G17">INDEX($Q$2:$Q$361,F17*$B$9)</f>
        <v>249081.03929265594</v>
      </c>
      <c r="H17" s="3">
        <f t="shared" si="6"/>
        <v>866993.01991424221</v>
      </c>
      <c r="I17" s="3">
        <f t="shared" si="0"/>
        <v>617911.98062158632</v>
      </c>
      <c r="J17" s="21">
        <f t="shared" si="1"/>
        <v>478661.98062158632</v>
      </c>
      <c r="K17" s="4">
        <f t="shared" si="2"/>
        <v>0.10342479364531387</v>
      </c>
      <c r="L17" s="21"/>
      <c r="M17" s="1">
        <f t="shared" si="7"/>
        <v>16</v>
      </c>
      <c r="N17" s="3">
        <f t="shared" si="3"/>
        <v>2129.2087550512606</v>
      </c>
      <c r="O17" s="3">
        <f t="shared" si="8"/>
        <v>1689.6073685126446</v>
      </c>
      <c r="P17" s="3">
        <f t="shared" si="4"/>
        <v>439.601386538616</v>
      </c>
      <c r="Q17" s="3">
        <f t="shared" si="9"/>
        <v>368202.00628894748</v>
      </c>
    </row>
    <row r="18" spans="1:17" ht="14.25" customHeight="1">
      <c r="A18" s="55" t="s">
        <v>115</v>
      </c>
      <c r="B18" s="54"/>
      <c r="F18" s="1">
        <f t="shared" si="5"/>
        <v>17</v>
      </c>
      <c r="G18" s="3">
        <f t="array" ref="G18">INDEX($Q$2:$Q$361,F18*$B$9)</f>
        <v>236926.63465014027</v>
      </c>
      <c r="H18" s="3">
        <f t="shared" si="6"/>
        <v>897337.77561124065</v>
      </c>
      <c r="I18" s="3">
        <f t="shared" si="0"/>
        <v>660411.14096110035</v>
      </c>
      <c r="J18" s="21">
        <f t="shared" si="1"/>
        <v>521161.14096110035</v>
      </c>
      <c r="K18" s="4">
        <f t="shared" si="2"/>
        <v>0.10145439211614149</v>
      </c>
      <c r="L18" s="21"/>
      <c r="M18" s="1">
        <f t="shared" si="7"/>
        <v>17</v>
      </c>
      <c r="N18" s="3">
        <f t="shared" si="3"/>
        <v>2129.2087550512606</v>
      </c>
      <c r="O18" s="3">
        <f t="shared" si="8"/>
        <v>1687.5925288243425</v>
      </c>
      <c r="P18" s="3">
        <f t="shared" si="4"/>
        <v>441.61622622691812</v>
      </c>
      <c r="Q18" s="3">
        <f t="shared" si="9"/>
        <v>367760.39006272057</v>
      </c>
    </row>
    <row r="19" spans="1:17" ht="14.25" customHeight="1">
      <c r="A19" s="1" t="s">
        <v>116</v>
      </c>
      <c r="B19" s="3">
        <f>-PMT(B5/B9,B6,B10)</f>
        <v>2129.2087550512606</v>
      </c>
      <c r="F19" s="1">
        <f t="shared" si="5"/>
        <v>18</v>
      </c>
      <c r="G19" s="3">
        <f t="array" ref="G19">INDEX($Q$2:$Q$361,F19*$B$9)</f>
        <v>224086.62604748024</v>
      </c>
      <c r="H19" s="3">
        <f t="shared" si="6"/>
        <v>928744.59775763401</v>
      </c>
      <c r="I19" s="3">
        <f t="shared" si="0"/>
        <v>704657.97171015374</v>
      </c>
      <c r="J19" s="21">
        <f t="shared" si="1"/>
        <v>565407.97171015374</v>
      </c>
      <c r="K19" s="4">
        <f t="shared" si="2"/>
        <v>9.9595867793347725E-2</v>
      </c>
      <c r="L19" s="21"/>
      <c r="M19" s="1">
        <f t="shared" si="7"/>
        <v>18</v>
      </c>
      <c r="N19" s="3">
        <f t="shared" si="3"/>
        <v>2129.2087550512606</v>
      </c>
      <c r="O19" s="3">
        <f t="shared" si="8"/>
        <v>1685.5684544541361</v>
      </c>
      <c r="P19" s="3">
        <f t="shared" si="4"/>
        <v>443.64030059712445</v>
      </c>
      <c r="Q19" s="3">
        <f t="shared" si="9"/>
        <v>367316.74976212345</v>
      </c>
    </row>
    <row r="20" spans="1:17" ht="14.25" customHeight="1">
      <c r="A20" s="1" t="s">
        <v>117</v>
      </c>
      <c r="B20" s="3">
        <f>B1*B3/B9</f>
        <v>416.66666666666669</v>
      </c>
      <c r="F20" s="1">
        <f t="shared" si="5"/>
        <v>19</v>
      </c>
      <c r="G20" s="3">
        <f t="array" ref="G20">INDEX($Q$2:$Q$361,F20*$B$9)</f>
        <v>210522.34003221226</v>
      </c>
      <c r="H20" s="3">
        <f t="shared" si="6"/>
        <v>961250.65867915109</v>
      </c>
      <c r="I20" s="3">
        <f t="shared" si="0"/>
        <v>750728.31864693877</v>
      </c>
      <c r="J20" s="21">
        <f t="shared" si="1"/>
        <v>611478.31864693877</v>
      </c>
      <c r="K20" s="4">
        <f t="shared" si="2"/>
        <v>9.7841063934607897E-2</v>
      </c>
      <c r="L20" s="21"/>
      <c r="M20" s="1">
        <f t="shared" si="7"/>
        <v>19</v>
      </c>
      <c r="N20" s="3">
        <f t="shared" si="3"/>
        <v>2129.2087550512606</v>
      </c>
      <c r="O20" s="3">
        <f t="shared" si="8"/>
        <v>1683.5351030763993</v>
      </c>
      <c r="P20" s="3">
        <f t="shared" si="4"/>
        <v>445.67365197486129</v>
      </c>
      <c r="Q20" s="3">
        <f t="shared" si="9"/>
        <v>366871.07611014857</v>
      </c>
    </row>
    <row r="21" spans="1:17" ht="14.25" customHeight="1">
      <c r="A21" s="1" t="s">
        <v>118</v>
      </c>
      <c r="B21" s="3">
        <f>B4</f>
        <v>100</v>
      </c>
      <c r="F21" s="1">
        <f t="shared" si="5"/>
        <v>20</v>
      </c>
      <c r="G21" s="3">
        <f t="array" ref="G21">INDEX($Q$2:$Q$361,F21*$B$9)</f>
        <v>196192.92166516566</v>
      </c>
      <c r="H21" s="3">
        <f t="shared" si="6"/>
        <v>994894.43173292128</v>
      </c>
      <c r="I21" s="3">
        <f t="shared" si="0"/>
        <v>798701.51006775559</v>
      </c>
      <c r="J21" s="21">
        <f t="shared" si="1"/>
        <v>659451.51006775559</v>
      </c>
      <c r="K21" s="4">
        <f t="shared" si="2"/>
        <v>9.6182348602397161E-2</v>
      </c>
      <c r="L21" s="21"/>
      <c r="M21" s="1">
        <f t="shared" si="7"/>
        <v>20</v>
      </c>
      <c r="N21" s="3">
        <f t="shared" si="3"/>
        <v>2129.2087550512606</v>
      </c>
      <c r="O21" s="3">
        <f t="shared" si="8"/>
        <v>1681.4924321715143</v>
      </c>
      <c r="P21" s="3">
        <f t="shared" si="4"/>
        <v>447.71632287974626</v>
      </c>
      <c r="Q21" s="3">
        <f t="shared" si="9"/>
        <v>366423.3597872688</v>
      </c>
    </row>
    <row r="22" spans="1:17" ht="14.25" customHeight="1">
      <c r="F22" s="1">
        <f t="shared" si="5"/>
        <v>21</v>
      </c>
      <c r="G22" s="3">
        <f t="array" ref="G22">INDEX($Q$2:$Q$361,F22*$B$9)</f>
        <v>181055.21146746472</v>
      </c>
      <c r="H22" s="3">
        <f t="shared" si="6"/>
        <v>1029715.7368435734</v>
      </c>
      <c r="I22" s="3">
        <f t="shared" si="0"/>
        <v>848660.52537610871</v>
      </c>
      <c r="J22" s="21">
        <f t="shared" si="1"/>
        <v>709410.52537610871</v>
      </c>
      <c r="K22" s="4">
        <f t="shared" si="2"/>
        <v>9.4612655021491632E-2</v>
      </c>
      <c r="L22" s="21"/>
      <c r="M22" s="1">
        <f t="shared" si="7"/>
        <v>21</v>
      </c>
      <c r="N22" s="3">
        <f t="shared" si="3"/>
        <v>2129.2087550512606</v>
      </c>
      <c r="O22" s="3">
        <f t="shared" si="8"/>
        <v>1679.4403990249821</v>
      </c>
      <c r="P22" s="3">
        <f t="shared" si="4"/>
        <v>449.76835602627852</v>
      </c>
      <c r="Q22" s="3">
        <f t="shared" si="9"/>
        <v>365973.59143124253</v>
      </c>
    </row>
    <row r="23" spans="1:17" ht="14.25" customHeight="1">
      <c r="A23" s="1" t="s">
        <v>45</v>
      </c>
      <c r="B23" s="21">
        <f>SUM(B19:B21)</f>
        <v>2645.8754217179271</v>
      </c>
      <c r="F23" s="1">
        <f t="shared" si="5"/>
        <v>22</v>
      </c>
      <c r="G23" s="3">
        <f t="array" ref="G23">INDEX($Q$2:$Q$361,F23*$B$9)</f>
        <v>165063.61542637518</v>
      </c>
      <c r="H23" s="3">
        <f t="shared" si="6"/>
        <v>1065755.7876330984</v>
      </c>
      <c r="I23" s="3">
        <f t="shared" si="0"/>
        <v>900692.17220672325</v>
      </c>
      <c r="J23" s="21">
        <f t="shared" si="1"/>
        <v>761442.17220672325</v>
      </c>
      <c r="K23" s="4">
        <f t="shared" si="2"/>
        <v>9.312548122905584E-2</v>
      </c>
      <c r="L23" s="21"/>
      <c r="M23" s="1">
        <f t="shared" si="7"/>
        <v>22</v>
      </c>
      <c r="N23" s="3">
        <f t="shared" si="3"/>
        <v>2129.2087550512606</v>
      </c>
      <c r="O23" s="3">
        <f t="shared" si="8"/>
        <v>1677.3789607265282</v>
      </c>
      <c r="P23" s="3">
        <f t="shared" si="4"/>
        <v>451.82979432473235</v>
      </c>
      <c r="Q23" s="3">
        <f t="shared" si="9"/>
        <v>365521.76163691777</v>
      </c>
    </row>
    <row r="24" spans="1:17" ht="14.25" customHeight="1">
      <c r="F24" s="1">
        <f t="shared" si="5"/>
        <v>23</v>
      </c>
      <c r="G24" s="3">
        <f t="array" ref="G24">INDEX($Q$2:$Q$361,F24*$B$9)</f>
        <v>148169.96766845798</v>
      </c>
      <c r="H24" s="3">
        <f t="shared" si="6"/>
        <v>1103057.2402002567</v>
      </c>
      <c r="I24" s="3">
        <f t="shared" si="0"/>
        <v>954887.27253179869</v>
      </c>
      <c r="J24" s="21">
        <f t="shared" si="1"/>
        <v>815637.27253179869</v>
      </c>
      <c r="K24" s="4">
        <f t="shared" si="2"/>
        <v>9.1714867572695757E-2</v>
      </c>
      <c r="L24" s="21"/>
      <c r="M24" s="1">
        <f t="shared" si="7"/>
        <v>23</v>
      </c>
      <c r="N24" s="3">
        <f t="shared" si="3"/>
        <v>2129.2087550512606</v>
      </c>
      <c r="O24" s="3">
        <f t="shared" si="8"/>
        <v>1675.3080741692065</v>
      </c>
      <c r="P24" s="3">
        <f t="shared" si="4"/>
        <v>453.90068088205408</v>
      </c>
      <c r="Q24" s="3">
        <f t="shared" si="9"/>
        <v>365067.86095603573</v>
      </c>
    </row>
    <row r="25" spans="1:17" ht="14.25" customHeight="1">
      <c r="A25" s="1" t="s">
        <v>119</v>
      </c>
      <c r="B25" s="22">
        <v>3.5000000000000003E-2</v>
      </c>
      <c r="F25" s="1">
        <f t="shared" si="5"/>
        <v>24</v>
      </c>
      <c r="G25" s="3">
        <f t="array" ref="G25">INDEX($Q$2:$Q$361,F25*$B$9)</f>
        <v>130323.38538640981</v>
      </c>
      <c r="H25" s="3">
        <f t="shared" si="6"/>
        <v>1141664.2436072656</v>
      </c>
      <c r="I25" s="3">
        <f t="shared" si="0"/>
        <v>1011340.8582208558</v>
      </c>
      <c r="J25" s="21">
        <f t="shared" si="1"/>
        <v>872090.85822085582</v>
      </c>
      <c r="K25" s="4">
        <f t="shared" si="2"/>
        <v>9.0375362986493624E-2</v>
      </c>
      <c r="L25" s="21"/>
      <c r="M25" s="1">
        <f t="shared" si="7"/>
        <v>24</v>
      </c>
      <c r="N25" s="3">
        <f t="shared" si="3"/>
        <v>2129.2087550512606</v>
      </c>
      <c r="O25" s="3">
        <f t="shared" si="8"/>
        <v>1673.2276960484971</v>
      </c>
      <c r="P25" s="3">
        <f t="shared" si="4"/>
        <v>455.98105900276346</v>
      </c>
      <c r="Q25" s="3">
        <f t="shared" si="9"/>
        <v>364611.87989703298</v>
      </c>
    </row>
    <row r="26" spans="1:17" ht="14.25" customHeight="1">
      <c r="F26" s="1">
        <f t="shared" si="5"/>
        <v>25</v>
      </c>
      <c r="G26" s="3">
        <f t="array" ref="G26">INDEX($Q$2:$Q$361,F26*$B$9)</f>
        <v>111470.11558263688</v>
      </c>
      <c r="H26" s="3">
        <f t="shared" si="6"/>
        <v>1181622.4921335198</v>
      </c>
      <c r="I26" s="3">
        <f t="shared" si="0"/>
        <v>1070152.3765508831</v>
      </c>
      <c r="J26" s="21">
        <f t="shared" si="1"/>
        <v>930902.37655088305</v>
      </c>
      <c r="K26" s="4">
        <f t="shared" si="2"/>
        <v>8.9101986465967897E-2</v>
      </c>
      <c r="L26" s="21"/>
      <c r="M26" s="1">
        <f t="shared" si="7"/>
        <v>25</v>
      </c>
      <c r="N26" s="3">
        <f t="shared" si="3"/>
        <v>2129.2087550512606</v>
      </c>
      <c r="O26" s="3">
        <f t="shared" si="8"/>
        <v>1671.1377828614013</v>
      </c>
      <c r="P26" s="3">
        <f t="shared" si="4"/>
        <v>458.07097218985928</v>
      </c>
      <c r="Q26" s="3">
        <f t="shared" si="9"/>
        <v>364153.80892484315</v>
      </c>
    </row>
    <row r="27" spans="1:17" ht="14.25" customHeight="1">
      <c r="A27" s="1" t="s">
        <v>120</v>
      </c>
      <c r="B27" s="2">
        <f>B29</f>
        <v>2886.4095509650115</v>
      </c>
      <c r="F27" s="1">
        <f t="shared" si="5"/>
        <v>26</v>
      </c>
      <c r="G27" s="3">
        <f t="array" ref="G27">INDEX($Q$2:$Q$361,F27*$B$9)</f>
        <v>91553.373167961894</v>
      </c>
      <c r="H27" s="3">
        <f t="shared" si="6"/>
        <v>1222979.279358193</v>
      </c>
      <c r="I27" s="3">
        <f t="shared" si="0"/>
        <v>1131425.9061902312</v>
      </c>
      <c r="J27" s="21">
        <f t="shared" si="1"/>
        <v>992175.90619023121</v>
      </c>
      <c r="K27" s="4">
        <f t="shared" si="2"/>
        <v>8.7890187467559278E-2</v>
      </c>
      <c r="L27" s="21"/>
      <c r="M27" s="1">
        <f t="shared" si="7"/>
        <v>26</v>
      </c>
      <c r="N27" s="3">
        <f t="shared" si="3"/>
        <v>2129.2087550512606</v>
      </c>
      <c r="O27" s="3">
        <f t="shared" si="8"/>
        <v>1669.0382909055313</v>
      </c>
      <c r="P27" s="3">
        <f t="shared" si="4"/>
        <v>460.17046414572928</v>
      </c>
      <c r="Q27" s="3">
        <f t="shared" si="9"/>
        <v>363693.63846069743</v>
      </c>
    </row>
    <row r="28" spans="1:17" ht="14.25" customHeight="1">
      <c r="A28" s="1" t="s">
        <v>121</v>
      </c>
      <c r="B28" s="26">
        <v>1</v>
      </c>
      <c r="F28" s="1">
        <f t="shared" si="5"/>
        <v>27</v>
      </c>
      <c r="G28" s="3">
        <f t="array" ref="G28">INDEX($Q$2:$Q$361,F28*$B$9)</f>
        <v>70513.169927825249</v>
      </c>
      <c r="H28" s="3">
        <f t="shared" si="6"/>
        <v>1265783.5541357298</v>
      </c>
      <c r="I28" s="3">
        <f t="shared" si="0"/>
        <v>1195270.3842079046</v>
      </c>
      <c r="J28" s="21">
        <f t="shared" si="1"/>
        <v>1056020.3842079046</v>
      </c>
      <c r="K28" s="4">
        <f t="shared" si="2"/>
        <v>8.6735807336057347E-2</v>
      </c>
      <c r="L28" s="21"/>
      <c r="M28" s="1">
        <f t="shared" si="7"/>
        <v>27</v>
      </c>
      <c r="N28" s="3">
        <f t="shared" si="3"/>
        <v>2129.2087550512606</v>
      </c>
      <c r="O28" s="3">
        <f t="shared" si="8"/>
        <v>1666.9291762781966</v>
      </c>
      <c r="P28" s="3">
        <f t="shared" si="4"/>
        <v>462.27957877306403</v>
      </c>
      <c r="Q28" s="3">
        <f t="shared" si="9"/>
        <v>363231.35888192436</v>
      </c>
    </row>
    <row r="29" spans="1:17" ht="14.25" customHeight="1">
      <c r="A29" s="1" t="s">
        <v>122</v>
      </c>
      <c r="B29" s="3">
        <f>B23*B9/(B9-B28)</f>
        <v>2886.4095509650115</v>
      </c>
      <c r="F29" s="1">
        <f t="shared" si="5"/>
        <v>28</v>
      </c>
      <c r="G29" s="3">
        <f t="array" ref="G29">INDEX($Q$2:$Q$361,F29*$B$9)</f>
        <v>48286.133840835682</v>
      </c>
      <c r="H29" s="3">
        <f t="shared" si="6"/>
        <v>1310085.9785304803</v>
      </c>
      <c r="I29" s="3">
        <f t="shared" si="0"/>
        <v>1261799.8446896446</v>
      </c>
      <c r="J29" s="21">
        <f t="shared" si="1"/>
        <v>1122549.8446896446</v>
      </c>
      <c r="K29" s="4">
        <f t="shared" si="2"/>
        <v>8.5635042884852686E-2</v>
      </c>
      <c r="L29" s="21"/>
      <c r="M29" s="1">
        <f t="shared" si="7"/>
        <v>28</v>
      </c>
      <c r="N29" s="3">
        <f t="shared" si="3"/>
        <v>2129.2087550512606</v>
      </c>
      <c r="O29" s="3">
        <f t="shared" si="8"/>
        <v>1664.8103948754867</v>
      </c>
      <c r="P29" s="3">
        <f t="shared" si="4"/>
        <v>464.39836017577386</v>
      </c>
      <c r="Q29" s="3">
        <f t="shared" si="9"/>
        <v>362766.96052174858</v>
      </c>
    </row>
    <row r="30" spans="1:17" ht="14.25" customHeight="1">
      <c r="F30" s="1">
        <f t="shared" si="5"/>
        <v>29</v>
      </c>
      <c r="G30" s="3">
        <f t="array" ref="G30">INDEX($Q$2:$Q$361,F30*$B$9)</f>
        <v>24805.318205466952</v>
      </c>
      <c r="H30" s="3">
        <f t="shared" si="6"/>
        <v>1355938.9877790471</v>
      </c>
      <c r="I30" s="3">
        <f t="shared" si="0"/>
        <v>1331133.6695735801</v>
      </c>
      <c r="J30" s="21">
        <f t="shared" si="1"/>
        <v>1191883.6695735801</v>
      </c>
      <c r="K30" s="4">
        <f t="shared" si="2"/>
        <v>8.4584412665641429E-2</v>
      </c>
      <c r="L30" s="21"/>
      <c r="M30" s="1">
        <f t="shared" si="7"/>
        <v>29</v>
      </c>
      <c r="N30" s="3">
        <f t="shared" si="3"/>
        <v>2129.2087550512606</v>
      </c>
      <c r="O30" s="3">
        <f t="shared" si="8"/>
        <v>1662.6819023913476</v>
      </c>
      <c r="P30" s="3">
        <f t="shared" si="4"/>
        <v>466.52685265991295</v>
      </c>
      <c r="Q30" s="3">
        <f t="shared" si="9"/>
        <v>362300.43366908864</v>
      </c>
    </row>
    <row r="31" spans="1:17" ht="14.25" customHeight="1">
      <c r="F31" s="1">
        <f t="shared" si="5"/>
        <v>30</v>
      </c>
      <c r="G31" s="3">
        <f t="array" ref="G31">INDEX($Q$2:$Q$361,F31*$B$9)</f>
        <v>-1.496118784416467E-10</v>
      </c>
      <c r="H31" s="3">
        <f t="shared" si="6"/>
        <v>1403396.8523513137</v>
      </c>
      <c r="I31" s="3">
        <f t="shared" si="0"/>
        <v>1403396.8523513139</v>
      </c>
      <c r="J31" s="21">
        <f t="shared" si="1"/>
        <v>1264146.8523513139</v>
      </c>
      <c r="K31" s="4">
        <f t="shared" si="2"/>
        <v>8.3580726114438564E-2</v>
      </c>
      <c r="L31" s="21"/>
      <c r="M31" s="1">
        <f t="shared" si="7"/>
        <v>30</v>
      </c>
      <c r="N31" s="3">
        <f t="shared" si="3"/>
        <v>2129.2087550512606</v>
      </c>
      <c r="O31" s="3">
        <f t="shared" si="8"/>
        <v>1660.5436543166563</v>
      </c>
      <c r="P31" s="3">
        <f t="shared" si="4"/>
        <v>468.66510073460427</v>
      </c>
      <c r="Q31" s="3">
        <f t="shared" si="9"/>
        <v>361831.76856835402</v>
      </c>
    </row>
    <row r="32" spans="1:17" ht="14.25" customHeight="1">
      <c r="M32" s="1">
        <f t="shared" si="7"/>
        <v>31</v>
      </c>
      <c r="N32" s="3">
        <f t="shared" si="3"/>
        <v>2129.2087550512606</v>
      </c>
      <c r="O32" s="3">
        <f t="shared" si="8"/>
        <v>1658.3956059382892</v>
      </c>
      <c r="P32" s="3">
        <f t="shared" si="4"/>
        <v>470.81314911297136</v>
      </c>
      <c r="Q32" s="3">
        <f t="shared" si="9"/>
        <v>361360.95541924104</v>
      </c>
    </row>
    <row r="33" spans="1:17" ht="14.25" customHeight="1">
      <c r="M33" s="1">
        <f t="shared" si="7"/>
        <v>32</v>
      </c>
      <c r="N33" s="3">
        <f t="shared" si="3"/>
        <v>2129.2087550512606</v>
      </c>
      <c r="O33" s="3">
        <f t="shared" si="8"/>
        <v>1656.2377123381882</v>
      </c>
      <c r="P33" s="3">
        <f t="shared" si="4"/>
        <v>472.97104271307239</v>
      </c>
      <c r="Q33" s="3">
        <f t="shared" si="9"/>
        <v>360887.98437652795</v>
      </c>
    </row>
    <row r="34" spans="1:17" ht="14.25" customHeight="1">
      <c r="A34" s="18" t="s">
        <v>123</v>
      </c>
      <c r="M34" s="1">
        <f t="shared" si="7"/>
        <v>33</v>
      </c>
      <c r="N34" s="3">
        <f t="shared" si="3"/>
        <v>2129.2087550512606</v>
      </c>
      <c r="O34" s="3">
        <f t="shared" si="8"/>
        <v>1654.0699283924198</v>
      </c>
      <c r="P34" s="3">
        <f t="shared" si="4"/>
        <v>475.1388266588408</v>
      </c>
      <c r="Q34" s="3">
        <f t="shared" si="9"/>
        <v>360412.84554986912</v>
      </c>
    </row>
    <row r="35" spans="1:17" ht="14.25" customHeight="1">
      <c r="A35" s="18" t="s">
        <v>124</v>
      </c>
      <c r="M35" s="1">
        <f t="shared" si="7"/>
        <v>34</v>
      </c>
      <c r="N35" s="3">
        <f t="shared" si="3"/>
        <v>2129.2087550512606</v>
      </c>
      <c r="O35" s="3">
        <f t="shared" si="8"/>
        <v>1651.8922087702333</v>
      </c>
      <c r="P35" s="3">
        <f t="shared" si="4"/>
        <v>477.31654628102729</v>
      </c>
      <c r="Q35" s="3">
        <f t="shared" si="9"/>
        <v>359935.52900358808</v>
      </c>
    </row>
    <row r="36" spans="1:17" ht="14.25" customHeight="1">
      <c r="M36" s="1">
        <f t="shared" si="7"/>
        <v>35</v>
      </c>
      <c r="N36" s="3">
        <f t="shared" si="3"/>
        <v>2129.2087550512606</v>
      </c>
      <c r="O36" s="3">
        <f t="shared" si="8"/>
        <v>1649.7045079331119</v>
      </c>
      <c r="P36" s="3">
        <f t="shared" si="4"/>
        <v>479.50424711814867</v>
      </c>
      <c r="Q36" s="3">
        <f t="shared" si="9"/>
        <v>359456.02475646994</v>
      </c>
    </row>
    <row r="37" spans="1:17" ht="14.25" customHeight="1">
      <c r="A37" s="18" t="s">
        <v>125</v>
      </c>
      <c r="M37" s="1">
        <f t="shared" si="7"/>
        <v>36</v>
      </c>
      <c r="N37" s="3">
        <f t="shared" si="3"/>
        <v>2129.2087550512606</v>
      </c>
      <c r="O37" s="3">
        <f t="shared" si="8"/>
        <v>1647.5067801338207</v>
      </c>
      <c r="P37" s="3">
        <f t="shared" si="4"/>
        <v>481.70197491743988</v>
      </c>
      <c r="Q37" s="3">
        <f t="shared" si="9"/>
        <v>358974.3227815525</v>
      </c>
    </row>
    <row r="38" spans="1:17" ht="14.25" customHeight="1">
      <c r="M38" s="1">
        <f t="shared" si="7"/>
        <v>37</v>
      </c>
      <c r="N38" s="3">
        <f t="shared" si="3"/>
        <v>2129.2087550512606</v>
      </c>
      <c r="O38" s="3">
        <f t="shared" si="8"/>
        <v>1645.2989794154489</v>
      </c>
      <c r="P38" s="3">
        <f t="shared" si="4"/>
        <v>483.90977563581168</v>
      </c>
      <c r="Q38" s="3">
        <f t="shared" si="9"/>
        <v>358490.41300591669</v>
      </c>
    </row>
    <row r="39" spans="1:17" ht="14.25" customHeight="1">
      <c r="M39" s="1">
        <f t="shared" si="7"/>
        <v>38</v>
      </c>
      <c r="N39" s="3">
        <f t="shared" si="3"/>
        <v>2129.2087550512606</v>
      </c>
      <c r="O39" s="3">
        <f t="shared" si="8"/>
        <v>1643.0810596104513</v>
      </c>
      <c r="P39" s="3">
        <f t="shared" si="4"/>
        <v>486.12769544080925</v>
      </c>
      <c r="Q39" s="3">
        <f t="shared" si="9"/>
        <v>358004.28531047591</v>
      </c>
    </row>
    <row r="40" spans="1:17" ht="14.25" customHeight="1">
      <c r="M40" s="1">
        <f t="shared" si="7"/>
        <v>39</v>
      </c>
      <c r="N40" s="3">
        <f t="shared" si="3"/>
        <v>2129.2087550512606</v>
      </c>
      <c r="O40" s="3">
        <f t="shared" si="8"/>
        <v>1640.8529743396812</v>
      </c>
      <c r="P40" s="3">
        <f t="shared" si="4"/>
        <v>488.35578071157943</v>
      </c>
      <c r="Q40" s="3">
        <f t="shared" si="9"/>
        <v>357515.92952976434</v>
      </c>
    </row>
    <row r="41" spans="1:17" ht="14.25" customHeight="1">
      <c r="M41" s="1">
        <f t="shared" si="7"/>
        <v>40</v>
      </c>
      <c r="N41" s="3">
        <f t="shared" si="3"/>
        <v>2129.2087550512606</v>
      </c>
      <c r="O41" s="3">
        <f t="shared" si="8"/>
        <v>1638.6146770114199</v>
      </c>
      <c r="P41" s="3">
        <f t="shared" si="4"/>
        <v>490.59407803984072</v>
      </c>
      <c r="Q41" s="3">
        <f t="shared" si="9"/>
        <v>357025.33545172447</v>
      </c>
    </row>
    <row r="42" spans="1:17" ht="14.25" customHeight="1">
      <c r="M42" s="1">
        <f t="shared" si="7"/>
        <v>41</v>
      </c>
      <c r="N42" s="3">
        <f t="shared" si="3"/>
        <v>2129.2087550512606</v>
      </c>
      <c r="O42" s="3">
        <f t="shared" si="8"/>
        <v>1636.3661208204039</v>
      </c>
      <c r="P42" s="3">
        <f t="shared" si="4"/>
        <v>492.84263423085667</v>
      </c>
      <c r="Q42" s="3">
        <f t="shared" si="9"/>
        <v>356532.49281749362</v>
      </c>
    </row>
    <row r="43" spans="1:17" ht="14.25" customHeight="1">
      <c r="M43" s="1">
        <f t="shared" si="7"/>
        <v>42</v>
      </c>
      <c r="N43" s="3">
        <f t="shared" si="3"/>
        <v>2129.2087550512606</v>
      </c>
      <c r="O43" s="3">
        <f t="shared" si="8"/>
        <v>1634.1072587468459</v>
      </c>
      <c r="P43" s="3">
        <f t="shared" si="4"/>
        <v>495.1014963044147</v>
      </c>
      <c r="Q43" s="3">
        <f t="shared" si="9"/>
        <v>356037.39132118918</v>
      </c>
    </row>
    <row r="44" spans="1:17" ht="14.25" customHeight="1">
      <c r="M44" s="1">
        <f t="shared" si="7"/>
        <v>43</v>
      </c>
      <c r="N44" s="3">
        <f t="shared" si="3"/>
        <v>2129.2087550512606</v>
      </c>
      <c r="O44" s="3">
        <f t="shared" si="8"/>
        <v>1631.8380435554502</v>
      </c>
      <c r="P44" s="3">
        <f t="shared" si="4"/>
        <v>497.37071149581038</v>
      </c>
      <c r="Q44" s="3">
        <f t="shared" si="9"/>
        <v>355540.02060969337</v>
      </c>
    </row>
    <row r="45" spans="1:17" ht="14.25" customHeight="1">
      <c r="M45" s="1">
        <f t="shared" si="7"/>
        <v>44</v>
      </c>
      <c r="N45" s="3">
        <f t="shared" si="3"/>
        <v>2129.2087550512606</v>
      </c>
      <c r="O45" s="3">
        <f t="shared" si="8"/>
        <v>1629.5584277944281</v>
      </c>
      <c r="P45" s="3">
        <f t="shared" si="4"/>
        <v>499.6503272568325</v>
      </c>
      <c r="Q45" s="3">
        <f t="shared" si="9"/>
        <v>355040.37028243655</v>
      </c>
    </row>
    <row r="46" spans="1:17" ht="14.25" customHeight="1">
      <c r="M46" s="1">
        <f t="shared" si="7"/>
        <v>45</v>
      </c>
      <c r="N46" s="3">
        <f t="shared" si="3"/>
        <v>2129.2087550512606</v>
      </c>
      <c r="O46" s="3">
        <f t="shared" si="8"/>
        <v>1627.2683637945008</v>
      </c>
      <c r="P46" s="3">
        <f t="shared" si="4"/>
        <v>501.94039125675977</v>
      </c>
      <c r="Q46" s="3">
        <f t="shared" si="9"/>
        <v>354538.42989117978</v>
      </c>
    </row>
    <row r="47" spans="1:17" ht="14.25" customHeight="1">
      <c r="M47" s="1">
        <f t="shared" si="7"/>
        <v>46</v>
      </c>
      <c r="N47" s="3">
        <f t="shared" si="3"/>
        <v>2129.2087550512606</v>
      </c>
      <c r="O47" s="3">
        <f t="shared" si="8"/>
        <v>1624.9678036679072</v>
      </c>
      <c r="P47" s="3">
        <f t="shared" si="4"/>
        <v>504.24095138335338</v>
      </c>
      <c r="Q47" s="3">
        <f t="shared" si="9"/>
        <v>354034.18893979641</v>
      </c>
    </row>
    <row r="48" spans="1:17" ht="14.25" customHeight="1">
      <c r="M48" s="1">
        <f t="shared" si="7"/>
        <v>47</v>
      </c>
      <c r="N48" s="3">
        <f t="shared" si="3"/>
        <v>2129.2087550512606</v>
      </c>
      <c r="O48" s="3">
        <f t="shared" si="8"/>
        <v>1622.6566993074002</v>
      </c>
      <c r="P48" s="3">
        <f t="shared" si="4"/>
        <v>506.55205574386036</v>
      </c>
      <c r="Q48" s="3">
        <f t="shared" si="9"/>
        <v>353527.63688405254</v>
      </c>
    </row>
    <row r="49" spans="13:17" ht="14.25" customHeight="1">
      <c r="M49" s="1">
        <f t="shared" si="7"/>
        <v>48</v>
      </c>
      <c r="N49" s="3">
        <f t="shared" si="3"/>
        <v>2129.2087550512606</v>
      </c>
      <c r="O49" s="3">
        <f t="shared" si="8"/>
        <v>1620.3350023852408</v>
      </c>
      <c r="P49" s="3">
        <f t="shared" si="4"/>
        <v>508.87375266601975</v>
      </c>
      <c r="Q49" s="3">
        <f t="shared" si="9"/>
        <v>353018.76313138654</v>
      </c>
    </row>
    <row r="50" spans="13:17" ht="14.25" customHeight="1">
      <c r="M50" s="1">
        <f t="shared" si="7"/>
        <v>49</v>
      </c>
      <c r="N50" s="3">
        <f t="shared" si="3"/>
        <v>2129.2087550512606</v>
      </c>
      <c r="O50" s="3">
        <f t="shared" si="8"/>
        <v>1618.0026643521885</v>
      </c>
      <c r="P50" s="3">
        <f t="shared" si="4"/>
        <v>511.20609069907209</v>
      </c>
      <c r="Q50" s="3">
        <f t="shared" si="9"/>
        <v>352507.55704068748</v>
      </c>
    </row>
    <row r="51" spans="13:17" ht="14.25" customHeight="1">
      <c r="M51" s="1">
        <f t="shared" si="7"/>
        <v>50</v>
      </c>
      <c r="N51" s="3">
        <f t="shared" si="3"/>
        <v>2129.2087550512606</v>
      </c>
      <c r="O51" s="3">
        <f t="shared" si="8"/>
        <v>1615.6596364364843</v>
      </c>
      <c r="P51" s="3">
        <f t="shared" si="4"/>
        <v>513.54911861477626</v>
      </c>
      <c r="Q51" s="3">
        <f t="shared" si="9"/>
        <v>351994.00792207272</v>
      </c>
    </row>
    <row r="52" spans="13:17" ht="14.25" customHeight="1">
      <c r="M52" s="1">
        <f t="shared" si="7"/>
        <v>51</v>
      </c>
      <c r="N52" s="3">
        <f t="shared" si="3"/>
        <v>2129.2087550512606</v>
      </c>
      <c r="O52" s="3">
        <f t="shared" si="8"/>
        <v>1613.3058696428334</v>
      </c>
      <c r="P52" s="3">
        <f t="shared" si="4"/>
        <v>515.90288540842721</v>
      </c>
      <c r="Q52" s="3">
        <f t="shared" si="9"/>
        <v>351478.10503666429</v>
      </c>
    </row>
    <row r="53" spans="13:17" ht="14.25" customHeight="1">
      <c r="M53" s="1">
        <f t="shared" si="7"/>
        <v>52</v>
      </c>
      <c r="N53" s="3">
        <f t="shared" si="3"/>
        <v>2129.2087550512606</v>
      </c>
      <c r="O53" s="3">
        <f t="shared" si="8"/>
        <v>1610.9413147513781</v>
      </c>
      <c r="P53" s="3">
        <f t="shared" si="4"/>
        <v>518.26744029988254</v>
      </c>
      <c r="Q53" s="3">
        <f t="shared" si="9"/>
        <v>350959.83759636438</v>
      </c>
    </row>
    <row r="54" spans="13:17" ht="14.25" customHeight="1">
      <c r="M54" s="1">
        <f t="shared" si="7"/>
        <v>53</v>
      </c>
      <c r="N54" s="3">
        <f t="shared" si="3"/>
        <v>2129.2087550512606</v>
      </c>
      <c r="O54" s="3">
        <f t="shared" si="8"/>
        <v>1608.5659223166701</v>
      </c>
      <c r="P54" s="3">
        <f t="shared" si="4"/>
        <v>520.64283273459046</v>
      </c>
      <c r="Q54" s="3">
        <f t="shared" si="9"/>
        <v>350439.19476362981</v>
      </c>
    </row>
    <row r="55" spans="13:17" ht="14.25" customHeight="1">
      <c r="M55" s="1">
        <f t="shared" si="7"/>
        <v>54</v>
      </c>
      <c r="N55" s="3">
        <f t="shared" si="3"/>
        <v>2129.2087550512606</v>
      </c>
      <c r="O55" s="3">
        <f t="shared" si="8"/>
        <v>1606.1796426666367</v>
      </c>
      <c r="P55" s="3">
        <f t="shared" si="4"/>
        <v>523.02911238462389</v>
      </c>
      <c r="Q55" s="3">
        <f t="shared" si="9"/>
        <v>349916.16565124522</v>
      </c>
    </row>
    <row r="56" spans="13:17" ht="14.25" customHeight="1">
      <c r="M56" s="1">
        <f t="shared" si="7"/>
        <v>55</v>
      </c>
      <c r="N56" s="3">
        <f t="shared" si="3"/>
        <v>2129.2087550512606</v>
      </c>
      <c r="O56" s="3">
        <f t="shared" si="8"/>
        <v>1603.7824259015406</v>
      </c>
      <c r="P56" s="3">
        <f t="shared" si="4"/>
        <v>525.42632914972</v>
      </c>
      <c r="Q56" s="3">
        <f t="shared" si="9"/>
        <v>349390.73932209547</v>
      </c>
    </row>
    <row r="57" spans="13:17" ht="14.25" customHeight="1">
      <c r="M57" s="1">
        <f t="shared" si="7"/>
        <v>56</v>
      </c>
      <c r="N57" s="3">
        <f t="shared" si="3"/>
        <v>2129.2087550512606</v>
      </c>
      <c r="O57" s="3">
        <f t="shared" si="8"/>
        <v>1601.3742218929376</v>
      </c>
      <c r="P57" s="3">
        <f t="shared" si="4"/>
        <v>527.83453315832298</v>
      </c>
      <c r="Q57" s="3">
        <f t="shared" si="9"/>
        <v>348862.90478893713</v>
      </c>
    </row>
    <row r="58" spans="13:17" ht="14.25" customHeight="1">
      <c r="M58" s="1">
        <f t="shared" si="7"/>
        <v>57</v>
      </c>
      <c r="N58" s="3">
        <f t="shared" si="3"/>
        <v>2129.2087550512606</v>
      </c>
      <c r="O58" s="3">
        <f t="shared" si="8"/>
        <v>1598.9549802826286</v>
      </c>
      <c r="P58" s="3">
        <f t="shared" si="4"/>
        <v>530.25377476863196</v>
      </c>
      <c r="Q58" s="3">
        <f t="shared" si="9"/>
        <v>348332.65101416851</v>
      </c>
    </row>
    <row r="59" spans="13:17" ht="14.25" customHeight="1">
      <c r="M59" s="1">
        <f t="shared" si="7"/>
        <v>58</v>
      </c>
      <c r="N59" s="3">
        <f t="shared" si="3"/>
        <v>2129.2087550512606</v>
      </c>
      <c r="O59" s="3">
        <f t="shared" si="8"/>
        <v>1596.5246504816057</v>
      </c>
      <c r="P59" s="3">
        <f t="shared" si="4"/>
        <v>532.68410456965489</v>
      </c>
      <c r="Q59" s="3">
        <f t="shared" si="9"/>
        <v>347799.96690959885</v>
      </c>
    </row>
    <row r="60" spans="13:17" ht="14.25" customHeight="1">
      <c r="M60" s="1">
        <f t="shared" si="7"/>
        <v>59</v>
      </c>
      <c r="N60" s="3">
        <f t="shared" si="3"/>
        <v>2129.2087550512606</v>
      </c>
      <c r="O60" s="3">
        <f t="shared" si="8"/>
        <v>1594.0831816689949</v>
      </c>
      <c r="P60" s="3">
        <f t="shared" si="4"/>
        <v>535.12557338226566</v>
      </c>
      <c r="Q60" s="3">
        <f t="shared" si="9"/>
        <v>347264.8413362166</v>
      </c>
    </row>
    <row r="61" spans="13:17" ht="14.25" customHeight="1">
      <c r="M61" s="1">
        <f t="shared" si="7"/>
        <v>60</v>
      </c>
      <c r="N61" s="3">
        <f t="shared" si="3"/>
        <v>2129.2087550512606</v>
      </c>
      <c r="O61" s="3">
        <f t="shared" si="8"/>
        <v>1591.6305227909927</v>
      </c>
      <c r="P61" s="3">
        <f t="shared" si="4"/>
        <v>537.5782322602679</v>
      </c>
      <c r="Q61" s="3">
        <f t="shared" si="9"/>
        <v>346727.26310395636</v>
      </c>
    </row>
    <row r="62" spans="13:17" ht="14.25" customHeight="1">
      <c r="M62" s="1">
        <f t="shared" si="7"/>
        <v>61</v>
      </c>
      <c r="N62" s="3">
        <f t="shared" si="3"/>
        <v>2129.2087550512606</v>
      </c>
      <c r="O62" s="3">
        <f t="shared" si="8"/>
        <v>1589.1666225598001</v>
      </c>
      <c r="P62" s="3">
        <f t="shared" si="4"/>
        <v>540.04213249146051</v>
      </c>
      <c r="Q62" s="3">
        <f t="shared" si="9"/>
        <v>346187.22097146488</v>
      </c>
    </row>
    <row r="63" spans="13:17" ht="14.25" customHeight="1">
      <c r="M63" s="1">
        <f t="shared" si="7"/>
        <v>62</v>
      </c>
      <c r="N63" s="3">
        <f t="shared" si="3"/>
        <v>2129.2087550512606</v>
      </c>
      <c r="O63" s="3">
        <f t="shared" si="8"/>
        <v>1586.6914294525475</v>
      </c>
      <c r="P63" s="3">
        <f t="shared" si="4"/>
        <v>542.51732559871311</v>
      </c>
      <c r="Q63" s="3">
        <f t="shared" si="9"/>
        <v>345644.70364586619</v>
      </c>
    </row>
    <row r="64" spans="13:17" ht="14.25" customHeight="1">
      <c r="M64" s="1">
        <f t="shared" si="7"/>
        <v>63</v>
      </c>
      <c r="N64" s="3">
        <f t="shared" si="3"/>
        <v>2129.2087550512606</v>
      </c>
      <c r="O64" s="3">
        <f t="shared" si="8"/>
        <v>1584.2048917102202</v>
      </c>
      <c r="P64" s="3">
        <f t="shared" si="4"/>
        <v>545.00386334104041</v>
      </c>
      <c r="Q64" s="3">
        <f t="shared" si="9"/>
        <v>345099.69978252513</v>
      </c>
    </row>
    <row r="65" spans="13:17" ht="14.25" customHeight="1">
      <c r="M65" s="1">
        <f t="shared" si="7"/>
        <v>64</v>
      </c>
      <c r="N65" s="3">
        <f t="shared" si="3"/>
        <v>2129.2087550512606</v>
      </c>
      <c r="O65" s="3">
        <f t="shared" si="8"/>
        <v>1581.7069573365734</v>
      </c>
      <c r="P65" s="3">
        <f t="shared" si="4"/>
        <v>547.5017977146872</v>
      </c>
      <c r="Q65" s="3">
        <f t="shared" si="9"/>
        <v>344552.19798481045</v>
      </c>
    </row>
    <row r="66" spans="13:17" ht="14.25" customHeight="1">
      <c r="M66" s="1">
        <f t="shared" si="7"/>
        <v>65</v>
      </c>
      <c r="N66" s="3">
        <f t="shared" si="3"/>
        <v>2129.2087550512606</v>
      </c>
      <c r="O66" s="3">
        <f t="shared" si="8"/>
        <v>1579.1975740970481</v>
      </c>
      <c r="P66" s="3">
        <f t="shared" si="4"/>
        <v>550.01118095421248</v>
      </c>
      <c r="Q66" s="3">
        <f t="shared" si="9"/>
        <v>344002.18680385622</v>
      </c>
    </row>
    <row r="67" spans="13:17" ht="14.25" customHeight="1">
      <c r="M67" s="1">
        <f t="shared" si="7"/>
        <v>66</v>
      </c>
      <c r="N67" s="3">
        <f t="shared" si="3"/>
        <v>2129.2087550512606</v>
      </c>
      <c r="O67" s="3">
        <f t="shared" si="8"/>
        <v>1576.6766895176743</v>
      </c>
      <c r="P67" s="3">
        <f t="shared" si="4"/>
        <v>552.53206553358632</v>
      </c>
      <c r="Q67" s="3">
        <f t="shared" si="9"/>
        <v>343449.65473832266</v>
      </c>
    </row>
    <row r="68" spans="13:17" ht="14.25" customHeight="1">
      <c r="M68" s="1">
        <f t="shared" si="7"/>
        <v>67</v>
      </c>
      <c r="N68" s="3">
        <f t="shared" si="3"/>
        <v>2129.2087550512606</v>
      </c>
      <c r="O68" s="3">
        <f t="shared" si="8"/>
        <v>1574.1442508839789</v>
      </c>
      <c r="P68" s="3">
        <f t="shared" si="4"/>
        <v>555.06450416728171</v>
      </c>
      <c r="Q68" s="3">
        <f t="shared" si="9"/>
        <v>342894.59023415536</v>
      </c>
    </row>
    <row r="69" spans="13:17" ht="14.25" customHeight="1">
      <c r="M69" s="1">
        <f t="shared" si="7"/>
        <v>68</v>
      </c>
      <c r="N69" s="3">
        <f t="shared" si="3"/>
        <v>2129.2087550512606</v>
      </c>
      <c r="O69" s="3">
        <f t="shared" si="8"/>
        <v>1571.6002052398787</v>
      </c>
      <c r="P69" s="3">
        <f t="shared" si="4"/>
        <v>557.60854981138186</v>
      </c>
      <c r="Q69" s="3">
        <f t="shared" si="9"/>
        <v>342336.98168434401</v>
      </c>
    </row>
    <row r="70" spans="13:17" ht="14.25" customHeight="1">
      <c r="M70" s="1">
        <f t="shared" si="7"/>
        <v>69</v>
      </c>
      <c r="N70" s="3">
        <f t="shared" si="3"/>
        <v>2129.2087550512606</v>
      </c>
      <c r="O70" s="3">
        <f t="shared" si="8"/>
        <v>1569.0444993865767</v>
      </c>
      <c r="P70" s="3">
        <f t="shared" si="4"/>
        <v>560.16425566468388</v>
      </c>
      <c r="Q70" s="3">
        <f t="shared" si="9"/>
        <v>341776.81742867932</v>
      </c>
    </row>
    <row r="71" spans="13:17" ht="14.25" customHeight="1">
      <c r="M71" s="1">
        <f t="shared" si="7"/>
        <v>70</v>
      </c>
      <c r="N71" s="3">
        <f t="shared" si="3"/>
        <v>2129.2087550512606</v>
      </c>
      <c r="O71" s="3">
        <f t="shared" si="8"/>
        <v>1566.477079881447</v>
      </c>
      <c r="P71" s="3">
        <f t="shared" si="4"/>
        <v>562.73167516981357</v>
      </c>
      <c r="Q71" s="3">
        <f t="shared" si="9"/>
        <v>341214.08575350948</v>
      </c>
    </row>
    <row r="72" spans="13:17" ht="14.25" customHeight="1">
      <c r="M72" s="1">
        <f t="shared" si="7"/>
        <v>71</v>
      </c>
      <c r="N72" s="3">
        <f t="shared" si="3"/>
        <v>2129.2087550512606</v>
      </c>
      <c r="O72" s="3">
        <f t="shared" si="8"/>
        <v>1563.8978930369185</v>
      </c>
      <c r="P72" s="3">
        <f t="shared" si="4"/>
        <v>565.31086201434209</v>
      </c>
      <c r="Q72" s="3">
        <f t="shared" si="9"/>
        <v>340648.77489149512</v>
      </c>
    </row>
    <row r="73" spans="13:17" ht="14.25" customHeight="1">
      <c r="M73" s="1">
        <f t="shared" si="7"/>
        <v>72</v>
      </c>
      <c r="N73" s="3">
        <f t="shared" si="3"/>
        <v>2129.2087550512606</v>
      </c>
      <c r="O73" s="3">
        <f t="shared" si="8"/>
        <v>1561.3068849193526</v>
      </c>
      <c r="P73" s="3">
        <f t="shared" si="4"/>
        <v>567.90187013190803</v>
      </c>
      <c r="Q73" s="3">
        <f t="shared" si="9"/>
        <v>340080.87302136322</v>
      </c>
    </row>
    <row r="74" spans="13:17" ht="14.25" customHeight="1">
      <c r="M74" s="1">
        <f t="shared" si="7"/>
        <v>73</v>
      </c>
      <c r="N74" s="3">
        <f t="shared" si="3"/>
        <v>2129.2087550512606</v>
      </c>
      <c r="O74" s="3">
        <f t="shared" si="8"/>
        <v>1558.7040013479148</v>
      </c>
      <c r="P74" s="3">
        <f t="shared" si="4"/>
        <v>570.50475370334584</v>
      </c>
      <c r="Q74" s="3">
        <f t="shared" si="9"/>
        <v>339510.36826765985</v>
      </c>
    </row>
    <row r="75" spans="13:17" ht="14.25" customHeight="1">
      <c r="M75" s="1">
        <f t="shared" si="7"/>
        <v>74</v>
      </c>
      <c r="N75" s="3">
        <f t="shared" si="3"/>
        <v>2129.2087550512606</v>
      </c>
      <c r="O75" s="3">
        <f t="shared" si="8"/>
        <v>1556.089187893441</v>
      </c>
      <c r="P75" s="3">
        <f t="shared" si="4"/>
        <v>573.11956715781957</v>
      </c>
      <c r="Q75" s="3">
        <f t="shared" si="9"/>
        <v>338937.24870050204</v>
      </c>
    </row>
    <row r="76" spans="13:17" ht="14.25" customHeight="1">
      <c r="M76" s="1">
        <f t="shared" si="7"/>
        <v>75</v>
      </c>
      <c r="N76" s="3">
        <f t="shared" si="3"/>
        <v>2129.2087550512606</v>
      </c>
      <c r="O76" s="3">
        <f t="shared" si="8"/>
        <v>1553.4623898773009</v>
      </c>
      <c r="P76" s="3">
        <f t="shared" si="4"/>
        <v>575.7463651739597</v>
      </c>
      <c r="Q76" s="3">
        <f t="shared" si="9"/>
        <v>338361.50233532808</v>
      </c>
    </row>
    <row r="77" spans="13:17" ht="14.25" customHeight="1">
      <c r="M77" s="1">
        <f t="shared" si="7"/>
        <v>76</v>
      </c>
      <c r="N77" s="3">
        <f t="shared" si="3"/>
        <v>2129.2087550512606</v>
      </c>
      <c r="O77" s="3">
        <f t="shared" si="8"/>
        <v>1550.8235523702535</v>
      </c>
      <c r="P77" s="3">
        <f t="shared" si="4"/>
        <v>578.38520268100706</v>
      </c>
      <c r="Q77" s="3">
        <f t="shared" si="9"/>
        <v>337783.11713264708</v>
      </c>
    </row>
    <row r="78" spans="13:17" ht="14.25" customHeight="1">
      <c r="M78" s="1">
        <f t="shared" si="7"/>
        <v>77</v>
      </c>
      <c r="N78" s="3">
        <f t="shared" si="3"/>
        <v>2129.2087550512606</v>
      </c>
      <c r="O78" s="3">
        <f t="shared" si="8"/>
        <v>1548.1726201912991</v>
      </c>
      <c r="P78" s="3">
        <f t="shared" si="4"/>
        <v>581.03613485996152</v>
      </c>
      <c r="Q78" s="3">
        <f t="shared" si="9"/>
        <v>337202.08099778712</v>
      </c>
    </row>
    <row r="79" spans="13:17" ht="14.25" customHeight="1">
      <c r="M79" s="1">
        <f t="shared" si="7"/>
        <v>78</v>
      </c>
      <c r="N79" s="3">
        <f t="shared" si="3"/>
        <v>2129.2087550512606</v>
      </c>
      <c r="O79" s="3">
        <f t="shared" si="8"/>
        <v>1545.5095379065242</v>
      </c>
      <c r="P79" s="3">
        <f t="shared" si="4"/>
        <v>583.69921714473639</v>
      </c>
      <c r="Q79" s="3">
        <f t="shared" si="9"/>
        <v>336618.38178064238</v>
      </c>
    </row>
    <row r="80" spans="13:17" ht="14.25" customHeight="1">
      <c r="M80" s="1">
        <f t="shared" si="7"/>
        <v>79</v>
      </c>
      <c r="N80" s="3">
        <f t="shared" si="3"/>
        <v>2129.2087550512606</v>
      </c>
      <c r="O80" s="3">
        <f t="shared" si="8"/>
        <v>1542.8342498279442</v>
      </c>
      <c r="P80" s="3">
        <f t="shared" si="4"/>
        <v>586.37450522331642</v>
      </c>
      <c r="Q80" s="3">
        <f t="shared" si="9"/>
        <v>336032.00727541908</v>
      </c>
    </row>
    <row r="81" spans="13:17" ht="14.25" customHeight="1">
      <c r="M81" s="1">
        <f t="shared" si="7"/>
        <v>80</v>
      </c>
      <c r="N81" s="3">
        <f t="shared" si="3"/>
        <v>2129.2087550512606</v>
      </c>
      <c r="O81" s="3">
        <f t="shared" si="8"/>
        <v>1540.1467000123375</v>
      </c>
      <c r="P81" s="3">
        <f t="shared" si="4"/>
        <v>589.06205503892306</v>
      </c>
      <c r="Q81" s="3">
        <f t="shared" si="9"/>
        <v>335442.94522038015</v>
      </c>
    </row>
    <row r="82" spans="13:17" ht="14.25" customHeight="1">
      <c r="M82" s="1">
        <f t="shared" si="7"/>
        <v>81</v>
      </c>
      <c r="N82" s="3">
        <f t="shared" si="3"/>
        <v>2129.2087550512606</v>
      </c>
      <c r="O82" s="3">
        <f t="shared" si="8"/>
        <v>1537.4468322600758</v>
      </c>
      <c r="P82" s="3">
        <f t="shared" si="4"/>
        <v>591.76192279118482</v>
      </c>
      <c r="Q82" s="3">
        <f t="shared" si="9"/>
        <v>334851.18329758896</v>
      </c>
    </row>
    <row r="83" spans="13:17" ht="14.25" customHeight="1">
      <c r="M83" s="1">
        <f t="shared" si="7"/>
        <v>82</v>
      </c>
      <c r="N83" s="3">
        <f t="shared" si="3"/>
        <v>2129.2087550512606</v>
      </c>
      <c r="O83" s="3">
        <f t="shared" si="8"/>
        <v>1534.7345901139495</v>
      </c>
      <c r="P83" s="3">
        <f t="shared" si="4"/>
        <v>594.47416493731112</v>
      </c>
      <c r="Q83" s="3">
        <f t="shared" si="9"/>
        <v>334256.70913265162</v>
      </c>
    </row>
    <row r="84" spans="13:17" ht="14.25" customHeight="1">
      <c r="M84" s="1">
        <f t="shared" si="7"/>
        <v>83</v>
      </c>
      <c r="N84" s="3">
        <f t="shared" si="3"/>
        <v>2129.2087550512606</v>
      </c>
      <c r="O84" s="3">
        <f t="shared" si="8"/>
        <v>1532.0099168579866</v>
      </c>
      <c r="P84" s="3">
        <f t="shared" si="4"/>
        <v>597.19883819327401</v>
      </c>
      <c r="Q84" s="3">
        <f t="shared" si="9"/>
        <v>333659.51029445836</v>
      </c>
    </row>
    <row r="85" spans="13:17" ht="14.25" customHeight="1">
      <c r="M85" s="1">
        <f t="shared" si="7"/>
        <v>84</v>
      </c>
      <c r="N85" s="3">
        <f t="shared" si="3"/>
        <v>2129.2087550512606</v>
      </c>
      <c r="O85" s="3">
        <f t="shared" si="8"/>
        <v>1529.2727555162676</v>
      </c>
      <c r="P85" s="3">
        <f t="shared" si="4"/>
        <v>599.93599953499302</v>
      </c>
      <c r="Q85" s="3">
        <f t="shared" si="9"/>
        <v>333059.5742949234</v>
      </c>
    </row>
    <row r="86" spans="13:17" ht="14.25" customHeight="1">
      <c r="M86" s="1">
        <f t="shared" si="7"/>
        <v>85</v>
      </c>
      <c r="N86" s="3">
        <f t="shared" si="3"/>
        <v>2129.2087550512606</v>
      </c>
      <c r="O86" s="3">
        <f t="shared" si="8"/>
        <v>1526.523048851732</v>
      </c>
      <c r="P86" s="3">
        <f t="shared" si="4"/>
        <v>602.68570619952857</v>
      </c>
      <c r="Q86" s="3">
        <f t="shared" si="9"/>
        <v>332456.88858872384</v>
      </c>
    </row>
    <row r="87" spans="13:17" ht="14.25" customHeight="1">
      <c r="M87" s="1">
        <f t="shared" si="7"/>
        <v>86</v>
      </c>
      <c r="N87" s="3">
        <f t="shared" si="3"/>
        <v>2129.2087550512606</v>
      </c>
      <c r="O87" s="3">
        <f t="shared" si="8"/>
        <v>1523.7607393649841</v>
      </c>
      <c r="P87" s="3">
        <f t="shared" si="4"/>
        <v>605.44801568627645</v>
      </c>
      <c r="Q87" s="3">
        <f t="shared" si="9"/>
        <v>331851.44057303754</v>
      </c>
    </row>
    <row r="88" spans="13:17" ht="14.25" customHeight="1">
      <c r="M88" s="1">
        <f t="shared" si="7"/>
        <v>87</v>
      </c>
      <c r="N88" s="3">
        <f t="shared" si="3"/>
        <v>2129.2087550512606</v>
      </c>
      <c r="O88" s="3">
        <f t="shared" si="8"/>
        <v>1520.9857692930889</v>
      </c>
      <c r="P88" s="3">
        <f t="shared" si="4"/>
        <v>608.22298575817172</v>
      </c>
      <c r="Q88" s="3">
        <f t="shared" si="9"/>
        <v>331243.21758727939</v>
      </c>
    </row>
    <row r="89" spans="13:17" ht="14.25" customHeight="1">
      <c r="M89" s="1">
        <f t="shared" si="7"/>
        <v>88</v>
      </c>
      <c r="N89" s="3">
        <f t="shared" si="3"/>
        <v>2129.2087550512606</v>
      </c>
      <c r="O89" s="3">
        <f t="shared" si="8"/>
        <v>1518.1980806083639</v>
      </c>
      <c r="P89" s="3">
        <f t="shared" si="4"/>
        <v>611.01067444289674</v>
      </c>
      <c r="Q89" s="3">
        <f t="shared" si="9"/>
        <v>330632.20691283647</v>
      </c>
    </row>
    <row r="90" spans="13:17" ht="14.25" customHeight="1">
      <c r="M90" s="1">
        <f t="shared" si="7"/>
        <v>89</v>
      </c>
      <c r="N90" s="3">
        <f t="shared" si="3"/>
        <v>2129.2087550512606</v>
      </c>
      <c r="O90" s="3">
        <f t="shared" si="8"/>
        <v>1515.3976150171673</v>
      </c>
      <c r="P90" s="3">
        <f t="shared" si="4"/>
        <v>613.81114003409334</v>
      </c>
      <c r="Q90" s="3">
        <f t="shared" si="9"/>
        <v>330018.39577280235</v>
      </c>
    </row>
    <row r="91" spans="13:17" ht="14.25" customHeight="1">
      <c r="M91" s="1">
        <f t="shared" si="7"/>
        <v>90</v>
      </c>
      <c r="N91" s="3">
        <f t="shared" si="3"/>
        <v>2129.2087550512606</v>
      </c>
      <c r="O91" s="3">
        <f t="shared" si="8"/>
        <v>1512.5843139586775</v>
      </c>
      <c r="P91" s="3">
        <f t="shared" si="4"/>
        <v>616.62444109258308</v>
      </c>
      <c r="Q91" s="3">
        <f t="shared" si="9"/>
        <v>329401.77133170975</v>
      </c>
    </row>
    <row r="92" spans="13:17" ht="14.25" customHeight="1">
      <c r="M92" s="1">
        <f t="shared" si="7"/>
        <v>91</v>
      </c>
      <c r="N92" s="3">
        <f t="shared" si="3"/>
        <v>2129.2087550512606</v>
      </c>
      <c r="O92" s="3">
        <f t="shared" si="8"/>
        <v>1509.7581186036696</v>
      </c>
      <c r="P92" s="3">
        <f t="shared" si="4"/>
        <v>619.45063644759102</v>
      </c>
      <c r="Q92" s="3">
        <f t="shared" si="9"/>
        <v>328782.32069526217</v>
      </c>
    </row>
    <row r="93" spans="13:17" ht="14.25" customHeight="1">
      <c r="M93" s="1">
        <f t="shared" si="7"/>
        <v>92</v>
      </c>
      <c r="N93" s="3">
        <f t="shared" si="3"/>
        <v>2129.2087550512606</v>
      </c>
      <c r="O93" s="3">
        <f t="shared" si="8"/>
        <v>1506.9189698532848</v>
      </c>
      <c r="P93" s="3">
        <f t="shared" si="4"/>
        <v>622.28978519797579</v>
      </c>
      <c r="Q93" s="3">
        <f t="shared" si="9"/>
        <v>328160.03091006418</v>
      </c>
    </row>
    <row r="94" spans="13:17" ht="14.25" customHeight="1">
      <c r="M94" s="1">
        <f t="shared" si="7"/>
        <v>93</v>
      </c>
      <c r="N94" s="3">
        <f t="shared" si="3"/>
        <v>2129.2087550512606</v>
      </c>
      <c r="O94" s="3">
        <f t="shared" si="8"/>
        <v>1504.0668083377941</v>
      </c>
      <c r="P94" s="3">
        <f t="shared" si="4"/>
        <v>625.1419467134665</v>
      </c>
      <c r="Q94" s="3">
        <f t="shared" si="9"/>
        <v>327534.88896335074</v>
      </c>
    </row>
    <row r="95" spans="13:17" ht="14.25" customHeight="1">
      <c r="M95" s="1">
        <f t="shared" si="7"/>
        <v>94</v>
      </c>
      <c r="N95" s="3">
        <f t="shared" si="3"/>
        <v>2129.2087550512606</v>
      </c>
      <c r="O95" s="3">
        <f t="shared" si="8"/>
        <v>1501.2015744153575</v>
      </c>
      <c r="P95" s="3">
        <f t="shared" si="4"/>
        <v>628.00718063590307</v>
      </c>
      <c r="Q95" s="3">
        <f t="shared" si="9"/>
        <v>326906.88178271486</v>
      </c>
    </row>
    <row r="96" spans="13:17" ht="14.25" customHeight="1">
      <c r="M96" s="1">
        <f t="shared" si="7"/>
        <v>95</v>
      </c>
      <c r="N96" s="3">
        <f t="shared" si="3"/>
        <v>2129.2087550512606</v>
      </c>
      <c r="O96" s="3">
        <f t="shared" si="8"/>
        <v>1498.3232081707765</v>
      </c>
      <c r="P96" s="3">
        <f t="shared" si="4"/>
        <v>630.88554688048407</v>
      </c>
      <c r="Q96" s="3">
        <f t="shared" si="9"/>
        <v>326275.99623583438</v>
      </c>
    </row>
    <row r="97" spans="13:17" ht="14.25" customHeight="1">
      <c r="M97" s="1">
        <f t="shared" si="7"/>
        <v>96</v>
      </c>
      <c r="N97" s="3">
        <f t="shared" si="3"/>
        <v>2129.2087550512606</v>
      </c>
      <c r="O97" s="3">
        <f t="shared" si="8"/>
        <v>1495.4316494142411</v>
      </c>
      <c r="P97" s="3">
        <f t="shared" si="4"/>
        <v>633.77710563701953</v>
      </c>
      <c r="Q97" s="3">
        <f t="shared" si="9"/>
        <v>325642.21913019737</v>
      </c>
    </row>
    <row r="98" spans="13:17" ht="14.25" customHeight="1">
      <c r="M98" s="1">
        <f t="shared" si="7"/>
        <v>97</v>
      </c>
      <c r="N98" s="3">
        <f t="shared" si="3"/>
        <v>2129.2087550512606</v>
      </c>
      <c r="O98" s="3">
        <f t="shared" si="8"/>
        <v>1492.5268376800714</v>
      </c>
      <c r="P98" s="3">
        <f t="shared" si="4"/>
        <v>636.68191737118923</v>
      </c>
      <c r="Q98" s="3">
        <f t="shared" si="9"/>
        <v>325005.5372128262</v>
      </c>
    </row>
    <row r="99" spans="13:17" ht="14.25" customHeight="1">
      <c r="M99" s="1">
        <f t="shared" si="7"/>
        <v>98</v>
      </c>
      <c r="N99" s="3">
        <f t="shared" si="3"/>
        <v>2129.2087550512606</v>
      </c>
      <c r="O99" s="3">
        <f t="shared" si="8"/>
        <v>1489.6087122254532</v>
      </c>
      <c r="P99" s="3">
        <f t="shared" si="4"/>
        <v>639.60004282580735</v>
      </c>
      <c r="Q99" s="3">
        <f t="shared" si="9"/>
        <v>324365.9371700004</v>
      </c>
    </row>
    <row r="100" spans="13:17" ht="14.25" customHeight="1">
      <c r="M100" s="1">
        <f t="shared" si="7"/>
        <v>99</v>
      </c>
      <c r="N100" s="3">
        <f t="shared" si="3"/>
        <v>2129.2087550512606</v>
      </c>
      <c r="O100" s="3">
        <f t="shared" si="8"/>
        <v>1486.6772120291687</v>
      </c>
      <c r="P100" s="3">
        <f t="shared" si="4"/>
        <v>642.53154302209191</v>
      </c>
      <c r="Q100" s="3">
        <f t="shared" si="9"/>
        <v>323723.40562697832</v>
      </c>
    </row>
    <row r="101" spans="13:17" ht="14.25" customHeight="1">
      <c r="M101" s="1">
        <f t="shared" si="7"/>
        <v>100</v>
      </c>
      <c r="N101" s="3">
        <f t="shared" si="3"/>
        <v>2129.2087550512606</v>
      </c>
      <c r="O101" s="3">
        <f t="shared" si="8"/>
        <v>1483.7322757903173</v>
      </c>
      <c r="P101" s="3">
        <f t="shared" si="4"/>
        <v>645.47647926094328</v>
      </c>
      <c r="Q101" s="3">
        <f t="shared" si="9"/>
        <v>323077.92914771737</v>
      </c>
    </row>
    <row r="102" spans="13:17" ht="14.25" customHeight="1">
      <c r="M102" s="1">
        <f t="shared" si="7"/>
        <v>101</v>
      </c>
      <c r="N102" s="3">
        <f t="shared" si="3"/>
        <v>2129.2087550512606</v>
      </c>
      <c r="O102" s="3">
        <f t="shared" si="8"/>
        <v>1480.7738419270379</v>
      </c>
      <c r="P102" s="3">
        <f t="shared" si="4"/>
        <v>648.4349131242227</v>
      </c>
      <c r="Q102" s="3">
        <f t="shared" si="9"/>
        <v>322429.49423459312</v>
      </c>
    </row>
    <row r="103" spans="13:17" ht="14.25" customHeight="1">
      <c r="M103" s="1">
        <f t="shared" si="7"/>
        <v>102</v>
      </c>
      <c r="N103" s="3">
        <f t="shared" si="3"/>
        <v>2129.2087550512606</v>
      </c>
      <c r="O103" s="3">
        <f t="shared" si="8"/>
        <v>1477.8018485752184</v>
      </c>
      <c r="P103" s="3">
        <f t="shared" si="4"/>
        <v>651.4069064760422</v>
      </c>
      <c r="Q103" s="3">
        <f t="shared" si="9"/>
        <v>321778.08732811705</v>
      </c>
    </row>
    <row r="104" spans="13:17" ht="14.25" customHeight="1">
      <c r="M104" s="1">
        <f t="shared" si="7"/>
        <v>103</v>
      </c>
      <c r="N104" s="3">
        <f t="shared" si="3"/>
        <v>2129.2087550512606</v>
      </c>
      <c r="O104" s="3">
        <f t="shared" si="8"/>
        <v>1474.8162335872032</v>
      </c>
      <c r="P104" s="3">
        <f t="shared" si="4"/>
        <v>654.39252146405738</v>
      </c>
      <c r="Q104" s="3">
        <f t="shared" si="9"/>
        <v>321123.69480665302</v>
      </c>
    </row>
    <row r="105" spans="13:17" ht="14.25" customHeight="1">
      <c r="M105" s="1">
        <f t="shared" si="7"/>
        <v>104</v>
      </c>
      <c r="N105" s="3">
        <f t="shared" si="3"/>
        <v>2129.2087550512606</v>
      </c>
      <c r="O105" s="3">
        <f t="shared" si="8"/>
        <v>1471.816934530493</v>
      </c>
      <c r="P105" s="3">
        <f t="shared" si="4"/>
        <v>657.39182052076762</v>
      </c>
      <c r="Q105" s="3">
        <f t="shared" si="9"/>
        <v>320466.30298613227</v>
      </c>
    </row>
    <row r="106" spans="13:17" ht="14.25" customHeight="1">
      <c r="M106" s="1">
        <f t="shared" si="7"/>
        <v>105</v>
      </c>
      <c r="N106" s="3">
        <f t="shared" si="3"/>
        <v>2129.2087550512606</v>
      </c>
      <c r="O106" s="3">
        <f t="shared" si="8"/>
        <v>1468.8038886864397</v>
      </c>
      <c r="P106" s="3">
        <f t="shared" si="4"/>
        <v>660.40486636482092</v>
      </c>
      <c r="Q106" s="3">
        <f t="shared" si="9"/>
        <v>319805.89811976743</v>
      </c>
    </row>
    <row r="107" spans="13:17" ht="14.25" customHeight="1">
      <c r="M107" s="1">
        <f t="shared" si="7"/>
        <v>106</v>
      </c>
      <c r="N107" s="3">
        <f t="shared" si="3"/>
        <v>2129.2087550512606</v>
      </c>
      <c r="O107" s="3">
        <f t="shared" si="8"/>
        <v>1465.7770330489341</v>
      </c>
      <c r="P107" s="3">
        <f t="shared" si="4"/>
        <v>663.43172200232652</v>
      </c>
      <c r="Q107" s="3">
        <f t="shared" si="9"/>
        <v>319142.46639776509</v>
      </c>
    </row>
    <row r="108" spans="13:17" ht="14.25" customHeight="1">
      <c r="M108" s="1">
        <f t="shared" si="7"/>
        <v>107</v>
      </c>
      <c r="N108" s="3">
        <f t="shared" si="3"/>
        <v>2129.2087550512606</v>
      </c>
      <c r="O108" s="3">
        <f t="shared" si="8"/>
        <v>1462.7363043230901</v>
      </c>
      <c r="P108" s="3">
        <f t="shared" si="4"/>
        <v>666.47245072817054</v>
      </c>
      <c r="Q108" s="3">
        <f t="shared" si="9"/>
        <v>318475.99394703691</v>
      </c>
    </row>
    <row r="109" spans="13:17" ht="14.25" customHeight="1">
      <c r="M109" s="1">
        <f t="shared" si="7"/>
        <v>108</v>
      </c>
      <c r="N109" s="3">
        <f t="shared" si="3"/>
        <v>2129.2087550512606</v>
      </c>
      <c r="O109" s="3">
        <f t="shared" si="8"/>
        <v>1459.6816389239193</v>
      </c>
      <c r="P109" s="3">
        <f t="shared" si="4"/>
        <v>669.52711612734129</v>
      </c>
      <c r="Q109" s="3">
        <f t="shared" si="9"/>
        <v>317806.4668309096</v>
      </c>
    </row>
    <row r="110" spans="13:17" ht="14.25" customHeight="1">
      <c r="M110" s="1">
        <f t="shared" si="7"/>
        <v>109</v>
      </c>
      <c r="N110" s="3">
        <f t="shared" si="3"/>
        <v>2129.2087550512606</v>
      </c>
      <c r="O110" s="3">
        <f t="shared" si="8"/>
        <v>1456.6129729750025</v>
      </c>
      <c r="P110" s="3">
        <f t="shared" si="4"/>
        <v>672.59578207625805</v>
      </c>
      <c r="Q110" s="3">
        <f t="shared" si="9"/>
        <v>317133.87104883336</v>
      </c>
    </row>
    <row r="111" spans="13:17" ht="14.25" customHeight="1">
      <c r="M111" s="1">
        <f t="shared" si="7"/>
        <v>110</v>
      </c>
      <c r="N111" s="3">
        <f t="shared" si="3"/>
        <v>2129.2087550512606</v>
      </c>
      <c r="O111" s="3">
        <f t="shared" si="8"/>
        <v>1453.5302423071528</v>
      </c>
      <c r="P111" s="3">
        <f t="shared" si="4"/>
        <v>675.67851274410782</v>
      </c>
      <c r="Q111" s="3">
        <f t="shared" si="9"/>
        <v>316458.19253608928</v>
      </c>
    </row>
    <row r="112" spans="13:17" ht="14.25" customHeight="1">
      <c r="M112" s="1">
        <f t="shared" si="7"/>
        <v>111</v>
      </c>
      <c r="N112" s="3">
        <f t="shared" si="3"/>
        <v>2129.2087550512606</v>
      </c>
      <c r="O112" s="3">
        <f t="shared" si="8"/>
        <v>1450.4333824570758</v>
      </c>
      <c r="P112" s="3">
        <f t="shared" si="4"/>
        <v>678.77537259418477</v>
      </c>
      <c r="Q112" s="3">
        <f t="shared" si="9"/>
        <v>315779.41716349509</v>
      </c>
    </row>
    <row r="113" spans="13:17" ht="14.25" customHeight="1">
      <c r="M113" s="1">
        <f t="shared" si="7"/>
        <v>112</v>
      </c>
      <c r="N113" s="3">
        <f t="shared" si="3"/>
        <v>2129.2087550512606</v>
      </c>
      <c r="O113" s="3">
        <f t="shared" si="8"/>
        <v>1447.3223286660193</v>
      </c>
      <c r="P113" s="3">
        <f t="shared" si="4"/>
        <v>681.88642638524129</v>
      </c>
      <c r="Q113" s="3">
        <f t="shared" si="9"/>
        <v>315097.53073710983</v>
      </c>
    </row>
    <row r="114" spans="13:17" ht="14.25" customHeight="1">
      <c r="M114" s="1">
        <f t="shared" si="7"/>
        <v>113</v>
      </c>
      <c r="N114" s="3">
        <f t="shared" si="3"/>
        <v>2129.2087550512606</v>
      </c>
      <c r="O114" s="3">
        <f t="shared" si="8"/>
        <v>1444.19701587842</v>
      </c>
      <c r="P114" s="3">
        <f t="shared" si="4"/>
        <v>685.01173917284063</v>
      </c>
      <c r="Q114" s="3">
        <f t="shared" si="9"/>
        <v>314412.51899793698</v>
      </c>
    </row>
    <row r="115" spans="13:17" ht="14.25" customHeight="1">
      <c r="M115" s="1">
        <f t="shared" si="7"/>
        <v>114</v>
      </c>
      <c r="N115" s="3">
        <f t="shared" si="3"/>
        <v>2129.2087550512606</v>
      </c>
      <c r="O115" s="3">
        <f t="shared" si="8"/>
        <v>1441.0573787405444</v>
      </c>
      <c r="P115" s="3">
        <f t="shared" si="4"/>
        <v>688.15137631071616</v>
      </c>
      <c r="Q115" s="3">
        <f t="shared" si="9"/>
        <v>313724.36762162624</v>
      </c>
    </row>
    <row r="116" spans="13:17" ht="14.25" customHeight="1">
      <c r="M116" s="1">
        <f t="shared" si="7"/>
        <v>115</v>
      </c>
      <c r="N116" s="3">
        <f t="shared" si="3"/>
        <v>2129.2087550512606</v>
      </c>
      <c r="O116" s="3">
        <f t="shared" si="8"/>
        <v>1437.9033515991202</v>
      </c>
      <c r="P116" s="3">
        <f t="shared" si="4"/>
        <v>691.30540345214035</v>
      </c>
      <c r="Q116" s="3">
        <f t="shared" si="9"/>
        <v>313033.06221817411</v>
      </c>
    </row>
    <row r="117" spans="13:17" ht="14.25" customHeight="1">
      <c r="M117" s="1">
        <f t="shared" si="7"/>
        <v>116</v>
      </c>
      <c r="N117" s="3">
        <f t="shared" si="3"/>
        <v>2129.2087550512606</v>
      </c>
      <c r="O117" s="3">
        <f t="shared" si="8"/>
        <v>1434.7348684999645</v>
      </c>
      <c r="P117" s="3">
        <f t="shared" si="4"/>
        <v>694.47388655129612</v>
      </c>
      <c r="Q117" s="3">
        <f t="shared" si="9"/>
        <v>312338.58833162283</v>
      </c>
    </row>
    <row r="118" spans="13:17" ht="14.25" customHeight="1">
      <c r="M118" s="1">
        <f t="shared" si="7"/>
        <v>117</v>
      </c>
      <c r="N118" s="3">
        <f t="shared" si="3"/>
        <v>2129.2087550512606</v>
      </c>
      <c r="O118" s="3">
        <f t="shared" si="8"/>
        <v>1431.5518631866046</v>
      </c>
      <c r="P118" s="3">
        <f t="shared" si="4"/>
        <v>697.65689186465602</v>
      </c>
      <c r="Q118" s="3">
        <f t="shared" si="9"/>
        <v>311640.93143975816</v>
      </c>
    </row>
    <row r="119" spans="13:17" ht="14.25" customHeight="1">
      <c r="M119" s="1">
        <f t="shared" si="7"/>
        <v>118</v>
      </c>
      <c r="N119" s="3">
        <f t="shared" si="3"/>
        <v>2129.2087550512606</v>
      </c>
      <c r="O119" s="3">
        <f t="shared" si="8"/>
        <v>1428.3542690988916</v>
      </c>
      <c r="P119" s="3">
        <f t="shared" si="4"/>
        <v>700.85448595236903</v>
      </c>
      <c r="Q119" s="3">
        <f t="shared" si="9"/>
        <v>310940.07695380581</v>
      </c>
    </row>
    <row r="120" spans="13:17" ht="14.25" customHeight="1">
      <c r="M120" s="1">
        <f t="shared" si="7"/>
        <v>119</v>
      </c>
      <c r="N120" s="3">
        <f t="shared" si="3"/>
        <v>2129.2087550512606</v>
      </c>
      <c r="O120" s="3">
        <f t="shared" si="8"/>
        <v>1425.1420193716101</v>
      </c>
      <c r="P120" s="3">
        <f t="shared" si="4"/>
        <v>704.06673567965049</v>
      </c>
      <c r="Q120" s="3">
        <f t="shared" si="9"/>
        <v>310236.01021812618</v>
      </c>
    </row>
    <row r="121" spans="13:17" ht="14.25" customHeight="1">
      <c r="M121" s="1">
        <f t="shared" si="7"/>
        <v>120</v>
      </c>
      <c r="N121" s="3">
        <f t="shared" si="3"/>
        <v>2129.2087550512606</v>
      </c>
      <c r="O121" s="3">
        <f t="shared" si="8"/>
        <v>1421.9150468330783</v>
      </c>
      <c r="P121" s="3">
        <f t="shared" si="4"/>
        <v>707.29370821818225</v>
      </c>
      <c r="Q121" s="3">
        <f t="shared" si="9"/>
        <v>309528.71650990797</v>
      </c>
    </row>
    <row r="122" spans="13:17" ht="14.25" customHeight="1">
      <c r="M122" s="1">
        <f t="shared" si="7"/>
        <v>121</v>
      </c>
      <c r="N122" s="3">
        <f t="shared" si="3"/>
        <v>2129.2087550512606</v>
      </c>
      <c r="O122" s="3">
        <f t="shared" si="8"/>
        <v>1418.6732840037448</v>
      </c>
      <c r="P122" s="3">
        <f t="shared" si="4"/>
        <v>710.53547104751578</v>
      </c>
      <c r="Q122" s="3">
        <f t="shared" si="9"/>
        <v>308818.18103886046</v>
      </c>
    </row>
    <row r="123" spans="13:17" ht="14.25" customHeight="1">
      <c r="M123" s="1">
        <f t="shared" si="7"/>
        <v>122</v>
      </c>
      <c r="N123" s="3">
        <f t="shared" si="3"/>
        <v>2129.2087550512606</v>
      </c>
      <c r="O123" s="3">
        <f t="shared" si="8"/>
        <v>1415.4166630947773</v>
      </c>
      <c r="P123" s="3">
        <f t="shared" si="4"/>
        <v>713.79209195648332</v>
      </c>
      <c r="Q123" s="3">
        <f t="shared" si="9"/>
        <v>308104.38894690399</v>
      </c>
    </row>
    <row r="124" spans="13:17" ht="14.25" customHeight="1">
      <c r="M124" s="1">
        <f t="shared" si="7"/>
        <v>123</v>
      </c>
      <c r="N124" s="3">
        <f t="shared" si="3"/>
        <v>2129.2087550512606</v>
      </c>
      <c r="O124" s="3">
        <f t="shared" si="8"/>
        <v>1412.1451160066433</v>
      </c>
      <c r="P124" s="3">
        <f t="shared" si="4"/>
        <v>717.06363904461728</v>
      </c>
      <c r="Q124" s="3">
        <f t="shared" si="9"/>
        <v>307387.32530785934</v>
      </c>
    </row>
    <row r="125" spans="13:17" ht="14.25" customHeight="1">
      <c r="M125" s="1">
        <f t="shared" si="7"/>
        <v>124</v>
      </c>
      <c r="N125" s="3">
        <f t="shared" si="3"/>
        <v>2129.2087550512606</v>
      </c>
      <c r="O125" s="3">
        <f t="shared" si="8"/>
        <v>1408.8585743276888</v>
      </c>
      <c r="P125" s="3">
        <f t="shared" si="4"/>
        <v>720.35018072357184</v>
      </c>
      <c r="Q125" s="3">
        <f t="shared" si="9"/>
        <v>306666.97512713575</v>
      </c>
    </row>
    <row r="126" spans="13:17" ht="14.25" customHeight="1">
      <c r="M126" s="1">
        <f t="shared" si="7"/>
        <v>125</v>
      </c>
      <c r="N126" s="3">
        <f t="shared" si="3"/>
        <v>2129.2087550512606</v>
      </c>
      <c r="O126" s="3">
        <f t="shared" si="8"/>
        <v>1405.5569693327054</v>
      </c>
      <c r="P126" s="3">
        <f t="shared" si="4"/>
        <v>723.65178571855517</v>
      </c>
      <c r="Q126" s="3">
        <f t="shared" si="9"/>
        <v>305943.32334141718</v>
      </c>
    </row>
    <row r="127" spans="13:17" ht="14.25" customHeight="1">
      <c r="M127" s="1">
        <f t="shared" si="7"/>
        <v>126</v>
      </c>
      <c r="N127" s="3">
        <f t="shared" si="3"/>
        <v>2129.2087550512606</v>
      </c>
      <c r="O127" s="3">
        <f t="shared" si="8"/>
        <v>1402.2402319814955</v>
      </c>
      <c r="P127" s="3">
        <f t="shared" si="4"/>
        <v>726.96852306976507</v>
      </c>
      <c r="Q127" s="3">
        <f t="shared" si="9"/>
        <v>305216.35481834743</v>
      </c>
    </row>
    <row r="128" spans="13:17" ht="14.25" customHeight="1">
      <c r="M128" s="1">
        <f t="shared" si="7"/>
        <v>127</v>
      </c>
      <c r="N128" s="3">
        <f t="shared" si="3"/>
        <v>2129.2087550512606</v>
      </c>
      <c r="O128" s="3">
        <f t="shared" si="8"/>
        <v>1398.9082929174258</v>
      </c>
      <c r="P128" s="3">
        <f t="shared" si="4"/>
        <v>730.3004621338348</v>
      </c>
      <c r="Q128" s="3">
        <f t="shared" si="9"/>
        <v>304486.0543562136</v>
      </c>
    </row>
    <row r="129" spans="13:17" ht="14.25" customHeight="1">
      <c r="M129" s="1">
        <f t="shared" si="7"/>
        <v>128</v>
      </c>
      <c r="N129" s="3">
        <f t="shared" si="3"/>
        <v>2129.2087550512606</v>
      </c>
      <c r="O129" s="3">
        <f t="shared" si="8"/>
        <v>1395.5610824659789</v>
      </c>
      <c r="P129" s="3">
        <f t="shared" si="4"/>
        <v>733.64767258528173</v>
      </c>
      <c r="Q129" s="3">
        <f t="shared" si="9"/>
        <v>303752.40668362833</v>
      </c>
    </row>
    <row r="130" spans="13:17" ht="14.25" customHeight="1">
      <c r="M130" s="1">
        <f t="shared" si="7"/>
        <v>129</v>
      </c>
      <c r="N130" s="3">
        <f t="shared" si="3"/>
        <v>2129.2087550512606</v>
      </c>
      <c r="O130" s="3">
        <f t="shared" si="8"/>
        <v>1392.1985306332965</v>
      </c>
      <c r="P130" s="3">
        <f t="shared" si="4"/>
        <v>737.01022441796408</v>
      </c>
      <c r="Q130" s="3">
        <f t="shared" si="9"/>
        <v>303015.39645921037</v>
      </c>
    </row>
    <row r="131" spans="13:17" ht="14.25" customHeight="1">
      <c r="M131" s="1">
        <f t="shared" si="7"/>
        <v>130</v>
      </c>
      <c r="N131" s="3">
        <f t="shared" si="3"/>
        <v>2129.2087550512606</v>
      </c>
      <c r="O131" s="3">
        <f t="shared" si="8"/>
        <v>1388.8205671047142</v>
      </c>
      <c r="P131" s="3">
        <f t="shared" si="4"/>
        <v>740.3881879465464</v>
      </c>
      <c r="Q131" s="3">
        <f t="shared" si="9"/>
        <v>302275.00827126385</v>
      </c>
    </row>
    <row r="132" spans="13:17" ht="14.25" customHeight="1">
      <c r="M132" s="1">
        <f t="shared" si="7"/>
        <v>131</v>
      </c>
      <c r="N132" s="3">
        <f t="shared" si="3"/>
        <v>2129.2087550512606</v>
      </c>
      <c r="O132" s="3">
        <f t="shared" si="8"/>
        <v>1385.4271212432925</v>
      </c>
      <c r="P132" s="3">
        <f t="shared" si="4"/>
        <v>743.78163380796809</v>
      </c>
      <c r="Q132" s="3">
        <f t="shared" si="9"/>
        <v>301531.22663745587</v>
      </c>
    </row>
    <row r="133" spans="13:17" ht="14.25" customHeight="1">
      <c r="M133" s="1">
        <f t="shared" si="7"/>
        <v>132</v>
      </c>
      <c r="N133" s="3">
        <f t="shared" si="3"/>
        <v>2129.2087550512606</v>
      </c>
      <c r="O133" s="3">
        <f t="shared" si="8"/>
        <v>1382.0181220883394</v>
      </c>
      <c r="P133" s="3">
        <f t="shared" si="4"/>
        <v>747.1906329629212</v>
      </c>
      <c r="Q133" s="3">
        <f t="shared" si="9"/>
        <v>300784.03600449295</v>
      </c>
    </row>
    <row r="134" spans="13:17" ht="14.25" customHeight="1">
      <c r="M134" s="1">
        <f t="shared" si="7"/>
        <v>133</v>
      </c>
      <c r="N134" s="3">
        <f t="shared" si="3"/>
        <v>2129.2087550512606</v>
      </c>
      <c r="O134" s="3">
        <f t="shared" si="8"/>
        <v>1378.5934983539262</v>
      </c>
      <c r="P134" s="3">
        <f t="shared" si="4"/>
        <v>750.61525669733442</v>
      </c>
      <c r="Q134" s="3">
        <f t="shared" si="9"/>
        <v>300033.42074779561</v>
      </c>
    </row>
    <row r="135" spans="13:17" ht="14.25" customHeight="1">
      <c r="M135" s="1">
        <f t="shared" si="7"/>
        <v>134</v>
      </c>
      <c r="N135" s="3">
        <f t="shared" si="3"/>
        <v>2129.2087550512606</v>
      </c>
      <c r="O135" s="3">
        <f t="shared" si="8"/>
        <v>1375.1531784273966</v>
      </c>
      <c r="P135" s="3">
        <f t="shared" si="4"/>
        <v>754.055576623864</v>
      </c>
      <c r="Q135" s="3">
        <f t="shared" si="9"/>
        <v>299279.36517117172</v>
      </c>
    </row>
    <row r="136" spans="13:17" ht="14.25" customHeight="1">
      <c r="M136" s="1">
        <f t="shared" si="7"/>
        <v>135</v>
      </c>
      <c r="N136" s="3">
        <f t="shared" si="3"/>
        <v>2129.2087550512606</v>
      </c>
      <c r="O136" s="3">
        <f t="shared" si="8"/>
        <v>1371.6970903678705</v>
      </c>
      <c r="P136" s="3">
        <f t="shared" si="4"/>
        <v>757.51166468339011</v>
      </c>
      <c r="Q136" s="3">
        <f t="shared" si="9"/>
        <v>298521.85350648832</v>
      </c>
    </row>
    <row r="137" spans="13:17" ht="14.25" customHeight="1">
      <c r="M137" s="1">
        <f t="shared" si="7"/>
        <v>136</v>
      </c>
      <c r="N137" s="3">
        <f t="shared" si="3"/>
        <v>2129.2087550512606</v>
      </c>
      <c r="O137" s="3">
        <f t="shared" si="8"/>
        <v>1368.2251619047381</v>
      </c>
      <c r="P137" s="3">
        <f t="shared" si="4"/>
        <v>760.98359314652248</v>
      </c>
      <c r="Q137" s="3">
        <f t="shared" si="9"/>
        <v>297760.86991334177</v>
      </c>
    </row>
    <row r="138" spans="13:17" ht="14.25" customHeight="1">
      <c r="M138" s="1">
        <f t="shared" si="7"/>
        <v>137</v>
      </c>
      <c r="N138" s="3">
        <f t="shared" si="3"/>
        <v>2129.2087550512606</v>
      </c>
      <c r="O138" s="3">
        <f t="shared" si="8"/>
        <v>1364.7373204361497</v>
      </c>
      <c r="P138" s="3">
        <f t="shared" si="4"/>
        <v>764.47143461511087</v>
      </c>
      <c r="Q138" s="3">
        <f t="shared" si="9"/>
        <v>296996.39847872668</v>
      </c>
    </row>
    <row r="139" spans="13:17" ht="14.25" customHeight="1">
      <c r="M139" s="1">
        <f t="shared" si="7"/>
        <v>138</v>
      </c>
      <c r="N139" s="3">
        <f t="shared" si="3"/>
        <v>2129.2087550512606</v>
      </c>
      <c r="O139" s="3">
        <f t="shared" si="8"/>
        <v>1361.2334930274972</v>
      </c>
      <c r="P139" s="3">
        <f t="shared" si="4"/>
        <v>767.97526202376343</v>
      </c>
      <c r="Q139" s="3">
        <f t="shared" si="9"/>
        <v>296228.42321670294</v>
      </c>
    </row>
    <row r="140" spans="13:17" ht="14.25" customHeight="1">
      <c r="M140" s="1">
        <f t="shared" si="7"/>
        <v>139</v>
      </c>
      <c r="N140" s="3">
        <f t="shared" si="3"/>
        <v>2129.2087550512606</v>
      </c>
      <c r="O140" s="3">
        <f t="shared" si="8"/>
        <v>1357.7136064098884</v>
      </c>
      <c r="P140" s="3">
        <f t="shared" si="4"/>
        <v>771.49514864137223</v>
      </c>
      <c r="Q140" s="3">
        <f t="shared" si="9"/>
        <v>295456.92806806159</v>
      </c>
    </row>
    <row r="141" spans="13:17" ht="14.25" customHeight="1">
      <c r="M141" s="1">
        <f t="shared" si="7"/>
        <v>140</v>
      </c>
      <c r="N141" s="3">
        <f t="shared" si="3"/>
        <v>2129.2087550512606</v>
      </c>
      <c r="O141" s="3">
        <f t="shared" si="8"/>
        <v>1354.1775869786156</v>
      </c>
      <c r="P141" s="3">
        <f t="shared" si="4"/>
        <v>775.03116807264496</v>
      </c>
      <c r="Q141" s="3">
        <f t="shared" si="9"/>
        <v>294681.89689998893</v>
      </c>
    </row>
    <row r="142" spans="13:17" ht="14.25" customHeight="1">
      <c r="M142" s="1">
        <f t="shared" si="7"/>
        <v>141</v>
      </c>
      <c r="N142" s="3">
        <f t="shared" si="3"/>
        <v>2129.2087550512606</v>
      </c>
      <c r="O142" s="3">
        <f t="shared" si="8"/>
        <v>1350.625360791616</v>
      </c>
      <c r="P142" s="3">
        <f t="shared" si="4"/>
        <v>778.58339425964459</v>
      </c>
      <c r="Q142" s="3">
        <f t="shared" si="9"/>
        <v>293903.31350572931</v>
      </c>
    </row>
    <row r="143" spans="13:17" ht="14.25" customHeight="1">
      <c r="M143" s="1">
        <f t="shared" si="7"/>
        <v>142</v>
      </c>
      <c r="N143" s="3">
        <f t="shared" si="3"/>
        <v>2129.2087550512606</v>
      </c>
      <c r="O143" s="3">
        <f t="shared" si="8"/>
        <v>1347.0568535679261</v>
      </c>
      <c r="P143" s="3">
        <f t="shared" si="4"/>
        <v>782.15190148333454</v>
      </c>
      <c r="Q143" s="3">
        <f t="shared" si="9"/>
        <v>293121.16160424595</v>
      </c>
    </row>
    <row r="144" spans="13:17" ht="14.25" customHeight="1">
      <c r="M144" s="1">
        <f t="shared" si="7"/>
        <v>143</v>
      </c>
      <c r="N144" s="3">
        <f t="shared" si="3"/>
        <v>2129.2087550512606</v>
      </c>
      <c r="O144" s="3">
        <f t="shared" si="8"/>
        <v>1343.4719906861271</v>
      </c>
      <c r="P144" s="3">
        <f t="shared" si="4"/>
        <v>785.73676436513347</v>
      </c>
      <c r="Q144" s="3">
        <f t="shared" si="9"/>
        <v>292335.42483988084</v>
      </c>
    </row>
    <row r="145" spans="13:17" ht="14.25" customHeight="1">
      <c r="M145" s="1">
        <f t="shared" si="7"/>
        <v>144</v>
      </c>
      <c r="N145" s="3">
        <f t="shared" si="3"/>
        <v>2129.2087550512606</v>
      </c>
      <c r="O145" s="3">
        <f t="shared" si="8"/>
        <v>1339.8706971827871</v>
      </c>
      <c r="P145" s="3">
        <f t="shared" si="4"/>
        <v>789.33805786847347</v>
      </c>
      <c r="Q145" s="3">
        <f t="shared" si="9"/>
        <v>291546.08678201237</v>
      </c>
    </row>
    <row r="146" spans="13:17" ht="14.25" customHeight="1">
      <c r="M146" s="1">
        <f t="shared" si="7"/>
        <v>145</v>
      </c>
      <c r="N146" s="3">
        <f t="shared" si="3"/>
        <v>2129.2087550512606</v>
      </c>
      <c r="O146" s="3">
        <f t="shared" si="8"/>
        <v>1336.25289775089</v>
      </c>
      <c r="P146" s="3">
        <f t="shared" si="4"/>
        <v>792.95585730037055</v>
      </c>
      <c r="Q146" s="3">
        <f t="shared" si="9"/>
        <v>290753.13092471199</v>
      </c>
    </row>
    <row r="147" spans="13:17" ht="14.25" customHeight="1">
      <c r="M147" s="1">
        <f t="shared" si="7"/>
        <v>146</v>
      </c>
      <c r="N147" s="3">
        <f t="shared" si="3"/>
        <v>2129.2087550512606</v>
      </c>
      <c r="O147" s="3">
        <f t="shared" si="8"/>
        <v>1332.6185167382635</v>
      </c>
      <c r="P147" s="3">
        <f t="shared" si="4"/>
        <v>796.59023831299714</v>
      </c>
      <c r="Q147" s="3">
        <f t="shared" si="9"/>
        <v>289956.54068639898</v>
      </c>
    </row>
    <row r="148" spans="13:17" ht="14.25" customHeight="1">
      <c r="M148" s="1">
        <f t="shared" si="7"/>
        <v>147</v>
      </c>
      <c r="N148" s="3">
        <f t="shared" si="3"/>
        <v>2129.2087550512606</v>
      </c>
      <c r="O148" s="3">
        <f t="shared" si="8"/>
        <v>1328.9674781459953</v>
      </c>
      <c r="P148" s="3">
        <f t="shared" si="4"/>
        <v>800.24127690526529</v>
      </c>
      <c r="Q148" s="3">
        <f t="shared" si="9"/>
        <v>289156.29940949369</v>
      </c>
    </row>
    <row r="149" spans="13:17" ht="14.25" customHeight="1">
      <c r="M149" s="1">
        <f t="shared" si="7"/>
        <v>148</v>
      </c>
      <c r="N149" s="3">
        <f t="shared" si="3"/>
        <v>2129.2087550512606</v>
      </c>
      <c r="O149" s="3">
        <f t="shared" si="8"/>
        <v>1325.2997056268462</v>
      </c>
      <c r="P149" s="3">
        <f t="shared" si="4"/>
        <v>803.90904942441443</v>
      </c>
      <c r="Q149" s="3">
        <f t="shared" si="9"/>
        <v>288352.39036006929</v>
      </c>
    </row>
    <row r="150" spans="13:17" ht="14.25" customHeight="1">
      <c r="M150" s="1">
        <f t="shared" si="7"/>
        <v>149</v>
      </c>
      <c r="N150" s="3">
        <f t="shared" si="3"/>
        <v>2129.2087550512606</v>
      </c>
      <c r="O150" s="3">
        <f t="shared" si="8"/>
        <v>1321.615122483651</v>
      </c>
      <c r="P150" s="3">
        <f t="shared" si="4"/>
        <v>807.59363256760957</v>
      </c>
      <c r="Q150" s="3">
        <f t="shared" si="9"/>
        <v>287544.79672750167</v>
      </c>
    </row>
    <row r="151" spans="13:17" ht="14.25" customHeight="1">
      <c r="M151" s="1">
        <f t="shared" si="7"/>
        <v>150</v>
      </c>
      <c r="N151" s="3">
        <f t="shared" si="3"/>
        <v>2129.2087550512606</v>
      </c>
      <c r="O151" s="3">
        <f t="shared" si="8"/>
        <v>1317.9136516677161</v>
      </c>
      <c r="P151" s="3">
        <f t="shared" si="4"/>
        <v>811.29510338354453</v>
      </c>
      <c r="Q151" s="3">
        <f t="shared" si="9"/>
        <v>286733.50162411813</v>
      </c>
    </row>
    <row r="152" spans="13:17" ht="14.25" customHeight="1">
      <c r="M152" s="1">
        <f t="shared" si="7"/>
        <v>151</v>
      </c>
      <c r="N152" s="3">
        <f t="shared" si="3"/>
        <v>2129.2087550512606</v>
      </c>
      <c r="O152" s="3">
        <f t="shared" si="8"/>
        <v>1314.1952157772082</v>
      </c>
      <c r="P152" s="3">
        <f t="shared" si="4"/>
        <v>815.01353927405239</v>
      </c>
      <c r="Q152" s="3">
        <f t="shared" si="9"/>
        <v>285918.48808484408</v>
      </c>
    </row>
    <row r="153" spans="13:17" ht="14.25" customHeight="1">
      <c r="M153" s="1">
        <f t="shared" si="7"/>
        <v>152</v>
      </c>
      <c r="N153" s="3">
        <f t="shared" si="3"/>
        <v>2129.2087550512606</v>
      </c>
      <c r="O153" s="3">
        <f t="shared" si="8"/>
        <v>1310.4597370555355</v>
      </c>
      <c r="P153" s="3">
        <f t="shared" si="4"/>
        <v>818.74901799572513</v>
      </c>
      <c r="Q153" s="3">
        <f t="shared" si="9"/>
        <v>285099.73906684836</v>
      </c>
    </row>
    <row r="154" spans="13:17" ht="14.25" customHeight="1">
      <c r="M154" s="1">
        <f t="shared" si="7"/>
        <v>153</v>
      </c>
      <c r="N154" s="3">
        <f t="shared" si="3"/>
        <v>2129.2087550512606</v>
      </c>
      <c r="O154" s="3">
        <f t="shared" si="8"/>
        <v>1306.7071373897218</v>
      </c>
      <c r="P154" s="3">
        <f t="shared" si="4"/>
        <v>822.50161766153883</v>
      </c>
      <c r="Q154" s="3">
        <f t="shared" si="9"/>
        <v>284277.2374491868</v>
      </c>
    </row>
    <row r="155" spans="13:17" ht="14.25" customHeight="1">
      <c r="M155" s="1">
        <f t="shared" si="7"/>
        <v>154</v>
      </c>
      <c r="N155" s="3">
        <f t="shared" si="3"/>
        <v>2129.2087550512606</v>
      </c>
      <c r="O155" s="3">
        <f t="shared" si="8"/>
        <v>1302.937338308773</v>
      </c>
      <c r="P155" s="3">
        <f t="shared" si="4"/>
        <v>826.27141674248765</v>
      </c>
      <c r="Q155" s="3">
        <f t="shared" si="9"/>
        <v>283450.96603244432</v>
      </c>
    </row>
    <row r="156" spans="13:17" ht="14.25" customHeight="1">
      <c r="M156" s="1">
        <f t="shared" si="7"/>
        <v>155</v>
      </c>
      <c r="N156" s="3">
        <f t="shared" si="3"/>
        <v>2129.2087550512606</v>
      </c>
      <c r="O156" s="3">
        <f t="shared" si="8"/>
        <v>1299.1502609820366</v>
      </c>
      <c r="P156" s="3">
        <f t="shared" si="4"/>
        <v>830.05849406922403</v>
      </c>
      <c r="Q156" s="3">
        <f t="shared" si="9"/>
        <v>282620.90753837512</v>
      </c>
    </row>
    <row r="157" spans="13:17" ht="14.25" customHeight="1">
      <c r="M157" s="1">
        <f t="shared" si="7"/>
        <v>156</v>
      </c>
      <c r="N157" s="3">
        <f t="shared" si="3"/>
        <v>2129.2087550512606</v>
      </c>
      <c r="O157" s="3">
        <f t="shared" si="8"/>
        <v>1295.3458262175525</v>
      </c>
      <c r="P157" s="3">
        <f t="shared" si="4"/>
        <v>833.86292883370811</v>
      </c>
      <c r="Q157" s="3">
        <f t="shared" si="9"/>
        <v>281787.04460954142</v>
      </c>
    </row>
    <row r="158" spans="13:17" ht="14.25" customHeight="1">
      <c r="M158" s="1">
        <f t="shared" si="7"/>
        <v>157</v>
      </c>
      <c r="N158" s="3">
        <f t="shared" si="3"/>
        <v>2129.2087550512606</v>
      </c>
      <c r="O158" s="3">
        <f t="shared" si="8"/>
        <v>1291.523954460398</v>
      </c>
      <c r="P158" s="3">
        <f t="shared" si="4"/>
        <v>837.68480059086255</v>
      </c>
      <c r="Q158" s="3">
        <f t="shared" si="9"/>
        <v>280949.35980895057</v>
      </c>
    </row>
    <row r="159" spans="13:17" ht="14.25" customHeight="1">
      <c r="M159" s="1">
        <f t="shared" si="7"/>
        <v>158</v>
      </c>
      <c r="N159" s="3">
        <f t="shared" si="3"/>
        <v>2129.2087550512606</v>
      </c>
      <c r="O159" s="3">
        <f t="shared" si="8"/>
        <v>1287.6845657910235</v>
      </c>
      <c r="P159" s="3">
        <f t="shared" si="4"/>
        <v>841.52418926023711</v>
      </c>
      <c r="Q159" s="3">
        <f t="shared" si="9"/>
        <v>280107.8356196903</v>
      </c>
    </row>
    <row r="160" spans="13:17" ht="14.25" customHeight="1">
      <c r="M160" s="1">
        <f t="shared" si="7"/>
        <v>159</v>
      </c>
      <c r="N160" s="3">
        <f t="shared" si="3"/>
        <v>2129.2087550512606</v>
      </c>
      <c r="O160" s="3">
        <f t="shared" si="8"/>
        <v>1283.8275799235805</v>
      </c>
      <c r="P160" s="3">
        <f t="shared" si="4"/>
        <v>845.38117512768008</v>
      </c>
      <c r="Q160" s="3">
        <f t="shared" si="9"/>
        <v>279262.45444456261</v>
      </c>
    </row>
    <row r="161" spans="13:17" ht="14.25" customHeight="1">
      <c r="M161" s="1">
        <f t="shared" si="7"/>
        <v>160</v>
      </c>
      <c r="N161" s="3">
        <f t="shared" si="3"/>
        <v>2129.2087550512606</v>
      </c>
      <c r="O161" s="3">
        <f t="shared" si="8"/>
        <v>1279.9529162042452</v>
      </c>
      <c r="P161" s="3">
        <f t="shared" si="4"/>
        <v>849.25583884701541</v>
      </c>
      <c r="Q161" s="3">
        <f t="shared" si="9"/>
        <v>278413.19860571559</v>
      </c>
    </row>
    <row r="162" spans="13:17" ht="14.25" customHeight="1">
      <c r="M162" s="1">
        <f t="shared" si="7"/>
        <v>161</v>
      </c>
      <c r="N162" s="3">
        <f t="shared" si="3"/>
        <v>2129.2087550512606</v>
      </c>
      <c r="O162" s="3">
        <f t="shared" si="8"/>
        <v>1276.0604936095299</v>
      </c>
      <c r="P162" s="3">
        <f t="shared" si="4"/>
        <v>853.14826144173071</v>
      </c>
      <c r="Q162" s="3">
        <f t="shared" si="9"/>
        <v>277560.05034427386</v>
      </c>
    </row>
    <row r="163" spans="13:17" ht="14.25" customHeight="1">
      <c r="M163" s="1">
        <f t="shared" si="7"/>
        <v>162</v>
      </c>
      <c r="N163" s="3">
        <f t="shared" si="3"/>
        <v>2129.2087550512606</v>
      </c>
      <c r="O163" s="3">
        <f t="shared" si="8"/>
        <v>1272.1502307445885</v>
      </c>
      <c r="P163" s="3">
        <f t="shared" si="4"/>
        <v>857.0585243066721</v>
      </c>
      <c r="Q163" s="3">
        <f t="shared" si="9"/>
        <v>276702.99181996717</v>
      </c>
    </row>
    <row r="164" spans="13:17" ht="14.25" customHeight="1">
      <c r="M164" s="1">
        <f t="shared" si="7"/>
        <v>163</v>
      </c>
      <c r="N164" s="3">
        <f t="shared" si="3"/>
        <v>2129.2087550512606</v>
      </c>
      <c r="O164" s="3">
        <f t="shared" si="8"/>
        <v>1268.2220458415161</v>
      </c>
      <c r="P164" s="3">
        <f t="shared" si="4"/>
        <v>860.9867092097445</v>
      </c>
      <c r="Q164" s="3">
        <f t="shared" si="9"/>
        <v>275842.00511075743</v>
      </c>
    </row>
    <row r="165" spans="13:17" ht="14.25" customHeight="1">
      <c r="M165" s="1">
        <f t="shared" si="7"/>
        <v>164</v>
      </c>
      <c r="N165" s="3">
        <f t="shared" si="3"/>
        <v>2129.2087550512606</v>
      </c>
      <c r="O165" s="3">
        <f t="shared" si="8"/>
        <v>1264.2758567576382</v>
      </c>
      <c r="P165" s="3">
        <f t="shared" si="4"/>
        <v>864.93289829362243</v>
      </c>
      <c r="Q165" s="3">
        <f t="shared" si="9"/>
        <v>274977.07221246383</v>
      </c>
    </row>
    <row r="166" spans="13:17" ht="14.25" customHeight="1">
      <c r="M166" s="1">
        <f t="shared" si="7"/>
        <v>165</v>
      </c>
      <c r="N166" s="3">
        <f t="shared" si="3"/>
        <v>2129.2087550512606</v>
      </c>
      <c r="O166" s="3">
        <f t="shared" si="8"/>
        <v>1260.3115809737926</v>
      </c>
      <c r="P166" s="3">
        <f t="shared" si="4"/>
        <v>868.89717407746798</v>
      </c>
      <c r="Q166" s="3">
        <f t="shared" si="9"/>
        <v>274108.17503838637</v>
      </c>
    </row>
    <row r="167" spans="13:17" ht="14.25" customHeight="1">
      <c r="M167" s="1">
        <f t="shared" si="7"/>
        <v>166</v>
      </c>
      <c r="N167" s="3">
        <f t="shared" si="3"/>
        <v>2129.2087550512606</v>
      </c>
      <c r="O167" s="3">
        <f t="shared" si="8"/>
        <v>1256.3291355926042</v>
      </c>
      <c r="P167" s="3">
        <f t="shared" si="4"/>
        <v>872.87961945865641</v>
      </c>
      <c r="Q167" s="3">
        <f t="shared" si="9"/>
        <v>273235.29541892774</v>
      </c>
    </row>
    <row r="168" spans="13:17" ht="14.25" customHeight="1">
      <c r="M168" s="1">
        <f t="shared" si="7"/>
        <v>167</v>
      </c>
      <c r="N168" s="3">
        <f t="shared" si="3"/>
        <v>2129.2087550512606</v>
      </c>
      <c r="O168" s="3">
        <f t="shared" si="8"/>
        <v>1252.3284373367521</v>
      </c>
      <c r="P168" s="3">
        <f t="shared" si="4"/>
        <v>876.88031771450846</v>
      </c>
      <c r="Q168" s="3">
        <f t="shared" si="9"/>
        <v>272358.41510121321</v>
      </c>
    </row>
    <row r="169" spans="13:17" ht="14.25" customHeight="1">
      <c r="M169" s="1">
        <f t="shared" si="7"/>
        <v>168</v>
      </c>
      <c r="N169" s="3">
        <f t="shared" si="3"/>
        <v>2129.2087550512606</v>
      </c>
      <c r="O169" s="3">
        <f t="shared" si="8"/>
        <v>1248.3094025472271</v>
      </c>
      <c r="P169" s="3">
        <f t="shared" si="4"/>
        <v>880.89935250403346</v>
      </c>
      <c r="Q169" s="3">
        <f t="shared" si="9"/>
        <v>271477.51574870915</v>
      </c>
    </row>
    <row r="170" spans="13:17" ht="14.25" customHeight="1">
      <c r="M170" s="1">
        <f t="shared" si="7"/>
        <v>169</v>
      </c>
      <c r="N170" s="3">
        <f t="shared" si="3"/>
        <v>2129.2087550512606</v>
      </c>
      <c r="O170" s="3">
        <f t="shared" si="8"/>
        <v>1244.2719471815838</v>
      </c>
      <c r="P170" s="3">
        <f t="shared" si="4"/>
        <v>884.93680786967684</v>
      </c>
      <c r="Q170" s="3">
        <f t="shared" si="9"/>
        <v>270592.57894083945</v>
      </c>
    </row>
    <row r="171" spans="13:17" ht="14.25" customHeight="1">
      <c r="M171" s="1">
        <f t="shared" si="7"/>
        <v>170</v>
      </c>
      <c r="N171" s="3">
        <f t="shared" si="3"/>
        <v>2129.2087550512606</v>
      </c>
      <c r="O171" s="3">
        <f t="shared" si="8"/>
        <v>1240.2159868121807</v>
      </c>
      <c r="P171" s="3">
        <f t="shared" si="4"/>
        <v>888.99276823907985</v>
      </c>
      <c r="Q171" s="3">
        <f t="shared" si="9"/>
        <v>269703.58617260039</v>
      </c>
    </row>
    <row r="172" spans="13:17" ht="14.25" customHeight="1">
      <c r="M172" s="1">
        <f t="shared" si="7"/>
        <v>171</v>
      </c>
      <c r="N172" s="3">
        <f t="shared" si="3"/>
        <v>2129.2087550512606</v>
      </c>
      <c r="O172" s="3">
        <f t="shared" si="8"/>
        <v>1236.1414366244185</v>
      </c>
      <c r="P172" s="3">
        <f t="shared" si="4"/>
        <v>893.06731842684212</v>
      </c>
      <c r="Q172" s="3">
        <f t="shared" si="9"/>
        <v>268810.51885417354</v>
      </c>
    </row>
    <row r="173" spans="13:17" ht="14.25" customHeight="1">
      <c r="M173" s="1">
        <f t="shared" si="7"/>
        <v>172</v>
      </c>
      <c r="N173" s="3">
        <f t="shared" si="3"/>
        <v>2129.2087550512606</v>
      </c>
      <c r="O173" s="3">
        <f t="shared" si="8"/>
        <v>1232.048211414962</v>
      </c>
      <c r="P173" s="3">
        <f t="shared" si="4"/>
        <v>897.1605436362986</v>
      </c>
      <c r="Q173" s="3">
        <f t="shared" si="9"/>
        <v>267913.35831053724</v>
      </c>
    </row>
    <row r="174" spans="13:17" ht="14.25" customHeight="1">
      <c r="M174" s="1">
        <f t="shared" si="7"/>
        <v>173</v>
      </c>
      <c r="N174" s="3">
        <f t="shared" si="3"/>
        <v>2129.2087550512606</v>
      </c>
      <c r="O174" s="3">
        <f t="shared" si="8"/>
        <v>1227.9362255899623</v>
      </c>
      <c r="P174" s="3">
        <f t="shared" si="4"/>
        <v>901.27252946129829</v>
      </c>
      <c r="Q174" s="3">
        <f t="shared" si="9"/>
        <v>267012.08578107593</v>
      </c>
    </row>
    <row r="175" spans="13:17" ht="14.25" customHeight="1">
      <c r="M175" s="1">
        <f t="shared" si="7"/>
        <v>174</v>
      </c>
      <c r="N175" s="3">
        <f t="shared" si="3"/>
        <v>2129.2087550512606</v>
      </c>
      <c r="O175" s="3">
        <f t="shared" si="8"/>
        <v>1223.8053931632646</v>
      </c>
      <c r="P175" s="3">
        <f t="shared" si="4"/>
        <v>905.40336188799597</v>
      </c>
      <c r="Q175" s="3">
        <f t="shared" si="9"/>
        <v>266106.68241918791</v>
      </c>
    </row>
    <row r="176" spans="13:17" ht="14.25" customHeight="1">
      <c r="M176" s="1">
        <f t="shared" si="7"/>
        <v>175</v>
      </c>
      <c r="N176" s="3">
        <f t="shared" si="3"/>
        <v>2129.2087550512606</v>
      </c>
      <c r="O176" s="3">
        <f t="shared" si="8"/>
        <v>1219.6556277546113</v>
      </c>
      <c r="P176" s="3">
        <f t="shared" si="4"/>
        <v>909.55312729664934</v>
      </c>
      <c r="Q176" s="3">
        <f t="shared" si="9"/>
        <v>265197.12929189124</v>
      </c>
    </row>
    <row r="177" spans="13:17" ht="14.25" customHeight="1">
      <c r="M177" s="1">
        <f t="shared" si="7"/>
        <v>176</v>
      </c>
      <c r="N177" s="3">
        <f t="shared" si="3"/>
        <v>2129.2087550512606</v>
      </c>
      <c r="O177" s="3">
        <f t="shared" si="8"/>
        <v>1215.4868425878349</v>
      </c>
      <c r="P177" s="3">
        <f t="shared" si="4"/>
        <v>913.72191246342572</v>
      </c>
      <c r="Q177" s="3">
        <f t="shared" si="9"/>
        <v>264283.40737942781</v>
      </c>
    </row>
    <row r="178" spans="13:17" ht="14.25" customHeight="1">
      <c r="M178" s="1">
        <f t="shared" si="7"/>
        <v>177</v>
      </c>
      <c r="N178" s="3">
        <f t="shared" si="3"/>
        <v>2129.2087550512606</v>
      </c>
      <c r="O178" s="3">
        <f t="shared" si="8"/>
        <v>1211.298950489044</v>
      </c>
      <c r="P178" s="3">
        <f t="shared" si="4"/>
        <v>917.90980456221655</v>
      </c>
      <c r="Q178" s="3">
        <f t="shared" si="9"/>
        <v>263365.49757486559</v>
      </c>
    </row>
    <row r="179" spans="13:17" ht="14.25" customHeight="1">
      <c r="M179" s="1">
        <f t="shared" si="7"/>
        <v>178</v>
      </c>
      <c r="N179" s="3">
        <f t="shared" si="3"/>
        <v>2129.2087550512606</v>
      </c>
      <c r="O179" s="3">
        <f t="shared" si="8"/>
        <v>1207.0918638848007</v>
      </c>
      <c r="P179" s="3">
        <f t="shared" si="4"/>
        <v>922.11689116645994</v>
      </c>
      <c r="Q179" s="3">
        <f t="shared" si="9"/>
        <v>262443.3806836991</v>
      </c>
    </row>
    <row r="180" spans="13:17" ht="14.25" customHeight="1">
      <c r="M180" s="1">
        <f t="shared" si="7"/>
        <v>179</v>
      </c>
      <c r="N180" s="3">
        <f t="shared" si="3"/>
        <v>2129.2087550512606</v>
      </c>
      <c r="O180" s="3">
        <f t="shared" si="8"/>
        <v>1202.8654948002875</v>
      </c>
      <c r="P180" s="3">
        <f t="shared" si="4"/>
        <v>926.34326025097312</v>
      </c>
      <c r="Q180" s="3">
        <f t="shared" si="9"/>
        <v>261517.03742344811</v>
      </c>
    </row>
    <row r="181" spans="13:17" ht="14.25" customHeight="1">
      <c r="M181" s="1">
        <f t="shared" si="7"/>
        <v>180</v>
      </c>
      <c r="N181" s="3">
        <f t="shared" si="3"/>
        <v>2129.2087550512606</v>
      </c>
      <c r="O181" s="3">
        <f t="shared" si="8"/>
        <v>1198.6197548574705</v>
      </c>
      <c r="P181" s="3">
        <f t="shared" si="4"/>
        <v>930.58900019379007</v>
      </c>
      <c r="Q181" s="3">
        <f t="shared" si="9"/>
        <v>260586.44842325433</v>
      </c>
    </row>
    <row r="182" spans="13:17" ht="14.25" customHeight="1">
      <c r="M182" s="1">
        <f t="shared" si="7"/>
        <v>181</v>
      </c>
      <c r="N182" s="3">
        <f t="shared" si="3"/>
        <v>2129.2087550512606</v>
      </c>
      <c r="O182" s="3">
        <f t="shared" si="8"/>
        <v>1194.3545552732492</v>
      </c>
      <c r="P182" s="3">
        <f t="shared" si="4"/>
        <v>934.85419977801143</v>
      </c>
      <c r="Q182" s="3">
        <f t="shared" si="9"/>
        <v>259651.59422347634</v>
      </c>
    </row>
    <row r="183" spans="13:17" ht="14.25" customHeight="1">
      <c r="M183" s="1">
        <f t="shared" si="7"/>
        <v>182</v>
      </c>
      <c r="N183" s="3">
        <f t="shared" si="3"/>
        <v>2129.2087550512606</v>
      </c>
      <c r="O183" s="3">
        <f t="shared" si="8"/>
        <v>1190.0698068575998</v>
      </c>
      <c r="P183" s="3">
        <f t="shared" si="4"/>
        <v>939.13894819366078</v>
      </c>
      <c r="Q183" s="3">
        <f t="shared" si="9"/>
        <v>258712.45527528267</v>
      </c>
    </row>
    <row r="184" spans="13:17" ht="14.25" customHeight="1">
      <c r="M184" s="1">
        <f t="shared" si="7"/>
        <v>183</v>
      </c>
      <c r="N184" s="3">
        <f t="shared" si="3"/>
        <v>2129.2087550512606</v>
      </c>
      <c r="O184" s="3">
        <f t="shared" si="8"/>
        <v>1185.7654200117122</v>
      </c>
      <c r="P184" s="3">
        <f t="shared" si="4"/>
        <v>943.4433350395484</v>
      </c>
      <c r="Q184" s="3">
        <f t="shared" si="9"/>
        <v>257769.01194024313</v>
      </c>
    </row>
    <row r="185" spans="13:17" ht="14.25" customHeight="1">
      <c r="M185" s="1">
        <f t="shared" si="7"/>
        <v>184</v>
      </c>
      <c r="N185" s="3">
        <f t="shared" si="3"/>
        <v>2129.2087550512606</v>
      </c>
      <c r="O185" s="3">
        <f t="shared" si="8"/>
        <v>1181.4413047261144</v>
      </c>
      <c r="P185" s="3">
        <f t="shared" si="4"/>
        <v>947.76745032514623</v>
      </c>
      <c r="Q185" s="3">
        <f t="shared" si="9"/>
        <v>256821.244489918</v>
      </c>
    </row>
    <row r="186" spans="13:17" ht="14.25" customHeight="1">
      <c r="M186" s="1">
        <f t="shared" si="7"/>
        <v>185</v>
      </c>
      <c r="N186" s="3">
        <f t="shared" si="3"/>
        <v>2129.2087550512606</v>
      </c>
      <c r="O186" s="3">
        <f t="shared" si="8"/>
        <v>1177.0973705787908</v>
      </c>
      <c r="P186" s="3">
        <f t="shared" si="4"/>
        <v>952.11138447246981</v>
      </c>
      <c r="Q186" s="3">
        <f t="shared" si="9"/>
        <v>255869.13310544554</v>
      </c>
    </row>
    <row r="187" spans="13:17" ht="14.25" customHeight="1">
      <c r="M187" s="1">
        <f t="shared" si="7"/>
        <v>186</v>
      </c>
      <c r="N187" s="3">
        <f t="shared" si="3"/>
        <v>2129.2087550512606</v>
      </c>
      <c r="O187" s="3">
        <f t="shared" si="8"/>
        <v>1172.7335267332921</v>
      </c>
      <c r="P187" s="3">
        <f t="shared" si="4"/>
        <v>956.47522831796846</v>
      </c>
      <c r="Q187" s="3">
        <f t="shared" si="9"/>
        <v>254912.65787712758</v>
      </c>
    </row>
    <row r="188" spans="13:17" ht="14.25" customHeight="1">
      <c r="M188" s="1">
        <f t="shared" si="7"/>
        <v>187</v>
      </c>
      <c r="N188" s="3">
        <f t="shared" si="3"/>
        <v>2129.2087550512606</v>
      </c>
      <c r="O188" s="3">
        <f t="shared" si="8"/>
        <v>1168.3496819368347</v>
      </c>
      <c r="P188" s="3">
        <f t="shared" si="4"/>
        <v>960.85907311442588</v>
      </c>
      <c r="Q188" s="3">
        <f t="shared" si="9"/>
        <v>253951.79880401315</v>
      </c>
    </row>
    <row r="189" spans="13:17" ht="14.25" customHeight="1">
      <c r="M189" s="1">
        <f t="shared" si="7"/>
        <v>188</v>
      </c>
      <c r="N189" s="3">
        <f t="shared" si="3"/>
        <v>2129.2087550512606</v>
      </c>
      <c r="O189" s="3">
        <f t="shared" si="8"/>
        <v>1163.9457445183937</v>
      </c>
      <c r="P189" s="3">
        <f t="shared" si="4"/>
        <v>965.26301053286693</v>
      </c>
      <c r="Q189" s="3">
        <f t="shared" si="9"/>
        <v>252986.53579348029</v>
      </c>
    </row>
    <row r="190" spans="13:17" ht="14.25" customHeight="1">
      <c r="M190" s="1">
        <f t="shared" si="7"/>
        <v>189</v>
      </c>
      <c r="N190" s="3">
        <f t="shared" si="3"/>
        <v>2129.2087550512606</v>
      </c>
      <c r="O190" s="3">
        <f t="shared" si="8"/>
        <v>1159.5216223867847</v>
      </c>
      <c r="P190" s="3">
        <f t="shared" si="4"/>
        <v>969.68713266447594</v>
      </c>
      <c r="Q190" s="3">
        <f t="shared" si="9"/>
        <v>252016.8486608158</v>
      </c>
    </row>
    <row r="191" spans="13:17" ht="14.25" customHeight="1">
      <c r="M191" s="1">
        <f t="shared" si="7"/>
        <v>190</v>
      </c>
      <c r="N191" s="3">
        <f t="shared" si="3"/>
        <v>2129.2087550512606</v>
      </c>
      <c r="O191" s="3">
        <f t="shared" si="8"/>
        <v>1155.0772230287391</v>
      </c>
      <c r="P191" s="3">
        <f t="shared" si="4"/>
        <v>974.13153202252147</v>
      </c>
      <c r="Q191" s="3">
        <f t="shared" si="9"/>
        <v>251042.71712879327</v>
      </c>
    </row>
    <row r="192" spans="13:17" ht="14.25" customHeight="1">
      <c r="M192" s="1">
        <f t="shared" si="7"/>
        <v>191</v>
      </c>
      <c r="N192" s="3">
        <f t="shared" si="3"/>
        <v>2129.2087550512606</v>
      </c>
      <c r="O192" s="3">
        <f t="shared" si="8"/>
        <v>1150.6124535069691</v>
      </c>
      <c r="P192" s="3">
        <f t="shared" si="4"/>
        <v>978.59630154429146</v>
      </c>
      <c r="Q192" s="3">
        <f t="shared" si="9"/>
        <v>250064.12082724899</v>
      </c>
    </row>
    <row r="193" spans="13:17" ht="14.25" customHeight="1">
      <c r="M193" s="1">
        <f t="shared" si="7"/>
        <v>192</v>
      </c>
      <c r="N193" s="3">
        <f t="shared" si="3"/>
        <v>2129.2087550512606</v>
      </c>
      <c r="O193" s="3">
        <f t="shared" si="8"/>
        <v>1146.1272204582244</v>
      </c>
      <c r="P193" s="3">
        <f t="shared" si="4"/>
        <v>983.08153459303617</v>
      </c>
      <c r="Q193" s="3">
        <f t="shared" si="9"/>
        <v>249081.03929265594</v>
      </c>
    </row>
    <row r="194" spans="13:17" ht="14.25" customHeight="1">
      <c r="M194" s="1">
        <f t="shared" si="7"/>
        <v>193</v>
      </c>
      <c r="N194" s="3">
        <f t="shared" si="3"/>
        <v>2129.2087550512606</v>
      </c>
      <c r="O194" s="3">
        <f t="shared" si="8"/>
        <v>1141.6214300913398</v>
      </c>
      <c r="P194" s="3">
        <f t="shared" si="4"/>
        <v>987.58732495992081</v>
      </c>
      <c r="Q194" s="3">
        <f t="shared" si="9"/>
        <v>248093.45196769602</v>
      </c>
    </row>
    <row r="195" spans="13:17" ht="14.25" customHeight="1">
      <c r="M195" s="1">
        <f t="shared" si="7"/>
        <v>194</v>
      </c>
      <c r="N195" s="3">
        <f t="shared" si="3"/>
        <v>2129.2087550512606</v>
      </c>
      <c r="O195" s="3">
        <f t="shared" si="8"/>
        <v>1137.0949881852735</v>
      </c>
      <c r="P195" s="3">
        <f t="shared" si="4"/>
        <v>992.11376686598715</v>
      </c>
      <c r="Q195" s="3">
        <f t="shared" si="9"/>
        <v>247101.33820083004</v>
      </c>
    </row>
    <row r="196" spans="13:17" ht="14.25" customHeight="1">
      <c r="M196" s="1">
        <f t="shared" si="7"/>
        <v>195</v>
      </c>
      <c r="N196" s="3">
        <f t="shared" si="3"/>
        <v>2129.2087550512606</v>
      </c>
      <c r="O196" s="3">
        <f t="shared" si="8"/>
        <v>1132.5478000871378</v>
      </c>
      <c r="P196" s="3">
        <f t="shared" si="4"/>
        <v>996.66095496412277</v>
      </c>
      <c r="Q196" s="3">
        <f t="shared" si="9"/>
        <v>246104.67724586593</v>
      </c>
    </row>
    <row r="197" spans="13:17" ht="14.25" customHeight="1">
      <c r="M197" s="1">
        <f t="shared" si="7"/>
        <v>196</v>
      </c>
      <c r="N197" s="3">
        <f t="shared" si="3"/>
        <v>2129.2087550512606</v>
      </c>
      <c r="O197" s="3">
        <f t="shared" si="8"/>
        <v>1127.9797707102189</v>
      </c>
      <c r="P197" s="3">
        <f t="shared" si="4"/>
        <v>1001.2289843410417</v>
      </c>
      <c r="Q197" s="3">
        <f t="shared" si="9"/>
        <v>245103.44826152487</v>
      </c>
    </row>
    <row r="198" spans="13:17" ht="14.25" customHeight="1">
      <c r="M198" s="1">
        <f t="shared" si="7"/>
        <v>197</v>
      </c>
      <c r="N198" s="3">
        <f t="shared" si="3"/>
        <v>2129.2087550512606</v>
      </c>
      <c r="O198" s="3">
        <f t="shared" si="8"/>
        <v>1123.390804531989</v>
      </c>
      <c r="P198" s="3">
        <f t="shared" si="4"/>
        <v>1005.8179505192716</v>
      </c>
      <c r="Q198" s="3">
        <f t="shared" si="9"/>
        <v>244097.6303110056</v>
      </c>
    </row>
    <row r="199" spans="13:17" ht="14.25" customHeight="1">
      <c r="M199" s="1">
        <f t="shared" si="7"/>
        <v>198</v>
      </c>
      <c r="N199" s="3">
        <f t="shared" si="3"/>
        <v>2129.2087550512606</v>
      </c>
      <c r="O199" s="3">
        <f t="shared" si="8"/>
        <v>1118.7808055921089</v>
      </c>
      <c r="P199" s="3">
        <f t="shared" si="4"/>
        <v>1010.4279494591517</v>
      </c>
      <c r="Q199" s="3">
        <f t="shared" si="9"/>
        <v>243087.20236154646</v>
      </c>
    </row>
    <row r="200" spans="13:17" ht="14.25" customHeight="1">
      <c r="M200" s="1">
        <f t="shared" si="7"/>
        <v>199</v>
      </c>
      <c r="N200" s="3">
        <f t="shared" si="3"/>
        <v>2129.2087550512606</v>
      </c>
      <c r="O200" s="3">
        <f t="shared" si="8"/>
        <v>1114.1496774904213</v>
      </c>
      <c r="P200" s="3">
        <f t="shared" si="4"/>
        <v>1015.0590775608393</v>
      </c>
      <c r="Q200" s="3">
        <f t="shared" si="9"/>
        <v>242072.14328398561</v>
      </c>
    </row>
    <row r="201" spans="13:17" ht="14.25" customHeight="1">
      <c r="M201" s="1">
        <f t="shared" si="7"/>
        <v>200</v>
      </c>
      <c r="N201" s="3">
        <f t="shared" si="3"/>
        <v>2129.2087550512606</v>
      </c>
      <c r="O201" s="3">
        <f t="shared" si="8"/>
        <v>1109.4973233849341</v>
      </c>
      <c r="P201" s="3">
        <f t="shared" si="4"/>
        <v>1019.7114316663265</v>
      </c>
      <c r="Q201" s="3">
        <f t="shared" si="9"/>
        <v>241052.43185231928</v>
      </c>
    </row>
    <row r="202" spans="13:17" ht="14.25" customHeight="1">
      <c r="M202" s="1">
        <f t="shared" si="7"/>
        <v>201</v>
      </c>
      <c r="N202" s="3">
        <f t="shared" si="3"/>
        <v>2129.2087550512606</v>
      </c>
      <c r="O202" s="3">
        <f t="shared" si="8"/>
        <v>1104.8236459897967</v>
      </c>
      <c r="P202" s="3">
        <f t="shared" si="4"/>
        <v>1024.3851090614639</v>
      </c>
      <c r="Q202" s="3">
        <f t="shared" si="9"/>
        <v>240028.04674325782</v>
      </c>
    </row>
    <row r="203" spans="13:17" ht="14.25" customHeight="1">
      <c r="M203" s="1">
        <f t="shared" si="7"/>
        <v>202</v>
      </c>
      <c r="N203" s="3">
        <f t="shared" si="3"/>
        <v>2129.2087550512606</v>
      </c>
      <c r="O203" s="3">
        <f t="shared" si="8"/>
        <v>1100.128547573265</v>
      </c>
      <c r="P203" s="3">
        <f t="shared" si="4"/>
        <v>1029.0802074779956</v>
      </c>
      <c r="Q203" s="3">
        <f t="shared" si="9"/>
        <v>238998.96653577982</v>
      </c>
    </row>
    <row r="204" spans="13:17" ht="14.25" customHeight="1">
      <c r="M204" s="1">
        <f t="shared" si="7"/>
        <v>203</v>
      </c>
      <c r="N204" s="3">
        <f t="shared" si="3"/>
        <v>2129.2087550512606</v>
      </c>
      <c r="O204" s="3">
        <f t="shared" si="8"/>
        <v>1095.4119299556576</v>
      </c>
      <c r="P204" s="3">
        <f t="shared" si="4"/>
        <v>1033.796825095603</v>
      </c>
      <c r="Q204" s="3">
        <f t="shared" si="9"/>
        <v>237965.16971068422</v>
      </c>
    </row>
    <row r="205" spans="13:17" ht="14.25" customHeight="1">
      <c r="M205" s="1">
        <f t="shared" si="7"/>
        <v>204</v>
      </c>
      <c r="N205" s="3">
        <f t="shared" si="3"/>
        <v>2129.2087550512606</v>
      </c>
      <c r="O205" s="3">
        <f t="shared" si="8"/>
        <v>1090.6736945073028</v>
      </c>
      <c r="P205" s="3">
        <f t="shared" si="4"/>
        <v>1038.5350605439578</v>
      </c>
      <c r="Q205" s="3">
        <f t="shared" si="9"/>
        <v>236926.63465014027</v>
      </c>
    </row>
    <row r="206" spans="13:17" ht="14.25" customHeight="1">
      <c r="M206" s="1">
        <f t="shared" si="7"/>
        <v>205</v>
      </c>
      <c r="N206" s="3">
        <f t="shared" si="3"/>
        <v>2129.2087550512606</v>
      </c>
      <c r="O206" s="3">
        <f t="shared" si="8"/>
        <v>1085.9137421464764</v>
      </c>
      <c r="P206" s="3">
        <f t="shared" si="4"/>
        <v>1043.2950129047842</v>
      </c>
      <c r="Q206" s="3">
        <f t="shared" si="9"/>
        <v>235883.33963723548</v>
      </c>
    </row>
    <row r="207" spans="13:17" ht="14.25" customHeight="1">
      <c r="M207" s="1">
        <f t="shared" si="7"/>
        <v>206</v>
      </c>
      <c r="N207" s="3">
        <f t="shared" si="3"/>
        <v>2129.2087550512606</v>
      </c>
      <c r="O207" s="3">
        <f t="shared" si="8"/>
        <v>1081.1319733373293</v>
      </c>
      <c r="P207" s="3">
        <f t="shared" si="4"/>
        <v>1048.0767817139313</v>
      </c>
      <c r="Q207" s="3">
        <f t="shared" si="9"/>
        <v>234835.26285552155</v>
      </c>
    </row>
    <row r="208" spans="13:17" ht="14.25" customHeight="1">
      <c r="M208" s="1">
        <f t="shared" si="7"/>
        <v>207</v>
      </c>
      <c r="N208" s="3">
        <f t="shared" si="3"/>
        <v>2129.2087550512606</v>
      </c>
      <c r="O208" s="3">
        <f t="shared" si="8"/>
        <v>1076.3282880878071</v>
      </c>
      <c r="P208" s="3">
        <f t="shared" si="4"/>
        <v>1052.8804669634535</v>
      </c>
      <c r="Q208" s="3">
        <f t="shared" si="9"/>
        <v>233782.38238855809</v>
      </c>
    </row>
    <row r="209" spans="13:17" ht="14.25" customHeight="1">
      <c r="M209" s="1">
        <f t="shared" si="7"/>
        <v>208</v>
      </c>
      <c r="N209" s="3">
        <f t="shared" si="3"/>
        <v>2129.2087550512606</v>
      </c>
      <c r="O209" s="3">
        <f t="shared" si="8"/>
        <v>1071.5025859475579</v>
      </c>
      <c r="P209" s="3">
        <f t="shared" si="4"/>
        <v>1057.7061691037027</v>
      </c>
      <c r="Q209" s="3">
        <f t="shared" si="9"/>
        <v>232724.67621945438</v>
      </c>
    </row>
    <row r="210" spans="13:17" ht="14.25" customHeight="1">
      <c r="M210" s="1">
        <f t="shared" si="7"/>
        <v>209</v>
      </c>
      <c r="N210" s="3">
        <f t="shared" si="3"/>
        <v>2129.2087550512606</v>
      </c>
      <c r="O210" s="3">
        <f t="shared" si="8"/>
        <v>1066.6547660058325</v>
      </c>
      <c r="P210" s="3">
        <f t="shared" si="4"/>
        <v>1062.5539890454281</v>
      </c>
      <c r="Q210" s="3">
        <f t="shared" si="9"/>
        <v>231662.12223040895</v>
      </c>
    </row>
    <row r="211" spans="13:17" ht="14.25" customHeight="1">
      <c r="M211" s="1">
        <f t="shared" si="7"/>
        <v>210</v>
      </c>
      <c r="N211" s="3">
        <f t="shared" si="3"/>
        <v>2129.2087550512606</v>
      </c>
      <c r="O211" s="3">
        <f t="shared" si="8"/>
        <v>1061.7847268893743</v>
      </c>
      <c r="P211" s="3">
        <f t="shared" si="4"/>
        <v>1067.4240281618863</v>
      </c>
      <c r="Q211" s="3">
        <f t="shared" si="9"/>
        <v>230594.69820224706</v>
      </c>
    </row>
    <row r="212" spans="13:17" ht="14.25" customHeight="1">
      <c r="M212" s="1">
        <f t="shared" si="7"/>
        <v>211</v>
      </c>
      <c r="N212" s="3">
        <f t="shared" si="3"/>
        <v>2129.2087550512606</v>
      </c>
      <c r="O212" s="3">
        <f t="shared" si="8"/>
        <v>1056.8923667602992</v>
      </c>
      <c r="P212" s="3">
        <f t="shared" si="4"/>
        <v>1072.3163882909614</v>
      </c>
      <c r="Q212" s="3">
        <f t="shared" si="9"/>
        <v>229522.3818139561</v>
      </c>
    </row>
    <row r="213" spans="13:17" ht="14.25" customHeight="1">
      <c r="M213" s="1">
        <f t="shared" si="7"/>
        <v>212</v>
      </c>
      <c r="N213" s="3">
        <f t="shared" si="3"/>
        <v>2129.2087550512606</v>
      </c>
      <c r="O213" s="3">
        <f t="shared" si="8"/>
        <v>1051.9775833139654</v>
      </c>
      <c r="P213" s="3">
        <f t="shared" si="4"/>
        <v>1077.2311717372952</v>
      </c>
      <c r="Q213" s="3">
        <f t="shared" si="9"/>
        <v>228445.1506422188</v>
      </c>
    </row>
    <row r="214" spans="13:17" ht="14.25" customHeight="1">
      <c r="M214" s="1">
        <f t="shared" si="7"/>
        <v>213</v>
      </c>
      <c r="N214" s="3">
        <f t="shared" si="3"/>
        <v>2129.2087550512606</v>
      </c>
      <c r="O214" s="3">
        <f t="shared" si="8"/>
        <v>1047.0402737768361</v>
      </c>
      <c r="P214" s="3">
        <f t="shared" si="4"/>
        <v>1082.1684812744245</v>
      </c>
      <c r="Q214" s="3">
        <f t="shared" si="9"/>
        <v>227362.98216094438</v>
      </c>
    </row>
    <row r="215" spans="13:17" ht="14.25" customHeight="1">
      <c r="M215" s="1">
        <f t="shared" si="7"/>
        <v>214</v>
      </c>
      <c r="N215" s="3">
        <f t="shared" si="3"/>
        <v>2129.2087550512606</v>
      </c>
      <c r="O215" s="3">
        <f t="shared" si="8"/>
        <v>1042.0803349043283</v>
      </c>
      <c r="P215" s="3">
        <f t="shared" si="4"/>
        <v>1087.1284201469323</v>
      </c>
      <c r="Q215" s="3">
        <f t="shared" si="9"/>
        <v>226275.85374079744</v>
      </c>
    </row>
    <row r="216" spans="13:17" ht="14.25" customHeight="1">
      <c r="M216" s="1">
        <f t="shared" si="7"/>
        <v>215</v>
      </c>
      <c r="N216" s="3">
        <f t="shared" si="3"/>
        <v>2129.2087550512606</v>
      </c>
      <c r="O216" s="3">
        <f t="shared" si="8"/>
        <v>1037.0976629786549</v>
      </c>
      <c r="P216" s="3">
        <f t="shared" si="4"/>
        <v>1092.1110920726057</v>
      </c>
      <c r="Q216" s="3">
        <f t="shared" si="9"/>
        <v>225183.74264872484</v>
      </c>
    </row>
    <row r="217" spans="13:17" ht="14.25" customHeight="1">
      <c r="M217" s="1">
        <f t="shared" si="7"/>
        <v>216</v>
      </c>
      <c r="N217" s="3">
        <f t="shared" si="3"/>
        <v>2129.2087550512606</v>
      </c>
      <c r="O217" s="3">
        <f t="shared" si="8"/>
        <v>1032.0921538066557</v>
      </c>
      <c r="P217" s="3">
        <f t="shared" si="4"/>
        <v>1097.1166012446049</v>
      </c>
      <c r="Q217" s="3">
        <f t="shared" si="9"/>
        <v>224086.62604748024</v>
      </c>
    </row>
    <row r="218" spans="13:17" ht="14.25" customHeight="1">
      <c r="M218" s="1">
        <f t="shared" si="7"/>
        <v>217</v>
      </c>
      <c r="N218" s="3">
        <f t="shared" si="3"/>
        <v>2129.2087550512606</v>
      </c>
      <c r="O218" s="3">
        <f t="shared" si="8"/>
        <v>1027.0637027176178</v>
      </c>
      <c r="P218" s="3">
        <f t="shared" si="4"/>
        <v>1102.1450523336428</v>
      </c>
      <c r="Q218" s="3">
        <f t="shared" si="9"/>
        <v>222984.48099514659</v>
      </c>
    </row>
    <row r="219" spans="13:17" ht="14.25" customHeight="1">
      <c r="M219" s="1">
        <f t="shared" si="7"/>
        <v>218</v>
      </c>
      <c r="N219" s="3">
        <f t="shared" si="3"/>
        <v>2129.2087550512606</v>
      </c>
      <c r="O219" s="3">
        <f t="shared" si="8"/>
        <v>1022.0122045610884</v>
      </c>
      <c r="P219" s="3">
        <f t="shared" si="4"/>
        <v>1107.1965504901723</v>
      </c>
      <c r="Q219" s="3">
        <f t="shared" si="9"/>
        <v>221877.28444465643</v>
      </c>
    </row>
    <row r="220" spans="13:17" ht="14.25" customHeight="1">
      <c r="M220" s="1">
        <f t="shared" si="7"/>
        <v>219</v>
      </c>
      <c r="N220" s="3">
        <f t="shared" si="3"/>
        <v>2129.2087550512606</v>
      </c>
      <c r="O220" s="3">
        <f t="shared" si="8"/>
        <v>1016.9375537046753</v>
      </c>
      <c r="P220" s="3">
        <f t="shared" si="4"/>
        <v>1112.2712013465853</v>
      </c>
      <c r="Q220" s="3">
        <f t="shared" si="9"/>
        <v>220765.01324330983</v>
      </c>
    </row>
    <row r="221" spans="13:17" ht="14.25" customHeight="1">
      <c r="M221" s="1">
        <f t="shared" si="7"/>
        <v>220</v>
      </c>
      <c r="N221" s="3">
        <f t="shared" si="3"/>
        <v>2129.2087550512606</v>
      </c>
      <c r="O221" s="3">
        <f t="shared" si="8"/>
        <v>1011.8396440318367</v>
      </c>
      <c r="P221" s="3">
        <f t="shared" si="4"/>
        <v>1117.3691110194241</v>
      </c>
      <c r="Q221" s="3">
        <f t="shared" si="9"/>
        <v>219647.64413229041</v>
      </c>
    </row>
    <row r="222" spans="13:17" ht="14.25" customHeight="1">
      <c r="M222" s="1">
        <f t="shared" si="7"/>
        <v>221</v>
      </c>
      <c r="N222" s="3">
        <f t="shared" si="3"/>
        <v>2129.2087550512606</v>
      </c>
      <c r="O222" s="3">
        <f t="shared" si="8"/>
        <v>1006.7183689396644</v>
      </c>
      <c r="P222" s="3">
        <f t="shared" si="4"/>
        <v>1122.4903861115963</v>
      </c>
      <c r="Q222" s="3">
        <f t="shared" si="9"/>
        <v>218525.15374617881</v>
      </c>
    </row>
    <row r="223" spans="13:17" ht="14.25" customHeight="1">
      <c r="M223" s="1">
        <f t="shared" si="7"/>
        <v>222</v>
      </c>
      <c r="N223" s="3">
        <f t="shared" si="3"/>
        <v>2129.2087550512606</v>
      </c>
      <c r="O223" s="3">
        <f t="shared" si="8"/>
        <v>1001.573621336653</v>
      </c>
      <c r="P223" s="3">
        <f t="shared" si="4"/>
        <v>1127.6351337146075</v>
      </c>
      <c r="Q223" s="3">
        <f t="shared" si="9"/>
        <v>217397.51861246419</v>
      </c>
    </row>
    <row r="224" spans="13:17" ht="14.25" customHeight="1">
      <c r="M224" s="1">
        <f t="shared" si="7"/>
        <v>223</v>
      </c>
      <c r="N224" s="3">
        <f t="shared" si="3"/>
        <v>2129.2087550512606</v>
      </c>
      <c r="O224" s="3">
        <f t="shared" si="8"/>
        <v>996.40529364046085</v>
      </c>
      <c r="P224" s="3">
        <f t="shared" si="4"/>
        <v>1132.8034614107996</v>
      </c>
      <c r="Q224" s="3">
        <f t="shared" si="9"/>
        <v>216264.71515105339</v>
      </c>
    </row>
    <row r="225" spans="13:17" ht="14.25" customHeight="1">
      <c r="M225" s="1">
        <f t="shared" si="7"/>
        <v>224</v>
      </c>
      <c r="N225" s="3">
        <f t="shared" si="3"/>
        <v>2129.2087550512606</v>
      </c>
      <c r="O225" s="3">
        <f t="shared" si="8"/>
        <v>991.21327777566137</v>
      </c>
      <c r="P225" s="3">
        <f t="shared" si="4"/>
        <v>1137.9954772755991</v>
      </c>
      <c r="Q225" s="3">
        <f t="shared" si="9"/>
        <v>215126.71967377778</v>
      </c>
    </row>
    <row r="226" spans="13:17" ht="14.25" customHeight="1">
      <c r="M226" s="1">
        <f t="shared" si="7"/>
        <v>225</v>
      </c>
      <c r="N226" s="3">
        <f t="shared" si="3"/>
        <v>2129.2087550512606</v>
      </c>
      <c r="O226" s="3">
        <f t="shared" si="8"/>
        <v>985.99746517148151</v>
      </c>
      <c r="P226" s="3">
        <f t="shared" si="4"/>
        <v>1143.2112898797791</v>
      </c>
      <c r="Q226" s="3">
        <f t="shared" si="9"/>
        <v>213983.50838389801</v>
      </c>
    </row>
    <row r="227" spans="13:17" ht="14.25" customHeight="1">
      <c r="M227" s="1">
        <f t="shared" si="7"/>
        <v>226</v>
      </c>
      <c r="N227" s="3">
        <f t="shared" si="3"/>
        <v>2129.2087550512606</v>
      </c>
      <c r="O227" s="3">
        <f t="shared" si="8"/>
        <v>980.75774675953255</v>
      </c>
      <c r="P227" s="3">
        <f t="shared" si="4"/>
        <v>1148.4510082917282</v>
      </c>
      <c r="Q227" s="3">
        <f t="shared" si="9"/>
        <v>212835.05737560627</v>
      </c>
    </row>
    <row r="228" spans="13:17" ht="14.25" customHeight="1">
      <c r="M228" s="1">
        <f t="shared" si="7"/>
        <v>227</v>
      </c>
      <c r="N228" s="3">
        <f t="shared" si="3"/>
        <v>2129.2087550512606</v>
      </c>
      <c r="O228" s="3">
        <f t="shared" si="8"/>
        <v>975.49401297152872</v>
      </c>
      <c r="P228" s="3">
        <f t="shared" si="4"/>
        <v>1153.7147420797319</v>
      </c>
      <c r="Q228" s="3">
        <f t="shared" si="9"/>
        <v>211681.34263352654</v>
      </c>
    </row>
    <row r="229" spans="13:17" ht="14.25" customHeight="1">
      <c r="M229" s="1">
        <f t="shared" si="7"/>
        <v>228</v>
      </c>
      <c r="N229" s="3">
        <f t="shared" si="3"/>
        <v>2129.2087550512606</v>
      </c>
      <c r="O229" s="3">
        <f t="shared" si="8"/>
        <v>970.20615373699673</v>
      </c>
      <c r="P229" s="3">
        <f t="shared" si="4"/>
        <v>1159.0026013142638</v>
      </c>
      <c r="Q229" s="3">
        <f t="shared" si="9"/>
        <v>210522.34003221226</v>
      </c>
    </row>
    <row r="230" spans="13:17" ht="14.25" customHeight="1">
      <c r="M230" s="1">
        <f t="shared" si="7"/>
        <v>229</v>
      </c>
      <c r="N230" s="3">
        <f t="shared" si="3"/>
        <v>2129.2087550512606</v>
      </c>
      <c r="O230" s="3">
        <f t="shared" si="8"/>
        <v>964.89405848097294</v>
      </c>
      <c r="P230" s="3">
        <f t="shared" si="4"/>
        <v>1164.3146965702877</v>
      </c>
      <c r="Q230" s="3">
        <f t="shared" si="9"/>
        <v>209358.02533564199</v>
      </c>
    </row>
    <row r="231" spans="13:17" ht="14.25" customHeight="1">
      <c r="M231" s="1">
        <f t="shared" si="7"/>
        <v>230</v>
      </c>
      <c r="N231" s="3">
        <f t="shared" si="3"/>
        <v>2129.2087550512606</v>
      </c>
      <c r="O231" s="3">
        <f t="shared" si="8"/>
        <v>959.55761612169238</v>
      </c>
      <c r="P231" s="3">
        <f t="shared" si="4"/>
        <v>1169.6511389295683</v>
      </c>
      <c r="Q231" s="3">
        <f t="shared" si="9"/>
        <v>208188.37419671242</v>
      </c>
    </row>
    <row r="232" spans="13:17" ht="14.25" customHeight="1">
      <c r="M232" s="1">
        <f t="shared" si="7"/>
        <v>231</v>
      </c>
      <c r="N232" s="3">
        <f t="shared" si="3"/>
        <v>2129.2087550512606</v>
      </c>
      <c r="O232" s="3">
        <f t="shared" si="8"/>
        <v>954.19671506826535</v>
      </c>
      <c r="P232" s="3">
        <f t="shared" si="4"/>
        <v>1175.0120399829952</v>
      </c>
      <c r="Q232" s="3">
        <f t="shared" si="9"/>
        <v>207013.36215672942</v>
      </c>
    </row>
    <row r="233" spans="13:17" ht="14.25" customHeight="1">
      <c r="M233" s="1">
        <f t="shared" si="7"/>
        <v>232</v>
      </c>
      <c r="N233" s="3">
        <f t="shared" si="3"/>
        <v>2129.2087550512606</v>
      </c>
      <c r="O233" s="3">
        <f t="shared" si="8"/>
        <v>948.81124321834307</v>
      </c>
      <c r="P233" s="3">
        <f t="shared" si="4"/>
        <v>1180.3975118329176</v>
      </c>
      <c r="Q233" s="3">
        <f t="shared" si="9"/>
        <v>205832.96464489651</v>
      </c>
    </row>
    <row r="234" spans="13:17" ht="14.25" customHeight="1">
      <c r="M234" s="1">
        <f t="shared" si="7"/>
        <v>233</v>
      </c>
      <c r="N234" s="3">
        <f t="shared" si="3"/>
        <v>2129.2087550512606</v>
      </c>
      <c r="O234" s="3">
        <f t="shared" si="8"/>
        <v>943.40108795577555</v>
      </c>
      <c r="P234" s="3">
        <f t="shared" si="4"/>
        <v>1185.8076670954852</v>
      </c>
      <c r="Q234" s="3">
        <f t="shared" si="9"/>
        <v>204647.15697780103</v>
      </c>
    </row>
    <row r="235" spans="13:17" ht="14.25" customHeight="1">
      <c r="M235" s="1">
        <f t="shared" si="7"/>
        <v>234</v>
      </c>
      <c r="N235" s="3">
        <f t="shared" si="3"/>
        <v>2129.2087550512606</v>
      </c>
      <c r="O235" s="3">
        <f t="shared" si="8"/>
        <v>937.9661361482548</v>
      </c>
      <c r="P235" s="3">
        <f t="shared" si="4"/>
        <v>1191.2426189030057</v>
      </c>
      <c r="Q235" s="3">
        <f t="shared" si="9"/>
        <v>203455.91435889804</v>
      </c>
    </row>
    <row r="236" spans="13:17" ht="14.25" customHeight="1">
      <c r="M236" s="1">
        <f t="shared" si="7"/>
        <v>235</v>
      </c>
      <c r="N236" s="3">
        <f t="shared" si="3"/>
        <v>2129.2087550512606</v>
      </c>
      <c r="O236" s="3">
        <f t="shared" si="8"/>
        <v>932.50627414494932</v>
      </c>
      <c r="P236" s="3">
        <f t="shared" si="4"/>
        <v>1196.7024809063114</v>
      </c>
      <c r="Q236" s="3">
        <f t="shared" si="9"/>
        <v>202259.21187799174</v>
      </c>
    </row>
    <row r="237" spans="13:17" ht="14.25" customHeight="1">
      <c r="M237" s="1">
        <f t="shared" si="7"/>
        <v>236</v>
      </c>
      <c r="N237" s="3">
        <f t="shared" si="3"/>
        <v>2129.2087550512606</v>
      </c>
      <c r="O237" s="3">
        <f t="shared" si="8"/>
        <v>927.02138777412881</v>
      </c>
      <c r="P237" s="3">
        <f t="shared" si="4"/>
        <v>1202.1873672771317</v>
      </c>
      <c r="Q237" s="3">
        <f t="shared" si="9"/>
        <v>201057.0245107146</v>
      </c>
    </row>
    <row r="238" spans="13:17" ht="14.25" customHeight="1">
      <c r="M238" s="1">
        <f t="shared" si="7"/>
        <v>237</v>
      </c>
      <c r="N238" s="3">
        <f t="shared" si="3"/>
        <v>2129.2087550512606</v>
      </c>
      <c r="O238" s="3">
        <f t="shared" si="8"/>
        <v>921.51136234077524</v>
      </c>
      <c r="P238" s="3">
        <f t="shared" si="4"/>
        <v>1207.6973927104855</v>
      </c>
      <c r="Q238" s="3">
        <f t="shared" si="9"/>
        <v>199849.32711800412</v>
      </c>
    </row>
    <row r="239" spans="13:17" ht="14.25" customHeight="1">
      <c r="M239" s="1">
        <f t="shared" si="7"/>
        <v>238</v>
      </c>
      <c r="N239" s="3">
        <f t="shared" si="3"/>
        <v>2129.2087550512606</v>
      </c>
      <c r="O239" s="3">
        <f t="shared" si="8"/>
        <v>915.97608262418555</v>
      </c>
      <c r="P239" s="3">
        <f t="shared" si="4"/>
        <v>1213.2326724270752</v>
      </c>
      <c r="Q239" s="3">
        <f t="shared" si="9"/>
        <v>198636.09444557704</v>
      </c>
    </row>
    <row r="240" spans="13:17" ht="14.25" customHeight="1">
      <c r="M240" s="1">
        <f t="shared" si="7"/>
        <v>239</v>
      </c>
      <c r="N240" s="3">
        <f t="shared" si="3"/>
        <v>2129.2087550512606</v>
      </c>
      <c r="O240" s="3">
        <f t="shared" si="8"/>
        <v>910.41543287556135</v>
      </c>
      <c r="P240" s="3">
        <f t="shared" si="4"/>
        <v>1218.7933221756994</v>
      </c>
      <c r="Q240" s="3">
        <f t="shared" si="9"/>
        <v>197417.30112340132</v>
      </c>
    </row>
    <row r="241" spans="13:17" ht="14.25" customHeight="1">
      <c r="M241" s="1">
        <f t="shared" si="7"/>
        <v>240</v>
      </c>
      <c r="N241" s="3">
        <f t="shared" si="3"/>
        <v>2129.2087550512606</v>
      </c>
      <c r="O241" s="3">
        <f t="shared" si="8"/>
        <v>904.82929681558937</v>
      </c>
      <c r="P241" s="3">
        <f t="shared" si="4"/>
        <v>1224.3794582356713</v>
      </c>
      <c r="Q241" s="3">
        <f t="shared" si="9"/>
        <v>196192.92166516566</v>
      </c>
    </row>
    <row r="242" spans="13:17" ht="14.25" customHeight="1">
      <c r="M242" s="1">
        <f t="shared" si="7"/>
        <v>241</v>
      </c>
      <c r="N242" s="3">
        <f t="shared" si="3"/>
        <v>2129.2087550512606</v>
      </c>
      <c r="O242" s="3">
        <f t="shared" si="8"/>
        <v>899.21755763200929</v>
      </c>
      <c r="P242" s="3">
        <f t="shared" si="4"/>
        <v>1229.9911974192514</v>
      </c>
      <c r="Q242" s="3">
        <f t="shared" si="9"/>
        <v>194962.9304677464</v>
      </c>
    </row>
    <row r="243" spans="13:17" ht="14.25" customHeight="1">
      <c r="M243" s="1">
        <f t="shared" si="7"/>
        <v>242</v>
      </c>
      <c r="N243" s="3">
        <f t="shared" si="3"/>
        <v>2129.2087550512606</v>
      </c>
      <c r="O243" s="3">
        <f t="shared" si="8"/>
        <v>893.58009797717102</v>
      </c>
      <c r="P243" s="3">
        <f t="shared" si="4"/>
        <v>1235.6286570740895</v>
      </c>
      <c r="Q243" s="3">
        <f t="shared" si="9"/>
        <v>193727.3018106723</v>
      </c>
    </row>
    <row r="244" spans="13:17" ht="14.25" customHeight="1">
      <c r="M244" s="1">
        <f t="shared" si="7"/>
        <v>243</v>
      </c>
      <c r="N244" s="3">
        <f t="shared" si="3"/>
        <v>2129.2087550512606</v>
      </c>
      <c r="O244" s="3">
        <f t="shared" si="8"/>
        <v>887.91679996558139</v>
      </c>
      <c r="P244" s="3">
        <f t="shared" si="4"/>
        <v>1241.2919550856791</v>
      </c>
      <c r="Q244" s="3">
        <f t="shared" si="9"/>
        <v>192486.00985558663</v>
      </c>
    </row>
    <row r="245" spans="13:17" ht="14.25" customHeight="1">
      <c r="M245" s="1">
        <f t="shared" si="7"/>
        <v>244</v>
      </c>
      <c r="N245" s="3">
        <f t="shared" si="3"/>
        <v>2129.2087550512606</v>
      </c>
      <c r="O245" s="3">
        <f t="shared" si="8"/>
        <v>882.22754517143869</v>
      </c>
      <c r="P245" s="3">
        <f t="shared" si="4"/>
        <v>1246.981209879822</v>
      </c>
      <c r="Q245" s="3">
        <f t="shared" si="9"/>
        <v>191239.0286457068</v>
      </c>
    </row>
    <row r="246" spans="13:17" ht="14.25" customHeight="1">
      <c r="M246" s="1">
        <f t="shared" si="7"/>
        <v>245</v>
      </c>
      <c r="N246" s="3">
        <f t="shared" si="3"/>
        <v>2129.2087550512606</v>
      </c>
      <c r="O246" s="3">
        <f t="shared" si="8"/>
        <v>876.51221462615615</v>
      </c>
      <c r="P246" s="3">
        <f t="shared" si="4"/>
        <v>1252.6965404251046</v>
      </c>
      <c r="Q246" s="3">
        <f t="shared" si="9"/>
        <v>189986.3321052817</v>
      </c>
    </row>
    <row r="247" spans="13:17" ht="14.25" customHeight="1">
      <c r="M247" s="1">
        <f t="shared" si="7"/>
        <v>246</v>
      </c>
      <c r="N247" s="3">
        <f t="shared" si="3"/>
        <v>2129.2087550512606</v>
      </c>
      <c r="O247" s="3">
        <f t="shared" si="8"/>
        <v>870.77068881587445</v>
      </c>
      <c r="P247" s="3">
        <f t="shared" si="4"/>
        <v>1258.438066235386</v>
      </c>
      <c r="Q247" s="3">
        <f t="shared" si="9"/>
        <v>188727.89403904631</v>
      </c>
    </row>
    <row r="248" spans="13:17" ht="14.25" customHeight="1">
      <c r="M248" s="1">
        <f t="shared" si="7"/>
        <v>247</v>
      </c>
      <c r="N248" s="3">
        <f t="shared" si="3"/>
        <v>2129.2087550512606</v>
      </c>
      <c r="O248" s="3">
        <f t="shared" si="8"/>
        <v>865.00284767896221</v>
      </c>
      <c r="P248" s="3">
        <f t="shared" si="4"/>
        <v>1264.2059073722985</v>
      </c>
      <c r="Q248" s="3">
        <f t="shared" si="9"/>
        <v>187463.68813167402</v>
      </c>
    </row>
    <row r="249" spans="13:17" ht="14.25" customHeight="1">
      <c r="M249" s="1">
        <f t="shared" si="7"/>
        <v>248</v>
      </c>
      <c r="N249" s="3">
        <f t="shared" si="3"/>
        <v>2129.2087550512606</v>
      </c>
      <c r="O249" s="3">
        <f t="shared" si="8"/>
        <v>859.2085706035059</v>
      </c>
      <c r="P249" s="3">
        <f t="shared" si="4"/>
        <v>1270.0001844477547</v>
      </c>
      <c r="Q249" s="3">
        <f t="shared" si="9"/>
        <v>186193.68794722625</v>
      </c>
    </row>
    <row r="250" spans="13:17" ht="14.25" customHeight="1">
      <c r="M250" s="1">
        <f t="shared" si="7"/>
        <v>249</v>
      </c>
      <c r="N250" s="3">
        <f t="shared" si="3"/>
        <v>2129.2087550512606</v>
      </c>
      <c r="O250" s="3">
        <f t="shared" si="8"/>
        <v>853.38773642478702</v>
      </c>
      <c r="P250" s="3">
        <f t="shared" si="4"/>
        <v>1275.8210186264737</v>
      </c>
      <c r="Q250" s="3">
        <f t="shared" si="9"/>
        <v>184917.86692859977</v>
      </c>
    </row>
    <row r="251" spans="13:17" ht="14.25" customHeight="1">
      <c r="M251" s="1">
        <f t="shared" si="7"/>
        <v>250</v>
      </c>
      <c r="N251" s="3">
        <f t="shared" si="3"/>
        <v>2129.2087550512606</v>
      </c>
      <c r="O251" s="3">
        <f t="shared" si="8"/>
        <v>847.54022342274902</v>
      </c>
      <c r="P251" s="3">
        <f t="shared" si="4"/>
        <v>1281.6685316285116</v>
      </c>
      <c r="Q251" s="3">
        <f t="shared" si="9"/>
        <v>183636.19839697127</v>
      </c>
    </row>
    <row r="252" spans="13:17" ht="14.25" customHeight="1">
      <c r="M252" s="1">
        <f t="shared" si="7"/>
        <v>251</v>
      </c>
      <c r="N252" s="3">
        <f t="shared" si="3"/>
        <v>2129.2087550512606</v>
      </c>
      <c r="O252" s="3">
        <f t="shared" si="8"/>
        <v>841.66590931945166</v>
      </c>
      <c r="P252" s="3">
        <f t="shared" si="4"/>
        <v>1287.5428457318089</v>
      </c>
      <c r="Q252" s="3">
        <f t="shared" si="9"/>
        <v>182348.65555123947</v>
      </c>
    </row>
    <row r="253" spans="13:17" ht="14.25" customHeight="1">
      <c r="M253" s="1">
        <f t="shared" si="7"/>
        <v>252</v>
      </c>
      <c r="N253" s="3">
        <f t="shared" si="3"/>
        <v>2129.2087550512606</v>
      </c>
      <c r="O253" s="3">
        <f t="shared" si="8"/>
        <v>835.76467127651415</v>
      </c>
      <c r="P253" s="3">
        <f t="shared" si="4"/>
        <v>1293.4440837747466</v>
      </c>
      <c r="Q253" s="3">
        <f t="shared" si="9"/>
        <v>181055.21146746472</v>
      </c>
    </row>
    <row r="254" spans="13:17" ht="14.25" customHeight="1">
      <c r="M254" s="1">
        <f t="shared" si="7"/>
        <v>253</v>
      </c>
      <c r="N254" s="3">
        <f t="shared" si="3"/>
        <v>2129.2087550512606</v>
      </c>
      <c r="O254" s="3">
        <f t="shared" si="8"/>
        <v>829.83638589254667</v>
      </c>
      <c r="P254" s="3">
        <f t="shared" si="4"/>
        <v>1299.3723691587138</v>
      </c>
      <c r="Q254" s="3">
        <f t="shared" si="9"/>
        <v>179755.83909830599</v>
      </c>
    </row>
    <row r="255" spans="13:17" ht="14.25" customHeight="1">
      <c r="M255" s="1">
        <f t="shared" si="7"/>
        <v>254</v>
      </c>
      <c r="N255" s="3">
        <f t="shared" si="3"/>
        <v>2129.2087550512606</v>
      </c>
      <c r="O255" s="3">
        <f t="shared" si="8"/>
        <v>823.88092920056908</v>
      </c>
      <c r="P255" s="3">
        <f t="shared" si="4"/>
        <v>1305.3278258506916</v>
      </c>
      <c r="Q255" s="3">
        <f t="shared" si="9"/>
        <v>178450.5112724553</v>
      </c>
    </row>
    <row r="256" spans="13:17" ht="14.25" customHeight="1">
      <c r="M256" s="1">
        <f t="shared" si="7"/>
        <v>255</v>
      </c>
      <c r="N256" s="3">
        <f t="shared" si="3"/>
        <v>2129.2087550512606</v>
      </c>
      <c r="O256" s="3">
        <f t="shared" si="8"/>
        <v>817.89817666542012</v>
      </c>
      <c r="P256" s="3">
        <f t="shared" si="4"/>
        <v>1311.3105783858405</v>
      </c>
      <c r="Q256" s="3">
        <f t="shared" si="9"/>
        <v>177139.20069406947</v>
      </c>
    </row>
    <row r="257" spans="13:17" ht="14.25" customHeight="1">
      <c r="M257" s="1">
        <f t="shared" si="7"/>
        <v>256</v>
      </c>
      <c r="N257" s="3">
        <f t="shared" ref="N257:N361" si="10">$B$19</f>
        <v>2129.2087550512606</v>
      </c>
      <c r="O257" s="3">
        <f t="shared" si="8"/>
        <v>811.88800318115182</v>
      </c>
      <c r="P257" s="3">
        <f t="shared" ref="P257:P361" si="11">N257-O257</f>
        <v>1317.3207518701088</v>
      </c>
      <c r="Q257" s="3">
        <f t="shared" si="9"/>
        <v>175821.87994219936</v>
      </c>
    </row>
    <row r="258" spans="13:17" ht="14.25" customHeight="1">
      <c r="M258" s="1">
        <f t="shared" ref="M258:M361" si="12">M257+1</f>
        <v>257</v>
      </c>
      <c r="N258" s="3">
        <f t="shared" si="10"/>
        <v>2129.2087550512606</v>
      </c>
      <c r="O258" s="3">
        <f t="shared" ref="O258:O361" si="13">Q257*$B$5/$B$9</f>
        <v>805.85028306841377</v>
      </c>
      <c r="P258" s="3">
        <f t="shared" si="11"/>
        <v>1323.3584719828468</v>
      </c>
      <c r="Q258" s="3">
        <f t="shared" ref="Q258:Q361" si="14">Q257-P258</f>
        <v>174498.52147021651</v>
      </c>
    </row>
    <row r="259" spans="13:17" ht="14.25" customHeight="1">
      <c r="M259" s="1">
        <f t="shared" si="12"/>
        <v>258</v>
      </c>
      <c r="N259" s="3">
        <f t="shared" si="10"/>
        <v>2129.2087550512606</v>
      </c>
      <c r="O259" s="3">
        <f t="shared" si="13"/>
        <v>799.78489007182577</v>
      </c>
      <c r="P259" s="3">
        <f t="shared" si="11"/>
        <v>1329.4238649794347</v>
      </c>
      <c r="Q259" s="3">
        <f t="shared" si="14"/>
        <v>173169.09760523707</v>
      </c>
    </row>
    <row r="260" spans="13:17" ht="14.25" customHeight="1">
      <c r="M260" s="1">
        <f t="shared" si="12"/>
        <v>259</v>
      </c>
      <c r="N260" s="3">
        <f t="shared" si="10"/>
        <v>2129.2087550512606</v>
      </c>
      <c r="O260" s="3">
        <f t="shared" si="13"/>
        <v>793.69169735733658</v>
      </c>
      <c r="P260" s="3">
        <f t="shared" si="11"/>
        <v>1335.517057693924</v>
      </c>
      <c r="Q260" s="3">
        <f t="shared" si="14"/>
        <v>171833.58054754316</v>
      </c>
    </row>
    <row r="261" spans="13:17" ht="14.25" customHeight="1">
      <c r="M261" s="1">
        <f t="shared" si="12"/>
        <v>260</v>
      </c>
      <c r="N261" s="3">
        <f t="shared" si="10"/>
        <v>2129.2087550512606</v>
      </c>
      <c r="O261" s="3">
        <f t="shared" si="13"/>
        <v>787.5705775095729</v>
      </c>
      <c r="P261" s="3">
        <f t="shared" si="11"/>
        <v>1341.6381775416876</v>
      </c>
      <c r="Q261" s="3">
        <f t="shared" si="14"/>
        <v>170491.94237000146</v>
      </c>
    </row>
    <row r="262" spans="13:17" ht="14.25" customHeight="1">
      <c r="M262" s="1">
        <f t="shared" si="12"/>
        <v>261</v>
      </c>
      <c r="N262" s="3">
        <f t="shared" si="10"/>
        <v>2129.2087550512606</v>
      </c>
      <c r="O262" s="3">
        <f t="shared" si="13"/>
        <v>781.42140252917341</v>
      </c>
      <c r="P262" s="3">
        <f t="shared" si="11"/>
        <v>1347.7873525220871</v>
      </c>
      <c r="Q262" s="3">
        <f t="shared" si="14"/>
        <v>169144.15501747938</v>
      </c>
    </row>
    <row r="263" spans="13:17" ht="14.25" customHeight="1">
      <c r="M263" s="1">
        <f t="shared" si="12"/>
        <v>262</v>
      </c>
      <c r="N263" s="3">
        <f t="shared" si="10"/>
        <v>2129.2087550512606</v>
      </c>
      <c r="O263" s="3">
        <f t="shared" si="13"/>
        <v>775.24404383011381</v>
      </c>
      <c r="P263" s="3">
        <f t="shared" si="11"/>
        <v>1353.9647112211469</v>
      </c>
      <c r="Q263" s="3">
        <f t="shared" si="14"/>
        <v>167790.19030625824</v>
      </c>
    </row>
    <row r="264" spans="13:17" ht="14.25" customHeight="1">
      <c r="M264" s="1">
        <f t="shared" si="12"/>
        <v>263</v>
      </c>
      <c r="N264" s="3">
        <f t="shared" si="10"/>
        <v>2129.2087550512606</v>
      </c>
      <c r="O264" s="3">
        <f t="shared" si="13"/>
        <v>769.03837223701692</v>
      </c>
      <c r="P264" s="3">
        <f t="shared" si="11"/>
        <v>1360.1703828142436</v>
      </c>
      <c r="Q264" s="3">
        <f t="shared" si="14"/>
        <v>166430.01992344399</v>
      </c>
    </row>
    <row r="265" spans="13:17" ht="14.25" customHeight="1">
      <c r="M265" s="1">
        <f t="shared" si="12"/>
        <v>264</v>
      </c>
      <c r="N265" s="3">
        <f t="shared" si="10"/>
        <v>2129.2087550512606</v>
      </c>
      <c r="O265" s="3">
        <f t="shared" si="13"/>
        <v>762.80425798245153</v>
      </c>
      <c r="P265" s="3">
        <f t="shared" si="11"/>
        <v>1366.4044970688092</v>
      </c>
      <c r="Q265" s="3">
        <f t="shared" si="14"/>
        <v>165063.61542637518</v>
      </c>
    </row>
    <row r="266" spans="13:17" ht="14.25" customHeight="1">
      <c r="M266" s="1">
        <f t="shared" si="12"/>
        <v>265</v>
      </c>
      <c r="N266" s="3">
        <f t="shared" si="10"/>
        <v>2129.2087550512606</v>
      </c>
      <c r="O266" s="3">
        <f t="shared" si="13"/>
        <v>756.54157070421968</v>
      </c>
      <c r="P266" s="3">
        <f t="shared" si="11"/>
        <v>1372.6671843470408</v>
      </c>
      <c r="Q266" s="3">
        <f t="shared" si="14"/>
        <v>163690.94824202813</v>
      </c>
    </row>
    <row r="267" spans="13:17" ht="14.25" customHeight="1">
      <c r="M267" s="1">
        <f t="shared" si="12"/>
        <v>266</v>
      </c>
      <c r="N267" s="3">
        <f t="shared" si="10"/>
        <v>2129.2087550512606</v>
      </c>
      <c r="O267" s="3">
        <f t="shared" si="13"/>
        <v>750.25017944262891</v>
      </c>
      <c r="P267" s="3">
        <f t="shared" si="11"/>
        <v>1378.9585756086317</v>
      </c>
      <c r="Q267" s="3">
        <f t="shared" si="14"/>
        <v>162311.98966641948</v>
      </c>
    </row>
    <row r="268" spans="13:17" ht="14.25" customHeight="1">
      <c r="M268" s="1">
        <f t="shared" si="12"/>
        <v>267</v>
      </c>
      <c r="N268" s="3">
        <f t="shared" si="10"/>
        <v>2129.2087550512606</v>
      </c>
      <c r="O268" s="3">
        <f t="shared" si="13"/>
        <v>743.92995263775595</v>
      </c>
      <c r="P268" s="3">
        <f t="shared" si="11"/>
        <v>1385.2788024135048</v>
      </c>
      <c r="Q268" s="3">
        <f t="shared" si="14"/>
        <v>160926.71086400599</v>
      </c>
    </row>
    <row r="269" spans="13:17" ht="14.25" customHeight="1">
      <c r="M269" s="1">
        <f t="shared" si="12"/>
        <v>268</v>
      </c>
      <c r="N269" s="3">
        <f t="shared" si="10"/>
        <v>2129.2087550512606</v>
      </c>
      <c r="O269" s="3">
        <f t="shared" si="13"/>
        <v>737.58075812669415</v>
      </c>
      <c r="P269" s="3">
        <f t="shared" si="11"/>
        <v>1391.6279969245666</v>
      </c>
      <c r="Q269" s="3">
        <f t="shared" si="14"/>
        <v>159535.08286708142</v>
      </c>
    </row>
    <row r="270" spans="13:17" ht="14.25" customHeight="1">
      <c r="M270" s="1">
        <f t="shared" si="12"/>
        <v>269</v>
      </c>
      <c r="N270" s="3">
        <f t="shared" si="10"/>
        <v>2129.2087550512606</v>
      </c>
      <c r="O270" s="3">
        <f t="shared" si="13"/>
        <v>731.20246314078986</v>
      </c>
      <c r="P270" s="3">
        <f t="shared" si="11"/>
        <v>1398.0062919104707</v>
      </c>
      <c r="Q270" s="3">
        <f t="shared" si="14"/>
        <v>158137.07657517094</v>
      </c>
    </row>
    <row r="271" spans="13:17" ht="14.25" customHeight="1">
      <c r="M271" s="1">
        <f t="shared" si="12"/>
        <v>270</v>
      </c>
      <c r="N271" s="3">
        <f t="shared" si="10"/>
        <v>2129.2087550512606</v>
      </c>
      <c r="O271" s="3">
        <f t="shared" si="13"/>
        <v>724.79493430286675</v>
      </c>
      <c r="P271" s="3">
        <f t="shared" si="11"/>
        <v>1404.4138207483938</v>
      </c>
      <c r="Q271" s="3">
        <f t="shared" si="14"/>
        <v>156732.66275442255</v>
      </c>
    </row>
    <row r="272" spans="13:17" ht="14.25" customHeight="1">
      <c r="M272" s="1">
        <f t="shared" si="12"/>
        <v>271</v>
      </c>
      <c r="N272" s="3">
        <f t="shared" si="10"/>
        <v>2129.2087550512606</v>
      </c>
      <c r="O272" s="3">
        <f t="shared" si="13"/>
        <v>718.35803762443675</v>
      </c>
      <c r="P272" s="3">
        <f t="shared" si="11"/>
        <v>1410.8507174268238</v>
      </c>
      <c r="Q272" s="3">
        <f t="shared" si="14"/>
        <v>155321.81203699572</v>
      </c>
    </row>
    <row r="273" spans="13:17" ht="14.25" customHeight="1">
      <c r="M273" s="1">
        <f t="shared" si="12"/>
        <v>272</v>
      </c>
      <c r="N273" s="3">
        <f t="shared" si="10"/>
        <v>2129.2087550512606</v>
      </c>
      <c r="O273" s="3">
        <f t="shared" si="13"/>
        <v>711.89163850289708</v>
      </c>
      <c r="P273" s="3">
        <f t="shared" si="11"/>
        <v>1417.3171165483636</v>
      </c>
      <c r="Q273" s="3">
        <f t="shared" si="14"/>
        <v>153904.49492044735</v>
      </c>
    </row>
    <row r="274" spans="13:17" ht="14.25" customHeight="1">
      <c r="M274" s="1">
        <f t="shared" si="12"/>
        <v>273</v>
      </c>
      <c r="N274" s="3">
        <f t="shared" si="10"/>
        <v>2129.2087550512606</v>
      </c>
      <c r="O274" s="3">
        <f t="shared" si="13"/>
        <v>705.39560171871699</v>
      </c>
      <c r="P274" s="3">
        <f t="shared" si="11"/>
        <v>1423.8131533325436</v>
      </c>
      <c r="Q274" s="3">
        <f t="shared" si="14"/>
        <v>152480.68176711482</v>
      </c>
    </row>
    <row r="275" spans="13:17" ht="14.25" customHeight="1">
      <c r="M275" s="1">
        <f t="shared" si="12"/>
        <v>274</v>
      </c>
      <c r="N275" s="3">
        <f t="shared" si="10"/>
        <v>2129.2087550512606</v>
      </c>
      <c r="O275" s="3">
        <f t="shared" si="13"/>
        <v>698.86979143260953</v>
      </c>
      <c r="P275" s="3">
        <f t="shared" si="11"/>
        <v>1430.3389636186512</v>
      </c>
      <c r="Q275" s="3">
        <f t="shared" si="14"/>
        <v>151050.34280349617</v>
      </c>
    </row>
    <row r="276" spans="13:17" ht="14.25" customHeight="1">
      <c r="M276" s="1">
        <f t="shared" si="12"/>
        <v>275</v>
      </c>
      <c r="N276" s="3">
        <f t="shared" si="10"/>
        <v>2129.2087550512606</v>
      </c>
      <c r="O276" s="3">
        <f t="shared" si="13"/>
        <v>692.31407118269078</v>
      </c>
      <c r="P276" s="3">
        <f t="shared" si="11"/>
        <v>1436.8946838685697</v>
      </c>
      <c r="Q276" s="3">
        <f t="shared" si="14"/>
        <v>149613.4481196276</v>
      </c>
    </row>
    <row r="277" spans="13:17" ht="14.25" customHeight="1">
      <c r="M277" s="1">
        <f t="shared" si="12"/>
        <v>276</v>
      </c>
      <c r="N277" s="3">
        <f t="shared" si="10"/>
        <v>2129.2087550512606</v>
      </c>
      <c r="O277" s="3">
        <f t="shared" si="13"/>
        <v>685.72830388162663</v>
      </c>
      <c r="P277" s="3">
        <f t="shared" si="11"/>
        <v>1443.4804511696339</v>
      </c>
      <c r="Q277" s="3">
        <f t="shared" si="14"/>
        <v>148169.96766845798</v>
      </c>
    </row>
    <row r="278" spans="13:17" ht="14.25" customHeight="1">
      <c r="M278" s="1">
        <f t="shared" si="12"/>
        <v>277</v>
      </c>
      <c r="N278" s="3">
        <f t="shared" si="10"/>
        <v>2129.2087550512606</v>
      </c>
      <c r="O278" s="3">
        <f t="shared" si="13"/>
        <v>679.11235181376571</v>
      </c>
      <c r="P278" s="3">
        <f t="shared" si="11"/>
        <v>1450.096403237495</v>
      </c>
      <c r="Q278" s="3">
        <f t="shared" si="14"/>
        <v>146719.87126522048</v>
      </c>
    </row>
    <row r="279" spans="13:17" ht="14.25" customHeight="1">
      <c r="M279" s="1">
        <f t="shared" si="12"/>
        <v>278</v>
      </c>
      <c r="N279" s="3">
        <f t="shared" si="10"/>
        <v>2129.2087550512606</v>
      </c>
      <c r="O279" s="3">
        <f t="shared" si="13"/>
        <v>672.46607663226052</v>
      </c>
      <c r="P279" s="3">
        <f t="shared" si="11"/>
        <v>1456.7426784190002</v>
      </c>
      <c r="Q279" s="3">
        <f t="shared" si="14"/>
        <v>145263.1285868015</v>
      </c>
    </row>
    <row r="280" spans="13:17" ht="14.25" customHeight="1">
      <c r="M280" s="1">
        <f t="shared" si="12"/>
        <v>279</v>
      </c>
      <c r="N280" s="3">
        <f t="shared" si="10"/>
        <v>2129.2087550512606</v>
      </c>
      <c r="O280" s="3">
        <f t="shared" si="13"/>
        <v>665.78933935617351</v>
      </c>
      <c r="P280" s="3">
        <f t="shared" si="11"/>
        <v>1463.4194156950871</v>
      </c>
      <c r="Q280" s="3">
        <f t="shared" si="14"/>
        <v>143799.7091711064</v>
      </c>
    </row>
    <row r="281" spans="13:17" ht="14.25" customHeight="1">
      <c r="M281" s="1">
        <f t="shared" si="12"/>
        <v>280</v>
      </c>
      <c r="N281" s="3">
        <f t="shared" si="10"/>
        <v>2129.2087550512606</v>
      </c>
      <c r="O281" s="3">
        <f t="shared" si="13"/>
        <v>659.08200036757103</v>
      </c>
      <c r="P281" s="3">
        <f t="shared" si="11"/>
        <v>1470.1267546836896</v>
      </c>
      <c r="Q281" s="3">
        <f t="shared" si="14"/>
        <v>142329.58241642272</v>
      </c>
    </row>
    <row r="282" spans="13:17" ht="14.25" customHeight="1">
      <c r="M282" s="1">
        <f t="shared" si="12"/>
        <v>281</v>
      </c>
      <c r="N282" s="3">
        <f t="shared" si="10"/>
        <v>2129.2087550512606</v>
      </c>
      <c r="O282" s="3">
        <f t="shared" si="13"/>
        <v>652.34391940860417</v>
      </c>
      <c r="P282" s="3">
        <f t="shared" si="11"/>
        <v>1476.8648356426565</v>
      </c>
      <c r="Q282" s="3">
        <f t="shared" si="14"/>
        <v>140852.71758078007</v>
      </c>
    </row>
    <row r="283" spans="13:17" ht="14.25" customHeight="1">
      <c r="M283" s="1">
        <f t="shared" si="12"/>
        <v>282</v>
      </c>
      <c r="N283" s="3">
        <f t="shared" si="10"/>
        <v>2129.2087550512606</v>
      </c>
      <c r="O283" s="3">
        <f t="shared" si="13"/>
        <v>645.57495557857533</v>
      </c>
      <c r="P283" s="3">
        <f t="shared" si="11"/>
        <v>1483.6337994726853</v>
      </c>
      <c r="Q283" s="3">
        <f t="shared" si="14"/>
        <v>139369.08378130739</v>
      </c>
    </row>
    <row r="284" spans="13:17" ht="14.25" customHeight="1">
      <c r="M284" s="1">
        <f t="shared" si="12"/>
        <v>283</v>
      </c>
      <c r="N284" s="3">
        <f t="shared" si="10"/>
        <v>2129.2087550512606</v>
      </c>
      <c r="O284" s="3">
        <f t="shared" si="13"/>
        <v>638.77496733099213</v>
      </c>
      <c r="P284" s="3">
        <f t="shared" si="11"/>
        <v>1490.4337877202684</v>
      </c>
      <c r="Q284" s="3">
        <f t="shared" si="14"/>
        <v>137878.64999358711</v>
      </c>
    </row>
    <row r="285" spans="13:17" ht="14.25" customHeight="1">
      <c r="M285" s="1">
        <f t="shared" si="12"/>
        <v>284</v>
      </c>
      <c r="N285" s="3">
        <f t="shared" si="10"/>
        <v>2129.2087550512606</v>
      </c>
      <c r="O285" s="3">
        <f t="shared" si="13"/>
        <v>631.94381247060767</v>
      </c>
      <c r="P285" s="3">
        <f t="shared" si="11"/>
        <v>1497.264942580653</v>
      </c>
      <c r="Q285" s="3">
        <f t="shared" si="14"/>
        <v>136381.38505100645</v>
      </c>
    </row>
    <row r="286" spans="13:17" ht="14.25" customHeight="1">
      <c r="M286" s="1">
        <f t="shared" si="12"/>
        <v>285</v>
      </c>
      <c r="N286" s="3">
        <f t="shared" si="10"/>
        <v>2129.2087550512606</v>
      </c>
      <c r="O286" s="3">
        <f t="shared" si="13"/>
        <v>625.08134815044627</v>
      </c>
      <c r="P286" s="3">
        <f t="shared" si="11"/>
        <v>1504.1274069008143</v>
      </c>
      <c r="Q286" s="3">
        <f t="shared" si="14"/>
        <v>134877.25764410564</v>
      </c>
    </row>
    <row r="287" spans="13:17" ht="14.25" customHeight="1">
      <c r="M287" s="1">
        <f t="shared" si="12"/>
        <v>286</v>
      </c>
      <c r="N287" s="3">
        <f t="shared" si="10"/>
        <v>2129.2087550512606</v>
      </c>
      <c r="O287" s="3">
        <f t="shared" si="13"/>
        <v>618.18743086881761</v>
      </c>
      <c r="P287" s="3">
        <f t="shared" si="11"/>
        <v>1511.0213241824431</v>
      </c>
      <c r="Q287" s="3">
        <f t="shared" si="14"/>
        <v>133366.23631992319</v>
      </c>
    </row>
    <row r="288" spans="13:17" ht="14.25" customHeight="1">
      <c r="M288" s="1">
        <f t="shared" si="12"/>
        <v>287</v>
      </c>
      <c r="N288" s="3">
        <f t="shared" si="10"/>
        <v>2129.2087550512606</v>
      </c>
      <c r="O288" s="3">
        <f t="shared" si="13"/>
        <v>611.26191646631457</v>
      </c>
      <c r="P288" s="3">
        <f t="shared" si="11"/>
        <v>1517.9468385849459</v>
      </c>
      <c r="Q288" s="3">
        <f t="shared" si="14"/>
        <v>131848.28948133826</v>
      </c>
    </row>
    <row r="289" spans="13:17" ht="14.25" customHeight="1">
      <c r="M289" s="1">
        <f t="shared" si="12"/>
        <v>288</v>
      </c>
      <c r="N289" s="3">
        <f t="shared" si="10"/>
        <v>2129.2087550512606</v>
      </c>
      <c r="O289" s="3">
        <f t="shared" si="13"/>
        <v>604.30466012280033</v>
      </c>
      <c r="P289" s="3">
        <f t="shared" si="11"/>
        <v>1524.9040949284604</v>
      </c>
      <c r="Q289" s="3">
        <f t="shared" si="14"/>
        <v>130323.38538640981</v>
      </c>
    </row>
    <row r="290" spans="13:17" ht="14.25" customHeight="1">
      <c r="M290" s="1">
        <f t="shared" si="12"/>
        <v>289</v>
      </c>
      <c r="N290" s="3">
        <f t="shared" si="10"/>
        <v>2129.2087550512606</v>
      </c>
      <c r="O290" s="3">
        <f t="shared" si="13"/>
        <v>597.31551635437825</v>
      </c>
      <c r="P290" s="3">
        <f t="shared" si="11"/>
        <v>1531.8932386968822</v>
      </c>
      <c r="Q290" s="3">
        <f t="shared" si="14"/>
        <v>128791.49214771292</v>
      </c>
    </row>
    <row r="291" spans="13:17" ht="14.25" customHeight="1">
      <c r="M291" s="1">
        <f t="shared" si="12"/>
        <v>290</v>
      </c>
      <c r="N291" s="3">
        <f t="shared" si="10"/>
        <v>2129.2087550512606</v>
      </c>
      <c r="O291" s="3">
        <f t="shared" si="13"/>
        <v>590.29433901035088</v>
      </c>
      <c r="P291" s="3">
        <f t="shared" si="11"/>
        <v>1538.9144160409096</v>
      </c>
      <c r="Q291" s="3">
        <f t="shared" si="14"/>
        <v>127252.57773167202</v>
      </c>
    </row>
    <row r="292" spans="13:17" ht="14.25" customHeight="1">
      <c r="M292" s="1">
        <f t="shared" si="12"/>
        <v>291</v>
      </c>
      <c r="N292" s="3">
        <f t="shared" si="10"/>
        <v>2129.2087550512606</v>
      </c>
      <c r="O292" s="3">
        <f t="shared" si="13"/>
        <v>583.24098127016339</v>
      </c>
      <c r="P292" s="3">
        <f t="shared" si="11"/>
        <v>1545.9677737810971</v>
      </c>
      <c r="Q292" s="3">
        <f t="shared" si="14"/>
        <v>125706.60995789092</v>
      </c>
    </row>
    <row r="293" spans="13:17" ht="14.25" customHeight="1">
      <c r="M293" s="1">
        <f t="shared" si="12"/>
        <v>292</v>
      </c>
      <c r="N293" s="3">
        <f t="shared" si="10"/>
        <v>2129.2087550512606</v>
      </c>
      <c r="O293" s="3">
        <f t="shared" si="13"/>
        <v>576.15529564033341</v>
      </c>
      <c r="P293" s="3">
        <f t="shared" si="11"/>
        <v>1553.0534594109272</v>
      </c>
      <c r="Q293" s="3">
        <f t="shared" si="14"/>
        <v>124153.55649847999</v>
      </c>
    </row>
    <row r="294" spans="13:17" ht="14.25" customHeight="1">
      <c r="M294" s="1">
        <f t="shared" si="12"/>
        <v>293</v>
      </c>
      <c r="N294" s="3">
        <f t="shared" si="10"/>
        <v>2129.2087550512606</v>
      </c>
      <c r="O294" s="3">
        <f t="shared" si="13"/>
        <v>569.03713395136663</v>
      </c>
      <c r="P294" s="3">
        <f t="shared" si="11"/>
        <v>1560.1716210998939</v>
      </c>
      <c r="Q294" s="3">
        <f t="shared" si="14"/>
        <v>122593.38487738009</v>
      </c>
    </row>
    <row r="295" spans="13:17" ht="14.25" customHeight="1">
      <c r="M295" s="1">
        <f t="shared" si="12"/>
        <v>294</v>
      </c>
      <c r="N295" s="3">
        <f t="shared" si="10"/>
        <v>2129.2087550512606</v>
      </c>
      <c r="O295" s="3">
        <f t="shared" si="13"/>
        <v>561.88634735465871</v>
      </c>
      <c r="P295" s="3">
        <f t="shared" si="11"/>
        <v>1567.3224076966019</v>
      </c>
      <c r="Q295" s="3">
        <f t="shared" si="14"/>
        <v>121026.06246968349</v>
      </c>
    </row>
    <row r="296" spans="13:17" ht="14.25" customHeight="1">
      <c r="M296" s="1">
        <f t="shared" si="12"/>
        <v>295</v>
      </c>
      <c r="N296" s="3">
        <f t="shared" si="10"/>
        <v>2129.2087550512606</v>
      </c>
      <c r="O296" s="3">
        <f t="shared" si="13"/>
        <v>554.70278631938265</v>
      </c>
      <c r="P296" s="3">
        <f t="shared" si="11"/>
        <v>1574.5059687318781</v>
      </c>
      <c r="Q296" s="3">
        <f t="shared" si="14"/>
        <v>119451.55650095161</v>
      </c>
    </row>
    <row r="297" spans="13:17" ht="14.25" customHeight="1">
      <c r="M297" s="1">
        <f t="shared" si="12"/>
        <v>296</v>
      </c>
      <c r="N297" s="3">
        <f t="shared" si="10"/>
        <v>2129.2087550512606</v>
      </c>
      <c r="O297" s="3">
        <f t="shared" si="13"/>
        <v>547.48630062936161</v>
      </c>
      <c r="P297" s="3">
        <f t="shared" si="11"/>
        <v>1581.7224544218989</v>
      </c>
      <c r="Q297" s="3">
        <f t="shared" si="14"/>
        <v>117869.83404652972</v>
      </c>
    </row>
    <row r="298" spans="13:17" ht="14.25" customHeight="1">
      <c r="M298" s="1">
        <f t="shared" si="12"/>
        <v>297</v>
      </c>
      <c r="N298" s="3">
        <f t="shared" si="10"/>
        <v>2129.2087550512606</v>
      </c>
      <c r="O298" s="3">
        <f t="shared" si="13"/>
        <v>540.23673937992783</v>
      </c>
      <c r="P298" s="3">
        <f t="shared" si="11"/>
        <v>1588.9720156713329</v>
      </c>
      <c r="Q298" s="3">
        <f t="shared" si="14"/>
        <v>116280.86203085839</v>
      </c>
    </row>
    <row r="299" spans="13:17" ht="14.25" customHeight="1">
      <c r="M299" s="1">
        <f t="shared" si="12"/>
        <v>298</v>
      </c>
      <c r="N299" s="3">
        <f t="shared" si="10"/>
        <v>2129.2087550512606</v>
      </c>
      <c r="O299" s="3">
        <f t="shared" si="13"/>
        <v>532.95395097476762</v>
      </c>
      <c r="P299" s="3">
        <f t="shared" si="11"/>
        <v>1596.254804076493</v>
      </c>
      <c r="Q299" s="3">
        <f t="shared" si="14"/>
        <v>114684.6072267819</v>
      </c>
    </row>
    <row r="300" spans="13:17" ht="14.25" customHeight="1">
      <c r="M300" s="1">
        <f t="shared" si="12"/>
        <v>299</v>
      </c>
      <c r="N300" s="3">
        <f t="shared" si="10"/>
        <v>2129.2087550512606</v>
      </c>
      <c r="O300" s="3">
        <f t="shared" si="13"/>
        <v>525.63778312275042</v>
      </c>
      <c r="P300" s="3">
        <f t="shared" si="11"/>
        <v>1603.5709719285101</v>
      </c>
      <c r="Q300" s="3">
        <f t="shared" si="14"/>
        <v>113081.03625485339</v>
      </c>
    </row>
    <row r="301" spans="13:17" ht="14.25" customHeight="1">
      <c r="M301" s="1">
        <f t="shared" si="12"/>
        <v>300</v>
      </c>
      <c r="N301" s="3">
        <f t="shared" si="10"/>
        <v>2129.2087550512606</v>
      </c>
      <c r="O301" s="3">
        <f t="shared" si="13"/>
        <v>518.28808283474473</v>
      </c>
      <c r="P301" s="3">
        <f t="shared" si="11"/>
        <v>1610.9206722165159</v>
      </c>
      <c r="Q301" s="3">
        <f t="shared" si="14"/>
        <v>111470.11558263688</v>
      </c>
    </row>
    <row r="302" spans="13:17" ht="14.25" customHeight="1">
      <c r="M302" s="1">
        <f t="shared" si="12"/>
        <v>301</v>
      </c>
      <c r="N302" s="3">
        <f t="shared" si="10"/>
        <v>2129.2087550512606</v>
      </c>
      <c r="O302" s="3">
        <f t="shared" si="13"/>
        <v>510.90469642041904</v>
      </c>
      <c r="P302" s="3">
        <f t="shared" si="11"/>
        <v>1618.3040586308416</v>
      </c>
      <c r="Q302" s="3">
        <f t="shared" si="14"/>
        <v>109851.81152400604</v>
      </c>
    </row>
    <row r="303" spans="13:17" ht="14.25" customHeight="1">
      <c r="M303" s="1">
        <f t="shared" si="12"/>
        <v>302</v>
      </c>
      <c r="N303" s="3">
        <f t="shared" si="10"/>
        <v>2129.2087550512606</v>
      </c>
      <c r="O303" s="3">
        <f t="shared" si="13"/>
        <v>503.4874694850277</v>
      </c>
      <c r="P303" s="3">
        <f t="shared" si="11"/>
        <v>1625.7212855662328</v>
      </c>
      <c r="Q303" s="3">
        <f t="shared" si="14"/>
        <v>108226.09023843981</v>
      </c>
    </row>
    <row r="304" spans="13:17" ht="14.25" customHeight="1">
      <c r="M304" s="1">
        <f t="shared" si="12"/>
        <v>303</v>
      </c>
      <c r="N304" s="3">
        <f t="shared" si="10"/>
        <v>2129.2087550512606</v>
      </c>
      <c r="O304" s="3">
        <f t="shared" si="13"/>
        <v>496.03624692618246</v>
      </c>
      <c r="P304" s="3">
        <f t="shared" si="11"/>
        <v>1633.1725081250781</v>
      </c>
      <c r="Q304" s="3">
        <f t="shared" si="14"/>
        <v>106592.91773031473</v>
      </c>
    </row>
    <row r="305" spans="13:17" ht="14.25" customHeight="1">
      <c r="M305" s="1">
        <f t="shared" si="12"/>
        <v>304</v>
      </c>
      <c r="N305" s="3">
        <f t="shared" si="10"/>
        <v>2129.2087550512606</v>
      </c>
      <c r="O305" s="3">
        <f t="shared" si="13"/>
        <v>488.55087293060916</v>
      </c>
      <c r="P305" s="3">
        <f t="shared" si="11"/>
        <v>1640.6578821206515</v>
      </c>
      <c r="Q305" s="3">
        <f t="shared" si="14"/>
        <v>104952.25984819408</v>
      </c>
    </row>
    <row r="306" spans="13:17" ht="14.25" customHeight="1">
      <c r="M306" s="1">
        <f t="shared" si="12"/>
        <v>305</v>
      </c>
      <c r="N306" s="3">
        <f t="shared" si="10"/>
        <v>2129.2087550512606</v>
      </c>
      <c r="O306" s="3">
        <f t="shared" si="13"/>
        <v>481.03119097088955</v>
      </c>
      <c r="P306" s="3">
        <f t="shared" si="11"/>
        <v>1648.177564080371</v>
      </c>
      <c r="Q306" s="3">
        <f t="shared" si="14"/>
        <v>103304.08228411371</v>
      </c>
    </row>
    <row r="307" spans="13:17" ht="14.25" customHeight="1">
      <c r="M307" s="1">
        <f t="shared" si="12"/>
        <v>306</v>
      </c>
      <c r="N307" s="3">
        <f t="shared" si="10"/>
        <v>2129.2087550512606</v>
      </c>
      <c r="O307" s="3">
        <f t="shared" si="13"/>
        <v>473.47704380218784</v>
      </c>
      <c r="P307" s="3">
        <f t="shared" si="11"/>
        <v>1655.7317112490728</v>
      </c>
      <c r="Q307" s="3">
        <f t="shared" si="14"/>
        <v>101648.35057286464</v>
      </c>
    </row>
    <row r="308" spans="13:17" ht="14.25" customHeight="1">
      <c r="M308" s="1">
        <f t="shared" si="12"/>
        <v>307</v>
      </c>
      <c r="N308" s="3">
        <f t="shared" si="10"/>
        <v>2129.2087550512606</v>
      </c>
      <c r="O308" s="3">
        <f t="shared" si="13"/>
        <v>465.88827345896294</v>
      </c>
      <c r="P308" s="3">
        <f t="shared" si="11"/>
        <v>1663.3204815922977</v>
      </c>
      <c r="Q308" s="3">
        <f t="shared" si="14"/>
        <v>99985.030091272347</v>
      </c>
    </row>
    <row r="309" spans="13:17" ht="14.25" customHeight="1">
      <c r="M309" s="1">
        <f t="shared" si="12"/>
        <v>308</v>
      </c>
      <c r="N309" s="3">
        <f t="shared" si="10"/>
        <v>2129.2087550512606</v>
      </c>
      <c r="O309" s="3">
        <f t="shared" si="13"/>
        <v>458.26472125166492</v>
      </c>
      <c r="P309" s="3">
        <f t="shared" si="11"/>
        <v>1670.9440337995957</v>
      </c>
      <c r="Q309" s="3">
        <f t="shared" si="14"/>
        <v>98314.086057472756</v>
      </c>
    </row>
    <row r="310" spans="13:17" ht="14.25" customHeight="1">
      <c r="M310" s="1">
        <f t="shared" si="12"/>
        <v>309</v>
      </c>
      <c r="N310" s="3">
        <f t="shared" si="10"/>
        <v>2129.2087550512606</v>
      </c>
      <c r="O310" s="3">
        <f t="shared" si="13"/>
        <v>450.60622776341683</v>
      </c>
      <c r="P310" s="3">
        <f t="shared" si="11"/>
        <v>1678.6025272878437</v>
      </c>
      <c r="Q310" s="3">
        <f t="shared" si="14"/>
        <v>96635.483530184909</v>
      </c>
    </row>
    <row r="311" spans="13:17" ht="14.25" customHeight="1">
      <c r="M311" s="1">
        <f t="shared" si="12"/>
        <v>310</v>
      </c>
      <c r="N311" s="3">
        <f t="shared" si="10"/>
        <v>2129.2087550512606</v>
      </c>
      <c r="O311" s="3">
        <f t="shared" si="13"/>
        <v>442.91263284668088</v>
      </c>
      <c r="P311" s="3">
        <f t="shared" si="11"/>
        <v>1686.2961222045797</v>
      </c>
      <c r="Q311" s="3">
        <f t="shared" si="14"/>
        <v>94949.187407980324</v>
      </c>
    </row>
    <row r="312" spans="13:17" ht="14.25" customHeight="1">
      <c r="M312" s="1">
        <f t="shared" si="12"/>
        <v>311</v>
      </c>
      <c r="N312" s="3">
        <f t="shared" si="10"/>
        <v>2129.2087550512606</v>
      </c>
      <c r="O312" s="3">
        <f t="shared" si="13"/>
        <v>435.1837756199098</v>
      </c>
      <c r="P312" s="3">
        <f t="shared" si="11"/>
        <v>1694.0249794313509</v>
      </c>
      <c r="Q312" s="3">
        <f t="shared" si="14"/>
        <v>93255.162428548967</v>
      </c>
    </row>
    <row r="313" spans="13:17" ht="14.25" customHeight="1">
      <c r="M313" s="1">
        <f t="shared" si="12"/>
        <v>312</v>
      </c>
      <c r="N313" s="3">
        <f t="shared" si="10"/>
        <v>2129.2087550512606</v>
      </c>
      <c r="O313" s="3">
        <f t="shared" si="13"/>
        <v>427.41949446418272</v>
      </c>
      <c r="P313" s="3">
        <f t="shared" si="11"/>
        <v>1701.7892605870779</v>
      </c>
      <c r="Q313" s="3">
        <f t="shared" si="14"/>
        <v>91553.373167961894</v>
      </c>
    </row>
    <row r="314" spans="13:17" ht="14.25" customHeight="1">
      <c r="M314" s="1">
        <f t="shared" si="12"/>
        <v>313</v>
      </c>
      <c r="N314" s="3">
        <f t="shared" si="10"/>
        <v>2129.2087550512606</v>
      </c>
      <c r="O314" s="3">
        <f t="shared" si="13"/>
        <v>419.61962701982537</v>
      </c>
      <c r="P314" s="3">
        <f t="shared" si="11"/>
        <v>1709.5891280314352</v>
      </c>
      <c r="Q314" s="3">
        <f t="shared" si="14"/>
        <v>89843.784039930455</v>
      </c>
    </row>
    <row r="315" spans="13:17" ht="14.25" customHeight="1">
      <c r="M315" s="1">
        <f t="shared" si="12"/>
        <v>314</v>
      </c>
      <c r="N315" s="3">
        <f t="shared" si="10"/>
        <v>2129.2087550512606</v>
      </c>
      <c r="O315" s="3">
        <f t="shared" si="13"/>
        <v>411.78401018301457</v>
      </c>
      <c r="P315" s="3">
        <f t="shared" si="11"/>
        <v>1717.4247448682461</v>
      </c>
      <c r="Q315" s="3">
        <f t="shared" si="14"/>
        <v>88126.359295062211</v>
      </c>
    </row>
    <row r="316" spans="13:17" ht="14.25" customHeight="1">
      <c r="M316" s="1">
        <f t="shared" si="12"/>
        <v>315</v>
      </c>
      <c r="N316" s="3">
        <f t="shared" si="10"/>
        <v>2129.2087550512606</v>
      </c>
      <c r="O316" s="3">
        <f t="shared" si="13"/>
        <v>403.91248010236842</v>
      </c>
      <c r="P316" s="3">
        <f t="shared" si="11"/>
        <v>1725.2962749488922</v>
      </c>
      <c r="Q316" s="3">
        <f t="shared" si="14"/>
        <v>86401.063020113317</v>
      </c>
    </row>
    <row r="317" spans="13:17" ht="14.25" customHeight="1">
      <c r="M317" s="1">
        <f t="shared" si="12"/>
        <v>316</v>
      </c>
      <c r="N317" s="3">
        <f t="shared" si="10"/>
        <v>2129.2087550512606</v>
      </c>
      <c r="O317" s="3">
        <f t="shared" si="13"/>
        <v>396.00487217551932</v>
      </c>
      <c r="P317" s="3">
        <f t="shared" si="11"/>
        <v>1733.2038828757413</v>
      </c>
      <c r="Q317" s="3">
        <f t="shared" si="14"/>
        <v>84667.859137237581</v>
      </c>
    </row>
    <row r="318" spans="13:17" ht="14.25" customHeight="1">
      <c r="M318" s="1">
        <f t="shared" si="12"/>
        <v>317</v>
      </c>
      <c r="N318" s="3">
        <f t="shared" si="10"/>
        <v>2129.2087550512606</v>
      </c>
      <c r="O318" s="3">
        <f t="shared" si="13"/>
        <v>388.06102104567225</v>
      </c>
      <c r="P318" s="3">
        <f t="shared" si="11"/>
        <v>1741.1477340055883</v>
      </c>
      <c r="Q318" s="3">
        <f t="shared" si="14"/>
        <v>82926.711403231995</v>
      </c>
    </row>
    <row r="319" spans="13:17" ht="14.25" customHeight="1">
      <c r="M319" s="1">
        <f t="shared" si="12"/>
        <v>318</v>
      </c>
      <c r="N319" s="3">
        <f t="shared" si="10"/>
        <v>2129.2087550512606</v>
      </c>
      <c r="O319" s="3">
        <f t="shared" si="13"/>
        <v>380.0807605981467</v>
      </c>
      <c r="P319" s="3">
        <f t="shared" si="11"/>
        <v>1749.1279944531138</v>
      </c>
      <c r="Q319" s="3">
        <f t="shared" si="14"/>
        <v>81177.583408778883</v>
      </c>
    </row>
    <row r="320" spans="13:17" ht="14.25" customHeight="1">
      <c r="M320" s="1">
        <f t="shared" si="12"/>
        <v>319</v>
      </c>
      <c r="N320" s="3">
        <f t="shared" si="10"/>
        <v>2129.2087550512606</v>
      </c>
      <c r="O320" s="3">
        <f t="shared" si="13"/>
        <v>372.06392395690318</v>
      </c>
      <c r="P320" s="3">
        <f t="shared" si="11"/>
        <v>1757.1448310943574</v>
      </c>
      <c r="Q320" s="3">
        <f t="shared" si="14"/>
        <v>79420.43857768453</v>
      </c>
    </row>
    <row r="321" spans="13:17" ht="14.25" customHeight="1">
      <c r="M321" s="1">
        <f t="shared" si="12"/>
        <v>320</v>
      </c>
      <c r="N321" s="3">
        <f t="shared" si="10"/>
        <v>2129.2087550512606</v>
      </c>
      <c r="O321" s="3">
        <f t="shared" si="13"/>
        <v>364.01034348105412</v>
      </c>
      <c r="P321" s="3">
        <f t="shared" si="11"/>
        <v>1765.1984115702064</v>
      </c>
      <c r="Q321" s="3">
        <f t="shared" si="14"/>
        <v>77655.240166114323</v>
      </c>
    </row>
    <row r="322" spans="13:17" ht="14.25" customHeight="1">
      <c r="M322" s="1">
        <f t="shared" si="12"/>
        <v>321</v>
      </c>
      <c r="N322" s="3">
        <f t="shared" si="10"/>
        <v>2129.2087550512606</v>
      </c>
      <c r="O322" s="3">
        <f t="shared" si="13"/>
        <v>355.91985076135734</v>
      </c>
      <c r="P322" s="3">
        <f t="shared" si="11"/>
        <v>1773.2889042899033</v>
      </c>
      <c r="Q322" s="3">
        <f t="shared" si="14"/>
        <v>75881.951261824419</v>
      </c>
    </row>
    <row r="323" spans="13:17" ht="14.25" customHeight="1">
      <c r="M323" s="1">
        <f t="shared" si="12"/>
        <v>322</v>
      </c>
      <c r="N323" s="3">
        <f t="shared" si="10"/>
        <v>2129.2087550512606</v>
      </c>
      <c r="O323" s="3">
        <f t="shared" si="13"/>
        <v>347.79227661669529</v>
      </c>
      <c r="P323" s="3">
        <f t="shared" si="11"/>
        <v>1781.4164784345653</v>
      </c>
      <c r="Q323" s="3">
        <f t="shared" si="14"/>
        <v>74100.534783389856</v>
      </c>
    </row>
    <row r="324" spans="13:17" ht="14.25" customHeight="1">
      <c r="M324" s="1">
        <f t="shared" si="12"/>
        <v>323</v>
      </c>
      <c r="N324" s="3">
        <f t="shared" si="10"/>
        <v>2129.2087550512606</v>
      </c>
      <c r="O324" s="3">
        <f t="shared" si="13"/>
        <v>339.62745109053685</v>
      </c>
      <c r="P324" s="3">
        <f t="shared" si="11"/>
        <v>1789.5813039607237</v>
      </c>
      <c r="Q324" s="3">
        <f t="shared" si="14"/>
        <v>72310.953479429125</v>
      </c>
    </row>
    <row r="325" spans="13:17" ht="14.25" customHeight="1">
      <c r="M325" s="1">
        <f t="shared" si="12"/>
        <v>324</v>
      </c>
      <c r="N325" s="3">
        <f t="shared" si="10"/>
        <v>2129.2087550512606</v>
      </c>
      <c r="O325" s="3">
        <f t="shared" si="13"/>
        <v>331.42520344738347</v>
      </c>
      <c r="P325" s="3">
        <f t="shared" si="11"/>
        <v>1797.7835516038772</v>
      </c>
      <c r="Q325" s="3">
        <f t="shared" si="14"/>
        <v>70513.169927825249</v>
      </c>
    </row>
    <row r="326" spans="13:17" ht="14.25" customHeight="1">
      <c r="M326" s="1">
        <f t="shared" si="12"/>
        <v>325</v>
      </c>
      <c r="N326" s="3">
        <f t="shared" si="10"/>
        <v>2129.2087550512606</v>
      </c>
      <c r="O326" s="3">
        <f t="shared" si="13"/>
        <v>323.1853621691991</v>
      </c>
      <c r="P326" s="3">
        <f t="shared" si="11"/>
        <v>1806.0233928820614</v>
      </c>
      <c r="Q326" s="3">
        <f t="shared" si="14"/>
        <v>68707.146534943182</v>
      </c>
    </row>
    <row r="327" spans="13:17" ht="14.25" customHeight="1">
      <c r="M327" s="1">
        <f t="shared" si="12"/>
        <v>326</v>
      </c>
      <c r="N327" s="3">
        <f t="shared" si="10"/>
        <v>2129.2087550512606</v>
      </c>
      <c r="O327" s="3">
        <f t="shared" si="13"/>
        <v>314.90775495182294</v>
      </c>
      <c r="P327" s="3">
        <f t="shared" si="11"/>
        <v>1814.3010000994377</v>
      </c>
      <c r="Q327" s="3">
        <f t="shared" si="14"/>
        <v>66892.845534843742</v>
      </c>
    </row>
    <row r="328" spans="13:17" ht="14.25" customHeight="1">
      <c r="M328" s="1">
        <f t="shared" si="12"/>
        <v>327</v>
      </c>
      <c r="N328" s="3">
        <f t="shared" si="10"/>
        <v>2129.2087550512606</v>
      </c>
      <c r="O328" s="3">
        <f t="shared" si="13"/>
        <v>306.59220870136716</v>
      </c>
      <c r="P328" s="3">
        <f t="shared" si="11"/>
        <v>1822.6165463498935</v>
      </c>
      <c r="Q328" s="3">
        <f t="shared" si="14"/>
        <v>65070.228988493851</v>
      </c>
    </row>
    <row r="329" spans="13:17" ht="14.25" customHeight="1">
      <c r="M329" s="1">
        <f t="shared" si="12"/>
        <v>328</v>
      </c>
      <c r="N329" s="3">
        <f t="shared" si="10"/>
        <v>2129.2087550512606</v>
      </c>
      <c r="O329" s="3">
        <f t="shared" si="13"/>
        <v>298.2385495305968</v>
      </c>
      <c r="P329" s="3">
        <f t="shared" si="11"/>
        <v>1830.9702055206637</v>
      </c>
      <c r="Q329" s="3">
        <f t="shared" si="14"/>
        <v>63239.258782973186</v>
      </c>
    </row>
    <row r="330" spans="13:17" ht="14.25" customHeight="1">
      <c r="M330" s="1">
        <f t="shared" si="12"/>
        <v>329</v>
      </c>
      <c r="N330" s="3">
        <f t="shared" si="10"/>
        <v>2129.2087550512606</v>
      </c>
      <c r="O330" s="3">
        <f t="shared" si="13"/>
        <v>289.84660275529376</v>
      </c>
      <c r="P330" s="3">
        <f t="shared" si="11"/>
        <v>1839.3621522959668</v>
      </c>
      <c r="Q330" s="3">
        <f t="shared" si="14"/>
        <v>61399.89663067722</v>
      </c>
    </row>
    <row r="331" spans="13:17" ht="14.25" customHeight="1">
      <c r="M331" s="1">
        <f t="shared" si="12"/>
        <v>330</v>
      </c>
      <c r="N331" s="3">
        <f t="shared" si="10"/>
        <v>2129.2087550512606</v>
      </c>
      <c r="O331" s="3">
        <f t="shared" si="13"/>
        <v>281.4161928906039</v>
      </c>
      <c r="P331" s="3">
        <f t="shared" si="11"/>
        <v>1847.7925621606566</v>
      </c>
      <c r="Q331" s="3">
        <f t="shared" si="14"/>
        <v>59552.104068516564</v>
      </c>
    </row>
    <row r="332" spans="13:17" ht="14.25" customHeight="1">
      <c r="M332" s="1">
        <f t="shared" si="12"/>
        <v>331</v>
      </c>
      <c r="N332" s="3">
        <f t="shared" si="10"/>
        <v>2129.2087550512606</v>
      </c>
      <c r="O332" s="3">
        <f t="shared" si="13"/>
        <v>272.94714364736757</v>
      </c>
      <c r="P332" s="3">
        <f t="shared" si="11"/>
        <v>1856.2616114038931</v>
      </c>
      <c r="Q332" s="3">
        <f t="shared" si="14"/>
        <v>57695.842457112674</v>
      </c>
    </row>
    <row r="333" spans="13:17" ht="14.25" customHeight="1">
      <c r="M333" s="1">
        <f t="shared" si="12"/>
        <v>332</v>
      </c>
      <c r="N333" s="3">
        <f t="shared" si="10"/>
        <v>2129.2087550512606</v>
      </c>
      <c r="O333" s="3">
        <f t="shared" si="13"/>
        <v>264.43927792843311</v>
      </c>
      <c r="P333" s="3">
        <f t="shared" si="11"/>
        <v>1864.7694771228275</v>
      </c>
      <c r="Q333" s="3">
        <f t="shared" si="14"/>
        <v>55831.072979989847</v>
      </c>
    </row>
    <row r="334" spans="13:17" ht="14.25" customHeight="1">
      <c r="M334" s="1">
        <f t="shared" si="12"/>
        <v>333</v>
      </c>
      <c r="N334" s="3">
        <f t="shared" si="10"/>
        <v>2129.2087550512606</v>
      </c>
      <c r="O334" s="3">
        <f t="shared" si="13"/>
        <v>255.89241782495347</v>
      </c>
      <c r="P334" s="3">
        <f t="shared" si="11"/>
        <v>1873.316337226307</v>
      </c>
      <c r="Q334" s="3">
        <f t="shared" si="14"/>
        <v>53957.756642763539</v>
      </c>
    </row>
    <row r="335" spans="13:17" ht="14.25" customHeight="1">
      <c r="M335" s="1">
        <f t="shared" si="12"/>
        <v>334</v>
      </c>
      <c r="N335" s="3">
        <f t="shared" si="10"/>
        <v>2129.2087550512606</v>
      </c>
      <c r="O335" s="3">
        <f t="shared" si="13"/>
        <v>247.30638461266622</v>
      </c>
      <c r="P335" s="3">
        <f t="shared" si="11"/>
        <v>1881.9023704385943</v>
      </c>
      <c r="Q335" s="3">
        <f t="shared" si="14"/>
        <v>52075.854272324948</v>
      </c>
    </row>
    <row r="336" spans="13:17" ht="14.25" customHeight="1">
      <c r="M336" s="1">
        <f t="shared" si="12"/>
        <v>335</v>
      </c>
      <c r="N336" s="3">
        <f t="shared" si="10"/>
        <v>2129.2087550512606</v>
      </c>
      <c r="O336" s="3">
        <f t="shared" si="13"/>
        <v>238.68099874815604</v>
      </c>
      <c r="P336" s="3">
        <f t="shared" si="11"/>
        <v>1890.5277563031045</v>
      </c>
      <c r="Q336" s="3">
        <f t="shared" si="14"/>
        <v>50185.326516021843</v>
      </c>
    </row>
    <row r="337" spans="13:17" ht="14.25" customHeight="1">
      <c r="M337" s="1">
        <f t="shared" si="12"/>
        <v>336</v>
      </c>
      <c r="N337" s="3">
        <f t="shared" si="10"/>
        <v>2129.2087550512606</v>
      </c>
      <c r="O337" s="3">
        <f t="shared" si="13"/>
        <v>230.01607986510012</v>
      </c>
      <c r="P337" s="3">
        <f t="shared" si="11"/>
        <v>1899.1926751861604</v>
      </c>
      <c r="Q337" s="3">
        <f t="shared" si="14"/>
        <v>48286.133840835682</v>
      </c>
    </row>
    <row r="338" spans="13:17" ht="14.25" customHeight="1">
      <c r="M338" s="1">
        <f t="shared" si="12"/>
        <v>337</v>
      </c>
      <c r="N338" s="3">
        <f t="shared" si="10"/>
        <v>2129.2087550512606</v>
      </c>
      <c r="O338" s="3">
        <f t="shared" si="13"/>
        <v>221.31144677049687</v>
      </c>
      <c r="P338" s="3">
        <f t="shared" si="11"/>
        <v>1907.8973082807638</v>
      </c>
      <c r="Q338" s="3">
        <f t="shared" si="14"/>
        <v>46378.236532554918</v>
      </c>
    </row>
    <row r="339" spans="13:17" ht="14.25" customHeight="1">
      <c r="M339" s="1">
        <f t="shared" si="12"/>
        <v>338</v>
      </c>
      <c r="N339" s="3">
        <f t="shared" si="10"/>
        <v>2129.2087550512606</v>
      </c>
      <c r="O339" s="3">
        <f t="shared" si="13"/>
        <v>212.56691744087672</v>
      </c>
      <c r="P339" s="3">
        <f t="shared" si="11"/>
        <v>1916.6418376103838</v>
      </c>
      <c r="Q339" s="3">
        <f t="shared" si="14"/>
        <v>44461.594694944535</v>
      </c>
    </row>
    <row r="340" spans="13:17" ht="14.25" customHeight="1">
      <c r="M340" s="1">
        <f t="shared" si="12"/>
        <v>339</v>
      </c>
      <c r="N340" s="3">
        <f t="shared" si="10"/>
        <v>2129.2087550512606</v>
      </c>
      <c r="O340" s="3">
        <f t="shared" si="13"/>
        <v>203.78230901849579</v>
      </c>
      <c r="P340" s="3">
        <f t="shared" si="11"/>
        <v>1925.4264460327647</v>
      </c>
      <c r="Q340" s="3">
        <f t="shared" si="14"/>
        <v>42536.168248911774</v>
      </c>
    </row>
    <row r="341" spans="13:17" ht="14.25" customHeight="1">
      <c r="M341" s="1">
        <f t="shared" si="12"/>
        <v>340</v>
      </c>
      <c r="N341" s="3">
        <f t="shared" si="10"/>
        <v>2129.2087550512606</v>
      </c>
      <c r="O341" s="3">
        <f t="shared" si="13"/>
        <v>194.95743780751229</v>
      </c>
      <c r="P341" s="3">
        <f t="shared" si="11"/>
        <v>1934.2513172437484</v>
      </c>
      <c r="Q341" s="3">
        <f t="shared" si="14"/>
        <v>40601.916931668027</v>
      </c>
    </row>
    <row r="342" spans="13:17" ht="14.25" customHeight="1">
      <c r="M342" s="1">
        <f t="shared" si="12"/>
        <v>341</v>
      </c>
      <c r="N342" s="3">
        <f t="shared" si="10"/>
        <v>2129.2087550512606</v>
      </c>
      <c r="O342" s="3">
        <f t="shared" si="13"/>
        <v>186.0921192701451</v>
      </c>
      <c r="P342" s="3">
        <f t="shared" si="11"/>
        <v>1943.1166357811155</v>
      </c>
      <c r="Q342" s="3">
        <f t="shared" si="14"/>
        <v>38658.800295886911</v>
      </c>
    </row>
    <row r="343" spans="13:17" ht="14.25" customHeight="1">
      <c r="M343" s="1">
        <f t="shared" si="12"/>
        <v>342</v>
      </c>
      <c r="N343" s="3">
        <f t="shared" si="10"/>
        <v>2129.2087550512606</v>
      </c>
      <c r="O343" s="3">
        <f t="shared" si="13"/>
        <v>177.186168022815</v>
      </c>
      <c r="P343" s="3">
        <f t="shared" si="11"/>
        <v>1952.0225870284455</v>
      </c>
      <c r="Q343" s="3">
        <f t="shared" si="14"/>
        <v>36706.777708858463</v>
      </c>
    </row>
    <row r="344" spans="13:17" ht="14.25" customHeight="1">
      <c r="M344" s="1">
        <f t="shared" si="12"/>
        <v>343</v>
      </c>
      <c r="N344" s="3">
        <f t="shared" si="10"/>
        <v>2129.2087550512606</v>
      </c>
      <c r="O344" s="3">
        <f t="shared" si="13"/>
        <v>168.23939783226794</v>
      </c>
      <c r="P344" s="3">
        <f t="shared" si="11"/>
        <v>1960.9693572189926</v>
      </c>
      <c r="Q344" s="3">
        <f t="shared" si="14"/>
        <v>34745.808351639469</v>
      </c>
    </row>
    <row r="345" spans="13:17" ht="14.25" customHeight="1">
      <c r="M345" s="1">
        <f t="shared" si="12"/>
        <v>344</v>
      </c>
      <c r="N345" s="3">
        <f t="shared" si="10"/>
        <v>2129.2087550512606</v>
      </c>
      <c r="O345" s="3">
        <f t="shared" si="13"/>
        <v>159.25162161168092</v>
      </c>
      <c r="P345" s="3">
        <f t="shared" si="11"/>
        <v>1969.9571334395796</v>
      </c>
      <c r="Q345" s="3">
        <f t="shared" si="14"/>
        <v>32775.851218199889</v>
      </c>
    </row>
    <row r="346" spans="13:17" ht="14.25" customHeight="1">
      <c r="M346" s="1">
        <f t="shared" si="12"/>
        <v>345</v>
      </c>
      <c r="N346" s="3">
        <f t="shared" si="10"/>
        <v>2129.2087550512606</v>
      </c>
      <c r="O346" s="3">
        <f t="shared" si="13"/>
        <v>150.22265141674947</v>
      </c>
      <c r="P346" s="3">
        <f t="shared" si="11"/>
        <v>1978.9861036345112</v>
      </c>
      <c r="Q346" s="3">
        <f t="shared" si="14"/>
        <v>30796.865114565378</v>
      </c>
    </row>
    <row r="347" spans="13:17" ht="14.25" customHeight="1">
      <c r="M347" s="1">
        <f t="shared" si="12"/>
        <v>346</v>
      </c>
      <c r="N347" s="3">
        <f t="shared" si="10"/>
        <v>2129.2087550512606</v>
      </c>
      <c r="O347" s="3">
        <f t="shared" si="13"/>
        <v>141.15229844175798</v>
      </c>
      <c r="P347" s="3">
        <f t="shared" si="11"/>
        <v>1988.0564566095027</v>
      </c>
      <c r="Q347" s="3">
        <f t="shared" si="14"/>
        <v>28808.808657955877</v>
      </c>
    </row>
    <row r="348" spans="13:17" ht="14.25" customHeight="1">
      <c r="M348" s="1">
        <f t="shared" si="12"/>
        <v>347</v>
      </c>
      <c r="N348" s="3">
        <f t="shared" si="10"/>
        <v>2129.2087550512606</v>
      </c>
      <c r="O348" s="3">
        <f t="shared" si="13"/>
        <v>132.0403730156311</v>
      </c>
      <c r="P348" s="3">
        <f t="shared" si="11"/>
        <v>1997.1683820356295</v>
      </c>
      <c r="Q348" s="3">
        <f t="shared" si="14"/>
        <v>26811.640275920246</v>
      </c>
    </row>
    <row r="349" spans="13:17" ht="14.25" customHeight="1">
      <c r="M349" s="1">
        <f t="shared" si="12"/>
        <v>348</v>
      </c>
      <c r="N349" s="3">
        <f t="shared" si="10"/>
        <v>2129.2087550512606</v>
      </c>
      <c r="O349" s="3">
        <f t="shared" si="13"/>
        <v>122.8866845979678</v>
      </c>
      <c r="P349" s="3">
        <f t="shared" si="11"/>
        <v>2006.3220704532928</v>
      </c>
      <c r="Q349" s="3">
        <f t="shared" si="14"/>
        <v>24805.318205466952</v>
      </c>
    </row>
    <row r="350" spans="13:17" ht="14.25" customHeight="1">
      <c r="M350" s="1">
        <f t="shared" si="12"/>
        <v>349</v>
      </c>
      <c r="N350" s="3">
        <f t="shared" si="10"/>
        <v>2129.2087550512606</v>
      </c>
      <c r="O350" s="3">
        <f t="shared" si="13"/>
        <v>113.69104177505687</v>
      </c>
      <c r="P350" s="3">
        <f t="shared" si="11"/>
        <v>2015.5177132762037</v>
      </c>
      <c r="Q350" s="3">
        <f t="shared" si="14"/>
        <v>22789.800492190749</v>
      </c>
    </row>
    <row r="351" spans="13:17" ht="14.25" customHeight="1">
      <c r="M351" s="1">
        <f t="shared" si="12"/>
        <v>350</v>
      </c>
      <c r="N351" s="3">
        <f t="shared" si="10"/>
        <v>2129.2087550512606</v>
      </c>
      <c r="O351" s="3">
        <f t="shared" si="13"/>
        <v>104.45325225587426</v>
      </c>
      <c r="P351" s="3">
        <f t="shared" si="11"/>
        <v>2024.7555027953863</v>
      </c>
      <c r="Q351" s="3">
        <f t="shared" si="14"/>
        <v>20765.044989395363</v>
      </c>
    </row>
    <row r="352" spans="13:17" ht="14.25" customHeight="1">
      <c r="M352" s="1">
        <f t="shared" si="12"/>
        <v>351</v>
      </c>
      <c r="N352" s="3">
        <f t="shared" si="10"/>
        <v>2129.2087550512606</v>
      </c>
      <c r="O352" s="3">
        <f t="shared" si="13"/>
        <v>95.17312286806208</v>
      </c>
      <c r="P352" s="3">
        <f t="shared" si="11"/>
        <v>2034.0356321831985</v>
      </c>
      <c r="Q352" s="3">
        <f t="shared" si="14"/>
        <v>18731.009357212166</v>
      </c>
    </row>
    <row r="353" spans="13:17" ht="14.25" customHeight="1">
      <c r="M353" s="1">
        <f t="shared" si="12"/>
        <v>352</v>
      </c>
      <c r="N353" s="3">
        <f t="shared" si="10"/>
        <v>2129.2087550512606</v>
      </c>
      <c r="O353" s="3">
        <f t="shared" si="13"/>
        <v>85.850459553889095</v>
      </c>
      <c r="P353" s="3">
        <f t="shared" si="11"/>
        <v>2043.3582954973715</v>
      </c>
      <c r="Q353" s="3">
        <f t="shared" si="14"/>
        <v>16687.651061714794</v>
      </c>
    </row>
    <row r="354" spans="13:17" ht="14.25" customHeight="1">
      <c r="M354" s="1">
        <f t="shared" si="12"/>
        <v>353</v>
      </c>
      <c r="N354" s="3">
        <f t="shared" si="10"/>
        <v>2129.2087550512606</v>
      </c>
      <c r="O354" s="3">
        <f t="shared" si="13"/>
        <v>76.485067366192808</v>
      </c>
      <c r="P354" s="3">
        <f t="shared" si="11"/>
        <v>2052.7236876850679</v>
      </c>
      <c r="Q354" s="3">
        <f t="shared" si="14"/>
        <v>14634.927374029727</v>
      </c>
    </row>
    <row r="355" spans="13:17" ht="14.25" customHeight="1">
      <c r="M355" s="1">
        <f t="shared" si="12"/>
        <v>354</v>
      </c>
      <c r="N355" s="3">
        <f t="shared" si="10"/>
        <v>2129.2087550512606</v>
      </c>
      <c r="O355" s="3">
        <f t="shared" si="13"/>
        <v>67.076750464302918</v>
      </c>
      <c r="P355" s="3">
        <f t="shared" si="11"/>
        <v>2062.1320045869575</v>
      </c>
      <c r="Q355" s="3">
        <f t="shared" si="14"/>
        <v>12572.795369442769</v>
      </c>
    </row>
    <row r="356" spans="13:17" ht="14.25" customHeight="1">
      <c r="M356" s="1">
        <f t="shared" si="12"/>
        <v>355</v>
      </c>
      <c r="N356" s="3">
        <f t="shared" si="10"/>
        <v>2129.2087550512606</v>
      </c>
      <c r="O356" s="3">
        <f t="shared" si="13"/>
        <v>57.62531210994603</v>
      </c>
      <c r="P356" s="3">
        <f t="shared" si="11"/>
        <v>2071.5834429413144</v>
      </c>
      <c r="Q356" s="3">
        <f t="shared" si="14"/>
        <v>10501.211926501455</v>
      </c>
    </row>
    <row r="357" spans="13:17" ht="14.25" customHeight="1">
      <c r="M357" s="1">
        <f t="shared" si="12"/>
        <v>356</v>
      </c>
      <c r="N357" s="3">
        <f t="shared" si="10"/>
        <v>2129.2087550512606</v>
      </c>
      <c r="O357" s="3">
        <f t="shared" si="13"/>
        <v>48.130554663131669</v>
      </c>
      <c r="P357" s="3">
        <f t="shared" si="11"/>
        <v>2081.0782003881291</v>
      </c>
      <c r="Q357" s="3">
        <f t="shared" si="14"/>
        <v>8420.1337261133267</v>
      </c>
    </row>
    <row r="358" spans="13:17" ht="14.25" customHeight="1">
      <c r="M358" s="1">
        <f t="shared" si="12"/>
        <v>357</v>
      </c>
      <c r="N358" s="3">
        <f t="shared" si="10"/>
        <v>2129.2087550512606</v>
      </c>
      <c r="O358" s="3">
        <f t="shared" si="13"/>
        <v>38.592279578019415</v>
      </c>
      <c r="P358" s="3">
        <f t="shared" si="11"/>
        <v>2090.6164754732413</v>
      </c>
      <c r="Q358" s="3">
        <f t="shared" si="14"/>
        <v>6329.517250640085</v>
      </c>
    </row>
    <row r="359" spans="13:17" ht="14.25" customHeight="1">
      <c r="M359" s="1">
        <f t="shared" si="12"/>
        <v>358</v>
      </c>
      <c r="N359" s="3">
        <f t="shared" si="10"/>
        <v>2129.2087550512606</v>
      </c>
      <c r="O359" s="3">
        <f t="shared" si="13"/>
        <v>29.010287398767058</v>
      </c>
      <c r="P359" s="3">
        <f t="shared" si="11"/>
        <v>2100.1984676524935</v>
      </c>
      <c r="Q359" s="3">
        <f t="shared" si="14"/>
        <v>4229.3187829875915</v>
      </c>
    </row>
    <row r="360" spans="13:17" ht="14.25" customHeight="1">
      <c r="M360" s="1">
        <f t="shared" si="12"/>
        <v>359</v>
      </c>
      <c r="N360" s="3">
        <f t="shared" si="10"/>
        <v>2129.2087550512606</v>
      </c>
      <c r="O360" s="3">
        <f t="shared" si="13"/>
        <v>19.384377755359797</v>
      </c>
      <c r="P360" s="3">
        <f t="shared" si="11"/>
        <v>2109.8243772959008</v>
      </c>
      <c r="Q360" s="3">
        <f t="shared" si="14"/>
        <v>2119.4944056916906</v>
      </c>
    </row>
    <row r="361" spans="13:17" ht="14.25" customHeight="1">
      <c r="M361" s="1">
        <f t="shared" si="12"/>
        <v>360</v>
      </c>
      <c r="N361" s="3">
        <f t="shared" si="10"/>
        <v>2129.2087550512606</v>
      </c>
      <c r="O361" s="3">
        <f t="shared" si="13"/>
        <v>9.7143493594202486</v>
      </c>
      <c r="P361" s="3">
        <f t="shared" si="11"/>
        <v>2119.4944056918403</v>
      </c>
      <c r="Q361" s="3">
        <f t="shared" si="14"/>
        <v>-1.496118784416467E-10</v>
      </c>
    </row>
    <row r="362" spans="13:17" ht="14.25" customHeight="1"/>
    <row r="363" spans="13:17" ht="14.25" customHeight="1"/>
    <row r="364" spans="13:17" ht="14.25" customHeight="1"/>
    <row r="365" spans="13:17" ht="14.25" customHeight="1"/>
    <row r="366" spans="13:17" ht="14.25" customHeight="1"/>
    <row r="367" spans="13:17" ht="14.25" customHeight="1"/>
    <row r="368" spans="13:17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8:B18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/>
  </sheetViews>
  <sheetFormatPr defaultColWidth="14.42578125" defaultRowHeight="15" customHeight="1"/>
  <cols>
    <col min="1" max="1" width="10.140625" customWidth="1"/>
    <col min="2" max="4" width="7.7109375" customWidth="1"/>
    <col min="5" max="5" width="8.7109375" customWidth="1"/>
    <col min="6" max="6" width="9" customWidth="1"/>
  </cols>
  <sheetData>
    <row r="1" spans="1:17" ht="19.5">
      <c r="B1" s="55" t="s">
        <v>126</v>
      </c>
      <c r="C1" s="54"/>
      <c r="D1" s="54"/>
      <c r="F1" s="1" t="s">
        <v>127</v>
      </c>
      <c r="I1" s="18" t="s">
        <v>127</v>
      </c>
      <c r="K1" s="18" t="s">
        <v>128</v>
      </c>
      <c r="L1" s="27" t="s">
        <v>129</v>
      </c>
      <c r="M1" s="27" t="s">
        <v>130</v>
      </c>
      <c r="N1" s="27" t="s">
        <v>131</v>
      </c>
      <c r="O1" s="27" t="s">
        <v>129</v>
      </c>
      <c r="P1" s="27" t="s">
        <v>130</v>
      </c>
      <c r="Q1" s="27" t="s">
        <v>131</v>
      </c>
    </row>
    <row r="2" spans="1:17" ht="14.25" customHeight="1">
      <c r="A2" s="1" t="s">
        <v>132</v>
      </c>
      <c r="B2" s="1" t="s">
        <v>133</v>
      </c>
      <c r="C2" s="1" t="s">
        <v>134</v>
      </c>
      <c r="D2" s="1" t="s">
        <v>135</v>
      </c>
      <c r="H2" s="18" t="s">
        <v>11</v>
      </c>
      <c r="I2" s="28">
        <f t="shared" ref="I2:I97" si="0">AVERAGE(L2,O2)</f>
        <v>5.5634999999999999E-3</v>
      </c>
      <c r="K2" s="29">
        <v>0</v>
      </c>
      <c r="L2" s="30">
        <v>6.0809999999999996E-3</v>
      </c>
      <c r="M2" s="31">
        <v>100000</v>
      </c>
      <c r="N2" s="30">
        <v>76.23</v>
      </c>
      <c r="O2" s="30">
        <v>5.0460000000000001E-3</v>
      </c>
      <c r="P2" s="31">
        <v>100000</v>
      </c>
      <c r="Q2" s="30">
        <v>81.28</v>
      </c>
    </row>
    <row r="3" spans="1:17" ht="14.25" customHeight="1">
      <c r="A3" s="1" t="s">
        <v>136</v>
      </c>
      <c r="B3" s="1">
        <v>647.6</v>
      </c>
      <c r="C3" s="1">
        <v>663.4</v>
      </c>
      <c r="D3" s="1">
        <v>627.29999999999995</v>
      </c>
      <c r="F3" s="5">
        <f t="shared" ref="F3:F13" si="1">B3/100000</f>
        <v>6.476E-3</v>
      </c>
      <c r="H3" s="18">
        <v>1</v>
      </c>
      <c r="I3" s="28">
        <f t="shared" si="0"/>
        <v>3.8699999999999997E-4</v>
      </c>
      <c r="K3" s="30">
        <v>1</v>
      </c>
      <c r="L3" s="30">
        <v>4.2499999999999998E-4</v>
      </c>
      <c r="M3" s="31">
        <v>99392</v>
      </c>
      <c r="N3" s="30">
        <v>75.69</v>
      </c>
      <c r="O3" s="30">
        <v>3.4900000000000003E-4</v>
      </c>
      <c r="P3" s="31">
        <v>99495</v>
      </c>
      <c r="Q3" s="30">
        <v>80.69</v>
      </c>
    </row>
    <row r="4" spans="1:17" ht="14.25" customHeight="1">
      <c r="A4" s="32" t="s">
        <v>137</v>
      </c>
      <c r="B4" s="1">
        <v>16.7</v>
      </c>
      <c r="C4" s="1">
        <v>18.399999999999999</v>
      </c>
      <c r="D4" s="1">
        <v>14.9</v>
      </c>
      <c r="F4" s="5">
        <f t="shared" si="1"/>
        <v>1.6699999999999999E-4</v>
      </c>
      <c r="H4" s="20">
        <f t="shared" ref="H4:H97" si="2">H3+1</f>
        <v>2</v>
      </c>
      <c r="I4" s="28">
        <f t="shared" si="0"/>
        <v>2.3599999999999999E-4</v>
      </c>
      <c r="K4" s="30">
        <v>2</v>
      </c>
      <c r="L4" s="30">
        <v>2.5999999999999998E-4</v>
      </c>
      <c r="M4" s="31">
        <v>99350</v>
      </c>
      <c r="N4" s="30">
        <v>74.73</v>
      </c>
      <c r="O4" s="30">
        <v>2.12E-4</v>
      </c>
      <c r="P4" s="31">
        <v>99461</v>
      </c>
      <c r="Q4" s="30">
        <v>79.72</v>
      </c>
    </row>
    <row r="5" spans="1:17" ht="14.25" customHeight="1">
      <c r="A5" s="1" t="s">
        <v>138</v>
      </c>
      <c r="B5" s="1">
        <v>78.8</v>
      </c>
      <c r="C5" s="1">
        <v>111.1</v>
      </c>
      <c r="D5" s="1">
        <v>45.1</v>
      </c>
      <c r="F5" s="5">
        <f t="shared" si="1"/>
        <v>7.8799999999999996E-4</v>
      </c>
      <c r="H5" s="20">
        <f t="shared" si="2"/>
        <v>3</v>
      </c>
      <c r="I5" s="28">
        <f t="shared" si="0"/>
        <v>1.7999999999999998E-4</v>
      </c>
      <c r="K5" s="30">
        <v>3</v>
      </c>
      <c r="L5" s="30">
        <v>1.94E-4</v>
      </c>
      <c r="M5" s="31">
        <v>99324</v>
      </c>
      <c r="N5" s="30">
        <v>73.75</v>
      </c>
      <c r="O5" s="30">
        <v>1.66E-4</v>
      </c>
      <c r="P5" s="31">
        <v>99440</v>
      </c>
      <c r="Q5" s="30">
        <v>78.739999999999995</v>
      </c>
    </row>
    <row r="6" spans="1:17" ht="14.25" customHeight="1">
      <c r="A6" s="1" t="s">
        <v>139</v>
      </c>
      <c r="B6" s="1">
        <v>172.4</v>
      </c>
      <c r="C6" s="1">
        <v>234.1</v>
      </c>
      <c r="D6" s="1">
        <v>108.1</v>
      </c>
      <c r="F6" s="5">
        <f t="shared" si="1"/>
        <v>1.7240000000000001E-3</v>
      </c>
      <c r="H6" s="20">
        <f t="shared" si="2"/>
        <v>4</v>
      </c>
      <c r="I6" s="28">
        <f t="shared" si="0"/>
        <v>1.4550000000000001E-4</v>
      </c>
      <c r="K6" s="30">
        <v>4</v>
      </c>
      <c r="L6" s="30">
        <v>1.54E-4</v>
      </c>
      <c r="M6" s="31">
        <v>99305</v>
      </c>
      <c r="N6" s="30">
        <v>72.760000000000005</v>
      </c>
      <c r="O6" s="30">
        <v>1.37E-4</v>
      </c>
      <c r="P6" s="31">
        <v>99423</v>
      </c>
      <c r="Q6" s="30">
        <v>77.75</v>
      </c>
    </row>
    <row r="7" spans="1:17" ht="14.25" customHeight="1">
      <c r="A7" s="1" t="s">
        <v>140</v>
      </c>
      <c r="B7" s="1">
        <v>268.39999999999998</v>
      </c>
      <c r="C7" s="1">
        <v>345</v>
      </c>
      <c r="D7" s="1">
        <v>192.6</v>
      </c>
      <c r="F7" s="5">
        <f t="shared" si="1"/>
        <v>2.6839999999999998E-3</v>
      </c>
      <c r="H7" s="20">
        <f t="shared" si="2"/>
        <v>5</v>
      </c>
      <c r="I7" s="28">
        <f t="shared" si="0"/>
        <v>1.3200000000000001E-4</v>
      </c>
      <c r="K7" s="30">
        <v>5</v>
      </c>
      <c r="L7" s="30">
        <v>1.4200000000000001E-4</v>
      </c>
      <c r="M7" s="31">
        <v>99289</v>
      </c>
      <c r="N7" s="30">
        <v>71.77</v>
      </c>
      <c r="O7" s="30">
        <v>1.22E-4</v>
      </c>
      <c r="P7" s="31">
        <v>99409</v>
      </c>
      <c r="Q7" s="30">
        <v>76.760000000000005</v>
      </c>
    </row>
    <row r="8" spans="1:17" ht="14.25" customHeight="1">
      <c r="A8" s="1" t="s">
        <v>141</v>
      </c>
      <c r="B8" s="1">
        <v>501</v>
      </c>
      <c r="C8" s="1">
        <v>636.5</v>
      </c>
      <c r="D8" s="1">
        <v>369.1</v>
      </c>
      <c r="F8" s="5">
        <f t="shared" si="1"/>
        <v>5.0099999999999997E-3</v>
      </c>
      <c r="H8" s="20">
        <f t="shared" si="2"/>
        <v>6</v>
      </c>
      <c r="I8" s="28">
        <f t="shared" si="0"/>
        <v>1.2300000000000001E-4</v>
      </c>
      <c r="K8" s="30">
        <v>6</v>
      </c>
      <c r="L8" s="30">
        <v>1.35E-4</v>
      </c>
      <c r="M8" s="31">
        <v>99275</v>
      </c>
      <c r="N8" s="30">
        <v>70.78</v>
      </c>
      <c r="O8" s="30">
        <v>1.11E-4</v>
      </c>
      <c r="P8" s="31">
        <v>99397</v>
      </c>
      <c r="Q8" s="30">
        <v>75.77</v>
      </c>
    </row>
    <row r="9" spans="1:17" ht="14.25" customHeight="1">
      <c r="A9" s="1" t="s">
        <v>142</v>
      </c>
      <c r="B9" s="1">
        <v>1076.5999999999999</v>
      </c>
      <c r="C9" s="1">
        <v>1361.9</v>
      </c>
      <c r="D9" s="1">
        <v>806.7</v>
      </c>
      <c r="F9" s="5">
        <f t="shared" si="1"/>
        <v>1.0766E-2</v>
      </c>
      <c r="H9" s="20">
        <f t="shared" si="2"/>
        <v>7</v>
      </c>
      <c r="I9" s="28">
        <f t="shared" si="0"/>
        <v>1.15E-4</v>
      </c>
      <c r="K9" s="30">
        <v>7</v>
      </c>
      <c r="L9" s="30">
        <v>1.27E-4</v>
      </c>
      <c r="M9" s="31">
        <v>99262</v>
      </c>
      <c r="N9" s="30">
        <v>69.790000000000006</v>
      </c>
      <c r="O9" s="30">
        <v>1.03E-4</v>
      </c>
      <c r="P9" s="31">
        <v>99386</v>
      </c>
      <c r="Q9" s="30">
        <v>74.78</v>
      </c>
    </row>
    <row r="10" spans="1:17" ht="14.25" customHeight="1">
      <c r="A10" s="1" t="s">
        <v>143</v>
      </c>
      <c r="B10" s="1">
        <v>2298.8000000000002</v>
      </c>
      <c r="C10" s="1">
        <v>2799.3</v>
      </c>
      <c r="D10" s="1">
        <v>1852.8</v>
      </c>
      <c r="F10" s="5">
        <f t="shared" si="1"/>
        <v>2.2988000000000001E-2</v>
      </c>
      <c r="H10" s="20">
        <f t="shared" si="2"/>
        <v>8</v>
      </c>
      <c r="I10" s="28">
        <f t="shared" si="0"/>
        <v>1.075E-4</v>
      </c>
      <c r="K10" s="30">
        <v>8</v>
      </c>
      <c r="L10" s="30">
        <v>1.17E-4</v>
      </c>
      <c r="M10" s="31">
        <v>99249</v>
      </c>
      <c r="N10" s="30">
        <v>68.8</v>
      </c>
      <c r="O10" s="30">
        <v>9.7999999999999997E-5</v>
      </c>
      <c r="P10" s="31">
        <v>99376</v>
      </c>
      <c r="Q10" s="30">
        <v>73.790000000000006</v>
      </c>
    </row>
    <row r="11" spans="1:17" ht="14.25" customHeight="1">
      <c r="A11" s="1" t="s">
        <v>144</v>
      </c>
      <c r="B11" s="1">
        <v>5575.6</v>
      </c>
      <c r="C11" s="1">
        <v>6583</v>
      </c>
      <c r="D11" s="1">
        <v>4782.5</v>
      </c>
      <c r="F11" s="5">
        <f t="shared" si="1"/>
        <v>5.5756000000000007E-2</v>
      </c>
      <c r="H11" s="20">
        <f t="shared" si="2"/>
        <v>9</v>
      </c>
      <c r="I11" s="28">
        <f t="shared" si="0"/>
        <v>9.9500000000000006E-5</v>
      </c>
      <c r="K11" s="30">
        <v>9</v>
      </c>
      <c r="L11" s="30">
        <v>1.0399999999999999E-4</v>
      </c>
      <c r="M11" s="31">
        <v>99238</v>
      </c>
      <c r="N11" s="30">
        <v>67.81</v>
      </c>
      <c r="O11" s="30">
        <v>9.5000000000000005E-5</v>
      </c>
      <c r="P11" s="31">
        <v>99366</v>
      </c>
      <c r="Q11" s="30">
        <v>72.790000000000006</v>
      </c>
    </row>
    <row r="12" spans="1:17" ht="14.25" customHeight="1">
      <c r="A12" s="1" t="s">
        <v>145</v>
      </c>
      <c r="B12" s="1">
        <v>16776.599999999999</v>
      </c>
      <c r="C12" s="1">
        <v>18553.400000000001</v>
      </c>
      <c r="D12" s="1">
        <v>15813.5</v>
      </c>
      <c r="F12" s="5">
        <f t="shared" si="1"/>
        <v>0.167766</v>
      </c>
      <c r="H12" s="20">
        <f t="shared" si="2"/>
        <v>10</v>
      </c>
      <c r="I12" s="28">
        <f t="shared" si="0"/>
        <v>9.6500000000000001E-5</v>
      </c>
      <c r="K12" s="30">
        <v>10</v>
      </c>
      <c r="L12" s="30">
        <v>9.7E-5</v>
      </c>
      <c r="M12" s="31">
        <v>99227</v>
      </c>
      <c r="N12" s="30">
        <v>66.81</v>
      </c>
      <c r="O12" s="30">
        <v>9.6000000000000002E-5</v>
      </c>
      <c r="P12" s="31">
        <v>99357</v>
      </c>
      <c r="Q12" s="30">
        <v>71.8</v>
      </c>
    </row>
    <row r="13" spans="1:17" ht="14.25" customHeight="1">
      <c r="A13" s="1" t="s">
        <v>133</v>
      </c>
      <c r="B13" s="1">
        <v>913.8</v>
      </c>
      <c r="C13" s="1">
        <v>1088.5999999999999</v>
      </c>
      <c r="D13" s="1">
        <v>766.1</v>
      </c>
      <c r="F13" s="5">
        <f t="shared" si="1"/>
        <v>9.1380000000000003E-3</v>
      </c>
      <c r="H13" s="20">
        <f t="shared" si="2"/>
        <v>11</v>
      </c>
      <c r="I13" s="28">
        <f t="shared" si="0"/>
        <v>1.0400000000000001E-4</v>
      </c>
      <c r="K13" s="30">
        <v>11</v>
      </c>
      <c r="L13" s="30">
        <v>1.06E-4</v>
      </c>
      <c r="M13" s="31">
        <v>99218</v>
      </c>
      <c r="N13" s="30">
        <v>65.819999999999993</v>
      </c>
      <c r="O13" s="30">
        <v>1.02E-4</v>
      </c>
      <c r="P13" s="31">
        <v>99347</v>
      </c>
      <c r="Q13" s="30">
        <v>70.81</v>
      </c>
    </row>
    <row r="14" spans="1:17" ht="14.25" customHeight="1">
      <c r="H14" s="20">
        <f t="shared" si="2"/>
        <v>12</v>
      </c>
      <c r="I14" s="28">
        <f t="shared" si="0"/>
        <v>1.305E-4</v>
      </c>
      <c r="K14" s="30">
        <v>12</v>
      </c>
      <c r="L14" s="30">
        <v>1.45E-4</v>
      </c>
      <c r="M14" s="31">
        <v>99207</v>
      </c>
      <c r="N14" s="30">
        <v>64.83</v>
      </c>
      <c r="O14" s="30">
        <v>1.16E-4</v>
      </c>
      <c r="P14" s="31">
        <v>99337</v>
      </c>
      <c r="Q14" s="30">
        <v>69.81</v>
      </c>
    </row>
    <row r="15" spans="1:17" ht="14.25" customHeight="1">
      <c r="H15" s="20">
        <f t="shared" si="2"/>
        <v>13</v>
      </c>
      <c r="I15" s="28">
        <f t="shared" si="0"/>
        <v>1.795E-4</v>
      </c>
      <c r="K15" s="30">
        <v>13</v>
      </c>
      <c r="L15" s="30">
        <v>2.2000000000000001E-4</v>
      </c>
      <c r="M15" s="31">
        <v>99193</v>
      </c>
      <c r="N15" s="30">
        <v>63.84</v>
      </c>
      <c r="O15" s="30">
        <v>1.3899999999999999E-4</v>
      </c>
      <c r="P15" s="31">
        <v>99326</v>
      </c>
      <c r="Q15" s="30">
        <v>68.819999999999993</v>
      </c>
    </row>
    <row r="16" spans="1:17" ht="14.25" customHeight="1">
      <c r="H16" s="20">
        <f t="shared" si="2"/>
        <v>14</v>
      </c>
      <c r="I16" s="28">
        <f t="shared" si="0"/>
        <v>2.4700000000000004E-4</v>
      </c>
      <c r="K16" s="30">
        <v>14</v>
      </c>
      <c r="L16" s="30">
        <v>3.2400000000000001E-4</v>
      </c>
      <c r="M16" s="31">
        <v>99171</v>
      </c>
      <c r="N16" s="30">
        <v>62.85</v>
      </c>
      <c r="O16" s="30">
        <v>1.7000000000000001E-4</v>
      </c>
      <c r="P16" s="31">
        <v>99312</v>
      </c>
      <c r="Q16" s="30">
        <v>67.83</v>
      </c>
    </row>
    <row r="17" spans="8:17" ht="14.25" customHeight="1">
      <c r="H17" s="20">
        <f t="shared" si="2"/>
        <v>15</v>
      </c>
      <c r="I17" s="28">
        <f t="shared" si="0"/>
        <v>3.2049999999999998E-4</v>
      </c>
      <c r="K17" s="30">
        <v>15</v>
      </c>
      <c r="L17" s="30">
        <v>4.37E-4</v>
      </c>
      <c r="M17" s="31">
        <v>99139</v>
      </c>
      <c r="N17" s="30">
        <v>61.87</v>
      </c>
      <c r="O17" s="30">
        <v>2.04E-4</v>
      </c>
      <c r="P17" s="31">
        <v>99295</v>
      </c>
      <c r="Q17" s="30">
        <v>66.84</v>
      </c>
    </row>
    <row r="18" spans="8:17" ht="14.25" customHeight="1">
      <c r="H18" s="20">
        <f t="shared" si="2"/>
        <v>16</v>
      </c>
      <c r="I18" s="28">
        <f t="shared" si="0"/>
        <v>3.9599999999999998E-4</v>
      </c>
      <c r="K18" s="30">
        <v>16</v>
      </c>
      <c r="L18" s="30">
        <v>5.5199999999999997E-4</v>
      </c>
      <c r="M18" s="31">
        <v>99096</v>
      </c>
      <c r="N18" s="30">
        <v>60.9</v>
      </c>
      <c r="O18" s="30">
        <v>2.4000000000000001E-4</v>
      </c>
      <c r="P18" s="31">
        <v>99275</v>
      </c>
      <c r="Q18" s="30">
        <v>65.86</v>
      </c>
    </row>
    <row r="19" spans="8:17" ht="14.25" customHeight="1">
      <c r="H19" s="20">
        <f t="shared" si="2"/>
        <v>17</v>
      </c>
      <c r="I19" s="28">
        <f t="shared" si="0"/>
        <v>4.7699999999999999E-4</v>
      </c>
      <c r="K19" s="30">
        <v>17</v>
      </c>
      <c r="L19" s="30">
        <v>6.7599999999999995E-4</v>
      </c>
      <c r="M19" s="31">
        <v>99041</v>
      </c>
      <c r="N19" s="30">
        <v>59.93</v>
      </c>
      <c r="O19" s="30">
        <v>2.7799999999999998E-4</v>
      </c>
      <c r="P19" s="31">
        <v>99251</v>
      </c>
      <c r="Q19" s="30">
        <v>64.87</v>
      </c>
    </row>
    <row r="20" spans="8:17" ht="14.25" customHeight="1">
      <c r="H20" s="20">
        <f t="shared" si="2"/>
        <v>18</v>
      </c>
      <c r="I20" s="28">
        <f t="shared" si="0"/>
        <v>5.6249999999999996E-4</v>
      </c>
      <c r="K20" s="30">
        <v>18</v>
      </c>
      <c r="L20" s="30">
        <v>8.0599999999999997E-4</v>
      </c>
      <c r="M20" s="31">
        <v>98974</v>
      </c>
      <c r="N20" s="30">
        <v>58.97</v>
      </c>
      <c r="O20" s="30">
        <v>3.19E-4</v>
      </c>
      <c r="P20" s="31">
        <v>99223</v>
      </c>
      <c r="Q20" s="30">
        <v>63.89</v>
      </c>
    </row>
    <row r="21" spans="8:17" ht="14.25" customHeight="1">
      <c r="H21" s="20">
        <f t="shared" si="2"/>
        <v>19</v>
      </c>
      <c r="I21" s="28">
        <f t="shared" si="0"/>
        <v>6.4950000000000001E-4</v>
      </c>
      <c r="K21" s="30">
        <v>19</v>
      </c>
      <c r="L21" s="30">
        <v>9.3899999999999995E-4</v>
      </c>
      <c r="M21" s="31">
        <v>98894</v>
      </c>
      <c r="N21" s="30">
        <v>58.02</v>
      </c>
      <c r="O21" s="30">
        <v>3.6000000000000002E-4</v>
      </c>
      <c r="P21" s="31">
        <v>99192</v>
      </c>
      <c r="Q21" s="30">
        <v>62.91</v>
      </c>
    </row>
    <row r="22" spans="8:17" ht="14.25" customHeight="1">
      <c r="H22" s="20">
        <f t="shared" si="2"/>
        <v>20</v>
      </c>
      <c r="I22" s="28">
        <f t="shared" si="0"/>
        <v>7.4200000000000004E-4</v>
      </c>
      <c r="K22" s="30">
        <v>20</v>
      </c>
      <c r="L22" s="30">
        <v>1.0790000000000001E-3</v>
      </c>
      <c r="M22" s="31">
        <v>98801</v>
      </c>
      <c r="N22" s="30">
        <v>57.07</v>
      </c>
      <c r="O22" s="30">
        <v>4.0499999999999998E-4</v>
      </c>
      <c r="P22" s="31">
        <v>99156</v>
      </c>
      <c r="Q22" s="30">
        <v>61.93</v>
      </c>
    </row>
    <row r="23" spans="8:17" ht="14.25" customHeight="1">
      <c r="H23" s="20">
        <f t="shared" si="2"/>
        <v>21</v>
      </c>
      <c r="I23" s="28">
        <f t="shared" si="0"/>
        <v>8.3299999999999997E-4</v>
      </c>
      <c r="K23" s="30">
        <v>21</v>
      </c>
      <c r="L23" s="30">
        <v>1.2149999999999999E-3</v>
      </c>
      <c r="M23" s="31">
        <v>98695</v>
      </c>
      <c r="N23" s="30">
        <v>56.13</v>
      </c>
      <c r="O23" s="30">
        <v>4.5100000000000001E-4</v>
      </c>
      <c r="P23" s="31">
        <v>99116</v>
      </c>
      <c r="Q23" s="30">
        <v>60.96</v>
      </c>
    </row>
    <row r="24" spans="8:17" ht="14.25" customHeight="1">
      <c r="H24" s="20">
        <f t="shared" si="2"/>
        <v>22</v>
      </c>
      <c r="I24" s="28">
        <f t="shared" si="0"/>
        <v>9.0900000000000009E-4</v>
      </c>
      <c r="K24" s="30">
        <v>22</v>
      </c>
      <c r="L24" s="30">
        <v>1.3270000000000001E-3</v>
      </c>
      <c r="M24" s="31">
        <v>98575</v>
      </c>
      <c r="N24" s="30">
        <v>55.2</v>
      </c>
      <c r="O24" s="30">
        <v>4.9100000000000001E-4</v>
      </c>
      <c r="P24" s="31">
        <v>99071</v>
      </c>
      <c r="Q24" s="30">
        <v>59.99</v>
      </c>
    </row>
    <row r="25" spans="8:17" ht="14.25" customHeight="1">
      <c r="H25" s="20">
        <f t="shared" si="2"/>
        <v>23</v>
      </c>
      <c r="I25" s="28">
        <f t="shared" si="0"/>
        <v>9.6449999999999997E-4</v>
      </c>
      <c r="K25" s="30">
        <v>23</v>
      </c>
      <c r="L25" s="30">
        <v>1.4059999999999999E-3</v>
      </c>
      <c r="M25" s="31">
        <v>98444</v>
      </c>
      <c r="N25" s="30">
        <v>54.27</v>
      </c>
      <c r="O25" s="30">
        <v>5.2300000000000003E-4</v>
      </c>
      <c r="P25" s="31">
        <v>99022</v>
      </c>
      <c r="Q25" s="30">
        <v>59.02</v>
      </c>
    </row>
    <row r="26" spans="8:17" ht="14.25" customHeight="1">
      <c r="H26" s="20">
        <f t="shared" si="2"/>
        <v>24</v>
      </c>
      <c r="I26" s="28">
        <f t="shared" si="0"/>
        <v>1.0055000000000001E-3</v>
      </c>
      <c r="K26" s="30">
        <v>24</v>
      </c>
      <c r="L26" s="30">
        <v>1.4610000000000001E-3</v>
      </c>
      <c r="M26" s="31">
        <v>98306</v>
      </c>
      <c r="N26" s="30">
        <v>53.35</v>
      </c>
      <c r="O26" s="30">
        <v>5.5000000000000003E-4</v>
      </c>
      <c r="P26" s="31">
        <v>98971</v>
      </c>
      <c r="Q26" s="30">
        <v>58.05</v>
      </c>
    </row>
    <row r="27" spans="8:17" ht="14.25" customHeight="1">
      <c r="H27" s="20">
        <f t="shared" si="2"/>
        <v>25</v>
      </c>
      <c r="I27" s="28">
        <f t="shared" si="0"/>
        <v>1.0414999999999999E-3</v>
      </c>
      <c r="K27" s="30">
        <v>25</v>
      </c>
      <c r="L27" s="30">
        <v>1.508E-3</v>
      </c>
      <c r="M27" s="31">
        <v>98162</v>
      </c>
      <c r="N27" s="30">
        <v>52.43</v>
      </c>
      <c r="O27" s="30">
        <v>5.7499999999999999E-4</v>
      </c>
      <c r="P27" s="31">
        <v>98916</v>
      </c>
      <c r="Q27" s="30">
        <v>57.08</v>
      </c>
    </row>
    <row r="28" spans="8:17" ht="14.25" customHeight="1">
      <c r="H28" s="20">
        <f t="shared" si="2"/>
        <v>26</v>
      </c>
      <c r="I28" s="28">
        <f t="shared" si="0"/>
        <v>1.0820000000000001E-3</v>
      </c>
      <c r="K28" s="30">
        <v>26</v>
      </c>
      <c r="L28" s="30">
        <v>1.5590000000000001E-3</v>
      </c>
      <c r="M28" s="31">
        <v>98014</v>
      </c>
      <c r="N28" s="30">
        <v>51.51</v>
      </c>
      <c r="O28" s="30">
        <v>6.0499999999999996E-4</v>
      </c>
      <c r="P28" s="31">
        <v>98859</v>
      </c>
      <c r="Q28" s="30">
        <v>56.11</v>
      </c>
    </row>
    <row r="29" spans="8:17" ht="14.25" customHeight="1">
      <c r="H29" s="20">
        <f t="shared" si="2"/>
        <v>27</v>
      </c>
      <c r="I29" s="28">
        <f t="shared" si="0"/>
        <v>1.127E-3</v>
      </c>
      <c r="K29" s="30">
        <v>27</v>
      </c>
      <c r="L29" s="30">
        <v>1.6119999999999999E-3</v>
      </c>
      <c r="M29" s="31">
        <v>97861</v>
      </c>
      <c r="N29" s="30">
        <v>50.58</v>
      </c>
      <c r="O29" s="30">
        <v>6.4199999999999999E-4</v>
      </c>
      <c r="P29" s="31">
        <v>98800</v>
      </c>
      <c r="Q29" s="30">
        <v>55.14</v>
      </c>
    </row>
    <row r="30" spans="8:17" ht="14.25" customHeight="1">
      <c r="H30" s="20">
        <f t="shared" si="2"/>
        <v>28</v>
      </c>
      <c r="I30" s="28">
        <f t="shared" si="0"/>
        <v>1.181E-3</v>
      </c>
      <c r="K30" s="30">
        <v>28</v>
      </c>
      <c r="L30" s="30">
        <v>1.671E-3</v>
      </c>
      <c r="M30" s="31">
        <v>97703</v>
      </c>
      <c r="N30" s="30">
        <v>49.67</v>
      </c>
      <c r="O30" s="30">
        <v>6.9099999999999999E-4</v>
      </c>
      <c r="P30" s="31">
        <v>98736</v>
      </c>
      <c r="Q30" s="30">
        <v>54.18</v>
      </c>
    </row>
    <row r="31" spans="8:17" ht="14.25" customHeight="1">
      <c r="H31" s="20">
        <f t="shared" si="2"/>
        <v>29</v>
      </c>
      <c r="I31" s="28">
        <f t="shared" si="0"/>
        <v>1.2415E-3</v>
      </c>
      <c r="K31" s="30">
        <v>29</v>
      </c>
      <c r="L31" s="30">
        <v>1.7340000000000001E-3</v>
      </c>
      <c r="M31" s="31">
        <v>97540</v>
      </c>
      <c r="N31" s="30">
        <v>48.75</v>
      </c>
      <c r="O31" s="30">
        <v>7.4899999999999999E-4</v>
      </c>
      <c r="P31" s="31">
        <v>98668</v>
      </c>
      <c r="Q31" s="30">
        <v>53.22</v>
      </c>
    </row>
    <row r="32" spans="8:17" ht="14.25" customHeight="1">
      <c r="H32" s="20">
        <f t="shared" si="2"/>
        <v>30</v>
      </c>
      <c r="I32" s="28">
        <f t="shared" si="0"/>
        <v>1.3044999999999999E-3</v>
      </c>
      <c r="K32" s="30">
        <v>30</v>
      </c>
      <c r="L32" s="30">
        <v>1.7979999999999999E-3</v>
      </c>
      <c r="M32" s="31">
        <v>97371</v>
      </c>
      <c r="N32" s="30">
        <v>47.83</v>
      </c>
      <c r="O32" s="30">
        <v>8.1099999999999998E-4</v>
      </c>
      <c r="P32" s="31">
        <v>98594</v>
      </c>
      <c r="Q32" s="30">
        <v>52.26</v>
      </c>
    </row>
    <row r="33" spans="8:17" ht="14.25" customHeight="1">
      <c r="H33" s="20">
        <f t="shared" si="2"/>
        <v>31</v>
      </c>
      <c r="I33" s="28">
        <f t="shared" si="0"/>
        <v>1.366E-3</v>
      </c>
      <c r="K33" s="30">
        <v>31</v>
      </c>
      <c r="L33" s="30">
        <v>1.8600000000000001E-3</v>
      </c>
      <c r="M33" s="31">
        <v>97196</v>
      </c>
      <c r="N33" s="30">
        <v>46.92</v>
      </c>
      <c r="O33" s="30">
        <v>8.7200000000000005E-4</v>
      </c>
      <c r="P33" s="31">
        <v>98514</v>
      </c>
      <c r="Q33" s="30">
        <v>51.3</v>
      </c>
    </row>
    <row r="34" spans="8:17" ht="14.25" customHeight="1">
      <c r="H34" s="20">
        <f t="shared" si="2"/>
        <v>32</v>
      </c>
      <c r="I34" s="28">
        <f t="shared" si="0"/>
        <v>1.4295E-3</v>
      </c>
      <c r="K34" s="30">
        <v>32</v>
      </c>
      <c r="L34" s="30">
        <v>1.926E-3</v>
      </c>
      <c r="M34" s="31">
        <v>97015</v>
      </c>
      <c r="N34" s="30">
        <v>46</v>
      </c>
      <c r="O34" s="30">
        <v>9.3300000000000002E-4</v>
      </c>
      <c r="P34" s="31">
        <v>98428</v>
      </c>
      <c r="Q34" s="30">
        <v>50.34</v>
      </c>
    </row>
    <row r="35" spans="8:17" ht="14.25" customHeight="1">
      <c r="H35" s="20">
        <f t="shared" si="2"/>
        <v>33</v>
      </c>
      <c r="I35" s="28">
        <f t="shared" si="0"/>
        <v>1.4920000000000001E-3</v>
      </c>
      <c r="K35" s="30">
        <v>33</v>
      </c>
      <c r="L35" s="30">
        <v>1.9940000000000001E-3</v>
      </c>
      <c r="M35" s="31">
        <v>96828</v>
      </c>
      <c r="N35" s="30">
        <v>45.09</v>
      </c>
      <c r="O35" s="30">
        <v>9.8999999999999999E-4</v>
      </c>
      <c r="P35" s="31">
        <v>98336</v>
      </c>
      <c r="Q35" s="30">
        <v>49.39</v>
      </c>
    </row>
    <row r="36" spans="8:17" ht="14.25" customHeight="1">
      <c r="H36" s="20">
        <f t="shared" si="2"/>
        <v>34</v>
      </c>
      <c r="I36" s="28">
        <f t="shared" si="0"/>
        <v>1.5564999999999999E-3</v>
      </c>
      <c r="K36" s="30">
        <v>34</v>
      </c>
      <c r="L36" s="30">
        <v>2.0669999999999998E-3</v>
      </c>
      <c r="M36" s="31">
        <v>96635</v>
      </c>
      <c r="N36" s="30">
        <v>44.18</v>
      </c>
      <c r="O36" s="30">
        <v>1.0460000000000001E-3</v>
      </c>
      <c r="P36" s="31">
        <v>98239</v>
      </c>
      <c r="Q36" s="30">
        <v>48.44</v>
      </c>
    </row>
    <row r="37" spans="8:17" ht="14.25" customHeight="1">
      <c r="H37" s="20">
        <f t="shared" si="2"/>
        <v>35</v>
      </c>
      <c r="I37" s="28">
        <f t="shared" si="0"/>
        <v>1.627E-3</v>
      </c>
      <c r="K37" s="30">
        <v>35</v>
      </c>
      <c r="L37" s="30">
        <v>2.147E-3</v>
      </c>
      <c r="M37" s="31">
        <v>96435</v>
      </c>
      <c r="N37" s="30">
        <v>43.27</v>
      </c>
      <c r="O37" s="30">
        <v>1.1069999999999999E-3</v>
      </c>
      <c r="P37" s="31">
        <v>98136</v>
      </c>
      <c r="Q37" s="30">
        <v>47.49</v>
      </c>
    </row>
    <row r="38" spans="8:17" ht="14.25" customHeight="1">
      <c r="H38" s="20">
        <f t="shared" si="2"/>
        <v>36</v>
      </c>
      <c r="I38" s="28">
        <f t="shared" si="0"/>
        <v>1.7025E-3</v>
      </c>
      <c r="K38" s="30">
        <v>36</v>
      </c>
      <c r="L38" s="30">
        <v>2.2330000000000002E-3</v>
      </c>
      <c r="M38" s="31">
        <v>96228</v>
      </c>
      <c r="N38" s="30">
        <v>42.36</v>
      </c>
      <c r="O38" s="30">
        <v>1.1720000000000001E-3</v>
      </c>
      <c r="P38" s="31">
        <v>98028</v>
      </c>
      <c r="Q38" s="30">
        <v>46.54</v>
      </c>
    </row>
    <row r="39" spans="8:17" ht="14.25" customHeight="1">
      <c r="H39" s="20">
        <f t="shared" si="2"/>
        <v>37</v>
      </c>
      <c r="I39" s="28">
        <f t="shared" si="0"/>
        <v>1.7769999999999999E-3</v>
      </c>
      <c r="K39" s="30">
        <v>37</v>
      </c>
      <c r="L39" s="30">
        <v>2.3180000000000002E-3</v>
      </c>
      <c r="M39" s="31">
        <v>96013</v>
      </c>
      <c r="N39" s="30">
        <v>41.46</v>
      </c>
      <c r="O39" s="30">
        <v>1.2359999999999999E-3</v>
      </c>
      <c r="P39" s="31">
        <v>97913</v>
      </c>
      <c r="Q39" s="30">
        <v>45.59</v>
      </c>
    </row>
    <row r="40" spans="8:17" ht="14.25" customHeight="1">
      <c r="H40" s="20">
        <f t="shared" si="2"/>
        <v>38</v>
      </c>
      <c r="I40" s="28">
        <f t="shared" si="0"/>
        <v>1.8475000000000002E-3</v>
      </c>
      <c r="K40" s="30">
        <v>38</v>
      </c>
      <c r="L40" s="30">
        <v>2.3990000000000001E-3</v>
      </c>
      <c r="M40" s="31">
        <v>95791</v>
      </c>
      <c r="N40" s="30">
        <v>40.549999999999997</v>
      </c>
      <c r="O40" s="30">
        <v>1.2960000000000001E-3</v>
      </c>
      <c r="P40" s="31">
        <v>97792</v>
      </c>
      <c r="Q40" s="30">
        <v>44.65</v>
      </c>
    </row>
    <row r="41" spans="8:17" ht="14.25" customHeight="1">
      <c r="H41" s="20">
        <f t="shared" si="2"/>
        <v>39</v>
      </c>
      <c r="I41" s="28">
        <f t="shared" si="0"/>
        <v>1.9195E-3</v>
      </c>
      <c r="K41" s="30">
        <v>39</v>
      </c>
      <c r="L41" s="30">
        <v>2.483E-3</v>
      </c>
      <c r="M41" s="31">
        <v>95561</v>
      </c>
      <c r="N41" s="30">
        <v>39.65</v>
      </c>
      <c r="O41" s="30">
        <v>1.356E-3</v>
      </c>
      <c r="P41" s="31">
        <v>97665</v>
      </c>
      <c r="Q41" s="30">
        <v>43.71</v>
      </c>
    </row>
    <row r="42" spans="8:17" ht="14.25" customHeight="1">
      <c r="H42" s="20">
        <f t="shared" si="2"/>
        <v>40</v>
      </c>
      <c r="I42" s="28">
        <f t="shared" si="0"/>
        <v>2.0019999999999999E-3</v>
      </c>
      <c r="K42" s="30">
        <v>40</v>
      </c>
      <c r="L42" s="30">
        <v>2.581E-3</v>
      </c>
      <c r="M42" s="31">
        <v>95324</v>
      </c>
      <c r="N42" s="30">
        <v>38.75</v>
      </c>
      <c r="O42" s="30">
        <v>1.423E-3</v>
      </c>
      <c r="P42" s="31">
        <v>97532</v>
      </c>
      <c r="Q42" s="30">
        <v>42.76</v>
      </c>
    </row>
    <row r="43" spans="8:17" ht="14.25" customHeight="1">
      <c r="H43" s="20">
        <f t="shared" si="2"/>
        <v>41</v>
      </c>
      <c r="I43" s="28">
        <f t="shared" si="0"/>
        <v>2.0995000000000002E-3</v>
      </c>
      <c r="K43" s="30">
        <v>41</v>
      </c>
      <c r="L43" s="30">
        <v>2.6970000000000002E-3</v>
      </c>
      <c r="M43" s="31">
        <v>95078</v>
      </c>
      <c r="N43" s="30">
        <v>37.840000000000003</v>
      </c>
      <c r="O43" s="30">
        <v>1.5020000000000001E-3</v>
      </c>
      <c r="P43" s="31">
        <v>97394</v>
      </c>
      <c r="Q43" s="30">
        <v>41.83</v>
      </c>
    </row>
    <row r="44" spans="8:17" ht="14.25" customHeight="1">
      <c r="H44" s="20">
        <f t="shared" si="2"/>
        <v>42</v>
      </c>
      <c r="I44" s="28">
        <f t="shared" si="0"/>
        <v>2.212E-3</v>
      </c>
      <c r="K44" s="30">
        <v>42</v>
      </c>
      <c r="L44" s="30">
        <v>2.8279999999999998E-3</v>
      </c>
      <c r="M44" s="31">
        <v>94821</v>
      </c>
      <c r="N44" s="30">
        <v>36.950000000000003</v>
      </c>
      <c r="O44" s="30">
        <v>1.596E-3</v>
      </c>
      <c r="P44" s="31">
        <v>97247</v>
      </c>
      <c r="Q44" s="30">
        <v>40.89</v>
      </c>
    </row>
    <row r="45" spans="8:17" ht="14.25" customHeight="1">
      <c r="H45" s="20">
        <f t="shared" si="2"/>
        <v>43</v>
      </c>
      <c r="I45" s="28">
        <f t="shared" si="0"/>
        <v>2.3425E-3</v>
      </c>
      <c r="K45" s="30">
        <v>43</v>
      </c>
      <c r="L45" s="30">
        <v>2.9759999999999999E-3</v>
      </c>
      <c r="M45" s="31">
        <v>94553</v>
      </c>
      <c r="N45" s="30">
        <v>36.049999999999997</v>
      </c>
      <c r="O45" s="30">
        <v>1.709E-3</v>
      </c>
      <c r="P45" s="31">
        <v>97092</v>
      </c>
      <c r="Q45" s="30">
        <v>39.950000000000003</v>
      </c>
    </row>
    <row r="46" spans="8:17" ht="14.25" customHeight="1">
      <c r="H46" s="20">
        <f t="shared" si="2"/>
        <v>44</v>
      </c>
      <c r="I46" s="28">
        <f t="shared" si="0"/>
        <v>2.4924999999999999E-3</v>
      </c>
      <c r="K46" s="30">
        <v>44</v>
      </c>
      <c r="L46" s="30">
        <v>3.1449999999999998E-3</v>
      </c>
      <c r="M46" s="31">
        <v>94272</v>
      </c>
      <c r="N46" s="30">
        <v>35.159999999999997</v>
      </c>
      <c r="O46" s="30">
        <v>1.8400000000000001E-3</v>
      </c>
      <c r="P46" s="31">
        <v>96926</v>
      </c>
      <c r="Q46" s="30">
        <v>39.020000000000003</v>
      </c>
    </row>
    <row r="47" spans="8:17" ht="14.25" customHeight="1">
      <c r="H47" s="20">
        <f t="shared" si="2"/>
        <v>45</v>
      </c>
      <c r="I47" s="28">
        <f t="shared" si="0"/>
        <v>2.6635000000000001E-3</v>
      </c>
      <c r="K47" s="30">
        <v>45</v>
      </c>
      <c r="L47" s="30">
        <v>3.339E-3</v>
      </c>
      <c r="M47" s="31">
        <v>93975</v>
      </c>
      <c r="N47" s="30">
        <v>34.26</v>
      </c>
      <c r="O47" s="30">
        <v>1.9880000000000002E-3</v>
      </c>
      <c r="P47" s="31">
        <v>96748</v>
      </c>
      <c r="Q47" s="30">
        <v>38.090000000000003</v>
      </c>
    </row>
    <row r="48" spans="8:17" ht="14.25" customHeight="1">
      <c r="H48" s="20">
        <f t="shared" si="2"/>
        <v>46</v>
      </c>
      <c r="I48" s="28">
        <f t="shared" si="0"/>
        <v>2.859E-3</v>
      </c>
      <c r="K48" s="30">
        <v>46</v>
      </c>
      <c r="L48" s="30">
        <v>3.5660000000000002E-3</v>
      </c>
      <c r="M48" s="31">
        <v>93661</v>
      </c>
      <c r="N48" s="30">
        <v>33.380000000000003</v>
      </c>
      <c r="O48" s="30">
        <v>2.1519999999999998E-3</v>
      </c>
      <c r="P48" s="31">
        <v>96556</v>
      </c>
      <c r="Q48" s="30">
        <v>37.17</v>
      </c>
    </row>
    <row r="49" spans="8:17" ht="14.25" customHeight="1">
      <c r="H49" s="20">
        <f t="shared" si="2"/>
        <v>47</v>
      </c>
      <c r="I49" s="28">
        <f t="shared" si="0"/>
        <v>3.0815E-3</v>
      </c>
      <c r="K49" s="30">
        <v>47</v>
      </c>
      <c r="L49" s="30">
        <v>3.8310000000000002E-3</v>
      </c>
      <c r="M49" s="31">
        <v>93327</v>
      </c>
      <c r="N49" s="30">
        <v>32.5</v>
      </c>
      <c r="O49" s="30">
        <v>2.3319999999999999E-3</v>
      </c>
      <c r="P49" s="31">
        <v>96348</v>
      </c>
      <c r="Q49" s="30">
        <v>36.24</v>
      </c>
    </row>
    <row r="50" spans="8:17" ht="14.25" customHeight="1">
      <c r="H50" s="20">
        <f t="shared" si="2"/>
        <v>48</v>
      </c>
      <c r="I50" s="28">
        <f t="shared" si="0"/>
        <v>3.3349999999999999E-3</v>
      </c>
      <c r="K50" s="30">
        <v>48</v>
      </c>
      <c r="L50" s="30">
        <v>4.1419999999999998E-3</v>
      </c>
      <c r="M50" s="31">
        <v>92970</v>
      </c>
      <c r="N50" s="30">
        <v>31.62</v>
      </c>
      <c r="O50" s="30">
        <v>2.5279999999999999E-3</v>
      </c>
      <c r="P50" s="31">
        <v>96123</v>
      </c>
      <c r="Q50" s="30">
        <v>35.33</v>
      </c>
    </row>
    <row r="51" spans="8:17" ht="14.25" customHeight="1">
      <c r="H51" s="20">
        <f t="shared" si="2"/>
        <v>49</v>
      </c>
      <c r="I51" s="28">
        <f t="shared" si="0"/>
        <v>3.6210000000000001E-3</v>
      </c>
      <c r="K51" s="30">
        <v>49</v>
      </c>
      <c r="L51" s="30">
        <v>4.4980000000000003E-3</v>
      </c>
      <c r="M51" s="31">
        <v>92585</v>
      </c>
      <c r="N51" s="30">
        <v>30.75</v>
      </c>
      <c r="O51" s="30">
        <v>2.7439999999999999E-3</v>
      </c>
      <c r="P51" s="31">
        <v>95880</v>
      </c>
      <c r="Q51" s="30">
        <v>34.42</v>
      </c>
    </row>
    <row r="52" spans="8:17" ht="14.25" customHeight="1">
      <c r="H52" s="20">
        <f t="shared" si="2"/>
        <v>50</v>
      </c>
      <c r="I52" s="28">
        <f t="shared" si="0"/>
        <v>3.934E-3</v>
      </c>
      <c r="K52" s="30">
        <v>50</v>
      </c>
      <c r="L52" s="30">
        <v>4.888E-3</v>
      </c>
      <c r="M52" s="31">
        <v>92168</v>
      </c>
      <c r="N52" s="30">
        <v>29.88</v>
      </c>
      <c r="O52" s="30">
        <v>2.98E-3</v>
      </c>
      <c r="P52" s="31">
        <v>95617</v>
      </c>
      <c r="Q52" s="30">
        <v>33.51</v>
      </c>
    </row>
    <row r="53" spans="8:17" ht="14.25" customHeight="1">
      <c r="H53" s="20">
        <f t="shared" si="2"/>
        <v>51</v>
      </c>
      <c r="I53" s="28">
        <f t="shared" si="0"/>
        <v>4.2795000000000003E-3</v>
      </c>
      <c r="K53" s="30">
        <v>51</v>
      </c>
      <c r="L53" s="30">
        <v>5.3189999999999999E-3</v>
      </c>
      <c r="M53" s="31">
        <v>91718</v>
      </c>
      <c r="N53" s="30">
        <v>29.03</v>
      </c>
      <c r="O53" s="30">
        <v>3.2399999999999998E-3</v>
      </c>
      <c r="P53" s="31">
        <v>95332</v>
      </c>
      <c r="Q53" s="30">
        <v>32.61</v>
      </c>
    </row>
    <row r="54" spans="8:17" ht="14.25" customHeight="1">
      <c r="H54" s="20">
        <f t="shared" si="2"/>
        <v>52</v>
      </c>
      <c r="I54" s="28">
        <f t="shared" si="0"/>
        <v>4.6684999999999999E-3</v>
      </c>
      <c r="K54" s="30">
        <v>52</v>
      </c>
      <c r="L54" s="30">
        <v>5.8079999999999998E-3</v>
      </c>
      <c r="M54" s="31">
        <v>91230</v>
      </c>
      <c r="N54" s="30">
        <v>28.18</v>
      </c>
      <c r="O54" s="30">
        <v>3.529E-3</v>
      </c>
      <c r="P54" s="31">
        <v>95023</v>
      </c>
      <c r="Q54" s="30">
        <v>31.71</v>
      </c>
    </row>
    <row r="55" spans="8:17" ht="14.25" customHeight="1">
      <c r="H55" s="20">
        <f t="shared" si="2"/>
        <v>53</v>
      </c>
      <c r="I55" s="28">
        <f t="shared" si="0"/>
        <v>5.1060000000000003E-3</v>
      </c>
      <c r="K55" s="30">
        <v>53</v>
      </c>
      <c r="L55" s="30">
        <v>6.3600000000000002E-3</v>
      </c>
      <c r="M55" s="31">
        <v>90700</v>
      </c>
      <c r="N55" s="30">
        <v>27.34</v>
      </c>
      <c r="O55" s="30">
        <v>3.852E-3</v>
      </c>
      <c r="P55" s="31">
        <v>94688</v>
      </c>
      <c r="Q55" s="30">
        <v>30.82</v>
      </c>
    </row>
    <row r="56" spans="8:17" ht="14.25" customHeight="1">
      <c r="H56" s="20">
        <f t="shared" si="2"/>
        <v>54</v>
      </c>
      <c r="I56" s="28">
        <f t="shared" si="0"/>
        <v>5.5884999999999997E-3</v>
      </c>
      <c r="K56" s="30">
        <v>54</v>
      </c>
      <c r="L56" s="30">
        <v>6.9699999999999996E-3</v>
      </c>
      <c r="M56" s="31">
        <v>90123</v>
      </c>
      <c r="N56" s="30">
        <v>26.51</v>
      </c>
      <c r="O56" s="30">
        <v>4.2069999999999998E-3</v>
      </c>
      <c r="P56" s="31">
        <v>94323</v>
      </c>
      <c r="Q56" s="30">
        <v>29.94</v>
      </c>
    </row>
    <row r="57" spans="8:17" ht="14.25" customHeight="1">
      <c r="H57" s="20">
        <f t="shared" si="2"/>
        <v>55</v>
      </c>
      <c r="I57" s="28">
        <f t="shared" si="0"/>
        <v>6.1085000000000002E-3</v>
      </c>
      <c r="K57" s="30">
        <v>55</v>
      </c>
      <c r="L57" s="30">
        <v>7.6270000000000001E-3</v>
      </c>
      <c r="M57" s="31">
        <v>89495</v>
      </c>
      <c r="N57" s="30">
        <v>25.7</v>
      </c>
      <c r="O57" s="30">
        <v>4.5900000000000003E-3</v>
      </c>
      <c r="P57" s="31">
        <v>93926</v>
      </c>
      <c r="Q57" s="30">
        <v>29.06</v>
      </c>
    </row>
    <row r="58" spans="8:17" ht="14.25" customHeight="1">
      <c r="H58" s="20">
        <f t="shared" si="2"/>
        <v>56</v>
      </c>
      <c r="I58" s="28">
        <f t="shared" si="0"/>
        <v>6.657999999999999E-3</v>
      </c>
      <c r="K58" s="30">
        <v>56</v>
      </c>
      <c r="L58" s="30">
        <v>8.3199999999999993E-3</v>
      </c>
      <c r="M58" s="31">
        <v>88812</v>
      </c>
      <c r="N58" s="30">
        <v>24.89</v>
      </c>
      <c r="O58" s="30">
        <v>4.9959999999999996E-3</v>
      </c>
      <c r="P58" s="31">
        <v>93495</v>
      </c>
      <c r="Q58" s="30">
        <v>28.2</v>
      </c>
    </row>
    <row r="59" spans="8:17" ht="14.25" customHeight="1">
      <c r="H59" s="20">
        <f t="shared" si="2"/>
        <v>57</v>
      </c>
      <c r="I59" s="28">
        <f t="shared" si="0"/>
        <v>7.2359999999999994E-3</v>
      </c>
      <c r="K59" s="30">
        <v>57</v>
      </c>
      <c r="L59" s="30">
        <v>9.0469999999999995E-3</v>
      </c>
      <c r="M59" s="31">
        <v>88074</v>
      </c>
      <c r="N59" s="30">
        <v>24.1</v>
      </c>
      <c r="O59" s="30">
        <v>5.4250000000000001E-3</v>
      </c>
      <c r="P59" s="31">
        <v>93028</v>
      </c>
      <c r="Q59" s="30">
        <v>27.34</v>
      </c>
    </row>
    <row r="60" spans="8:17" ht="14.25" customHeight="1">
      <c r="H60" s="20">
        <f t="shared" si="2"/>
        <v>58</v>
      </c>
      <c r="I60" s="28">
        <f t="shared" si="0"/>
        <v>7.8385E-3</v>
      </c>
      <c r="K60" s="30">
        <v>58</v>
      </c>
      <c r="L60" s="30">
        <v>9.8029999999999992E-3</v>
      </c>
      <c r="M60" s="31">
        <v>87277</v>
      </c>
      <c r="N60" s="30">
        <v>23.31</v>
      </c>
      <c r="O60" s="30">
        <v>5.8739999999999999E-3</v>
      </c>
      <c r="P60" s="31">
        <v>92523</v>
      </c>
      <c r="Q60" s="30">
        <v>26.48</v>
      </c>
    </row>
    <row r="61" spans="8:17" ht="14.25" customHeight="1">
      <c r="H61" s="20">
        <f t="shared" si="2"/>
        <v>59</v>
      </c>
      <c r="I61" s="28">
        <f t="shared" si="0"/>
        <v>8.4685000000000003E-3</v>
      </c>
      <c r="K61" s="30">
        <v>59</v>
      </c>
      <c r="L61" s="30">
        <v>1.0591E-2</v>
      </c>
      <c r="M61" s="31">
        <v>86421</v>
      </c>
      <c r="N61" s="30">
        <v>22.54</v>
      </c>
      <c r="O61" s="30">
        <v>6.3460000000000001E-3</v>
      </c>
      <c r="P61" s="31">
        <v>91980</v>
      </c>
      <c r="Q61" s="30">
        <v>25.64</v>
      </c>
    </row>
    <row r="62" spans="8:17" ht="14.25" customHeight="1">
      <c r="H62" s="20">
        <f t="shared" si="2"/>
        <v>60</v>
      </c>
      <c r="I62" s="28">
        <f t="shared" si="0"/>
        <v>9.1634999999999998E-3</v>
      </c>
      <c r="K62" s="30">
        <v>60</v>
      </c>
      <c r="L62" s="30">
        <v>1.1447000000000001E-2</v>
      </c>
      <c r="M62" s="31">
        <v>85506</v>
      </c>
      <c r="N62" s="30">
        <v>21.77</v>
      </c>
      <c r="O62" s="30">
        <v>6.8799999999999998E-3</v>
      </c>
      <c r="P62" s="31">
        <v>91396</v>
      </c>
      <c r="Q62" s="30">
        <v>24.8</v>
      </c>
    </row>
    <row r="63" spans="8:17" ht="14.25" customHeight="1">
      <c r="H63" s="20">
        <f t="shared" si="2"/>
        <v>61</v>
      </c>
      <c r="I63" s="28">
        <f t="shared" si="0"/>
        <v>9.9030000000000003E-3</v>
      </c>
      <c r="K63" s="30">
        <v>61</v>
      </c>
      <c r="L63" s="30">
        <v>1.2352E-2</v>
      </c>
      <c r="M63" s="31">
        <v>84527</v>
      </c>
      <c r="N63" s="30">
        <v>21.02</v>
      </c>
      <c r="O63" s="30">
        <v>7.4539999999999997E-3</v>
      </c>
      <c r="P63" s="31">
        <v>90767</v>
      </c>
      <c r="Q63" s="30">
        <v>23.96</v>
      </c>
    </row>
    <row r="64" spans="8:17" ht="14.25" customHeight="1">
      <c r="H64" s="20">
        <f t="shared" si="2"/>
        <v>62</v>
      </c>
      <c r="I64" s="28">
        <f t="shared" si="0"/>
        <v>1.0626999999999999E-2</v>
      </c>
      <c r="K64" s="30">
        <v>62</v>
      </c>
      <c r="L64" s="30">
        <v>1.3247999999999999E-2</v>
      </c>
      <c r="M64" s="31">
        <v>83483</v>
      </c>
      <c r="N64" s="30">
        <v>20.28</v>
      </c>
      <c r="O64" s="30">
        <v>8.0059999999999992E-3</v>
      </c>
      <c r="P64" s="31">
        <v>90091</v>
      </c>
      <c r="Q64" s="30">
        <v>23.14</v>
      </c>
    </row>
    <row r="65" spans="8:17" ht="14.25" customHeight="1">
      <c r="H65" s="20">
        <f t="shared" si="2"/>
        <v>63</v>
      </c>
      <c r="I65" s="28">
        <f t="shared" si="0"/>
        <v>1.1316E-2</v>
      </c>
      <c r="K65" s="30">
        <v>63</v>
      </c>
      <c r="L65" s="30">
        <v>1.4116999999999999E-2</v>
      </c>
      <c r="M65" s="31">
        <v>82377</v>
      </c>
      <c r="N65" s="30">
        <v>19.54</v>
      </c>
      <c r="O65" s="30">
        <v>8.515E-3</v>
      </c>
      <c r="P65" s="31">
        <v>89370</v>
      </c>
      <c r="Q65" s="30">
        <v>22.32</v>
      </c>
    </row>
    <row r="66" spans="8:17" ht="14.25" customHeight="1">
      <c r="H66" s="20">
        <f t="shared" si="2"/>
        <v>64</v>
      </c>
      <c r="I66" s="28">
        <f t="shared" si="0"/>
        <v>1.201E-2</v>
      </c>
      <c r="K66" s="30">
        <v>64</v>
      </c>
      <c r="L66" s="30">
        <v>1.4995E-2</v>
      </c>
      <c r="M66" s="31">
        <v>81214</v>
      </c>
      <c r="N66" s="30">
        <v>18.809999999999999</v>
      </c>
      <c r="O66" s="30">
        <v>9.025E-3</v>
      </c>
      <c r="P66" s="31">
        <v>88609</v>
      </c>
      <c r="Q66" s="30">
        <v>21.51</v>
      </c>
    </row>
    <row r="67" spans="8:17" ht="14.25" customHeight="1">
      <c r="H67" s="20">
        <f t="shared" si="2"/>
        <v>65</v>
      </c>
      <c r="I67" s="28">
        <f t="shared" si="0"/>
        <v>1.2798500000000001E-2</v>
      </c>
      <c r="K67" s="30">
        <v>65</v>
      </c>
      <c r="L67" s="30">
        <v>1.5987000000000001E-2</v>
      </c>
      <c r="M67" s="31">
        <v>79996</v>
      </c>
      <c r="N67" s="30">
        <v>18.09</v>
      </c>
      <c r="O67" s="30">
        <v>9.6100000000000005E-3</v>
      </c>
      <c r="P67" s="31">
        <v>87809</v>
      </c>
      <c r="Q67" s="30">
        <v>20.7</v>
      </c>
    </row>
    <row r="68" spans="8:17" ht="14.25" customHeight="1">
      <c r="H68" s="20">
        <f t="shared" si="2"/>
        <v>66</v>
      </c>
      <c r="I68" s="28">
        <f t="shared" si="0"/>
        <v>1.37135E-2</v>
      </c>
      <c r="K68" s="30">
        <v>66</v>
      </c>
      <c r="L68" s="30">
        <v>1.7107000000000001E-2</v>
      </c>
      <c r="M68" s="31">
        <v>78717</v>
      </c>
      <c r="N68" s="30">
        <v>17.38</v>
      </c>
      <c r="O68" s="30">
        <v>1.0319999999999999E-2</v>
      </c>
      <c r="P68" s="31">
        <v>86965</v>
      </c>
      <c r="Q68" s="30">
        <v>19.899999999999999</v>
      </c>
    </row>
    <row r="69" spans="8:17" ht="14.25" customHeight="1">
      <c r="H69" s="20">
        <f t="shared" si="2"/>
        <v>67</v>
      </c>
      <c r="I69" s="28">
        <f t="shared" si="0"/>
        <v>1.4718999999999999E-2</v>
      </c>
      <c r="K69" s="30">
        <v>67</v>
      </c>
      <c r="L69" s="30">
        <v>1.8280000000000001E-2</v>
      </c>
      <c r="M69" s="31">
        <v>77371</v>
      </c>
      <c r="N69" s="30">
        <v>16.670000000000002</v>
      </c>
      <c r="O69" s="30">
        <v>1.1158E-2</v>
      </c>
      <c r="P69" s="31">
        <v>86067</v>
      </c>
      <c r="Q69" s="30">
        <v>19.100000000000001</v>
      </c>
    </row>
    <row r="70" spans="8:17" ht="14.25" customHeight="1">
      <c r="H70" s="20">
        <f t="shared" si="2"/>
        <v>68</v>
      </c>
      <c r="I70" s="28">
        <f t="shared" si="0"/>
        <v>1.5824000000000001E-2</v>
      </c>
      <c r="K70" s="30">
        <v>68</v>
      </c>
      <c r="L70" s="30">
        <v>1.95E-2</v>
      </c>
      <c r="M70" s="31">
        <v>75956</v>
      </c>
      <c r="N70" s="30">
        <v>15.97</v>
      </c>
      <c r="O70" s="30">
        <v>1.2148000000000001E-2</v>
      </c>
      <c r="P70" s="31">
        <v>85107</v>
      </c>
      <c r="Q70" s="30">
        <v>18.309999999999999</v>
      </c>
    </row>
    <row r="71" spans="8:17" ht="14.25" customHeight="1">
      <c r="H71" s="20">
        <f t="shared" si="2"/>
        <v>69</v>
      </c>
      <c r="I71" s="28">
        <f t="shared" si="0"/>
        <v>1.7065E-2</v>
      </c>
      <c r="K71" s="30">
        <v>69</v>
      </c>
      <c r="L71" s="30">
        <v>2.0829E-2</v>
      </c>
      <c r="M71" s="31">
        <v>74475</v>
      </c>
      <c r="N71" s="30">
        <v>15.28</v>
      </c>
      <c r="O71" s="30">
        <v>1.3301E-2</v>
      </c>
      <c r="P71" s="31">
        <v>84073</v>
      </c>
      <c r="Q71" s="30">
        <v>17.53</v>
      </c>
    </row>
    <row r="72" spans="8:17" ht="14.25" customHeight="1">
      <c r="H72" s="20">
        <f t="shared" si="2"/>
        <v>70</v>
      </c>
      <c r="I72" s="28">
        <f t="shared" si="0"/>
        <v>1.8512999999999998E-2</v>
      </c>
      <c r="K72" s="30">
        <v>70</v>
      </c>
      <c r="L72" s="30">
        <v>2.2363999999999998E-2</v>
      </c>
      <c r="M72" s="31">
        <v>72924</v>
      </c>
      <c r="N72" s="30">
        <v>14.6</v>
      </c>
      <c r="O72" s="30">
        <v>1.4662E-2</v>
      </c>
      <c r="P72" s="31">
        <v>82955</v>
      </c>
      <c r="Q72" s="30">
        <v>16.760000000000002</v>
      </c>
    </row>
    <row r="73" spans="8:17" ht="14.25" customHeight="1">
      <c r="H73" s="20">
        <f t="shared" si="2"/>
        <v>71</v>
      </c>
      <c r="I73" s="28">
        <f t="shared" si="0"/>
        <v>2.0189499999999999E-2</v>
      </c>
      <c r="K73" s="30">
        <v>71</v>
      </c>
      <c r="L73" s="30">
        <v>2.4169E-2</v>
      </c>
      <c r="M73" s="31">
        <v>71293</v>
      </c>
      <c r="N73" s="30">
        <v>13.92</v>
      </c>
      <c r="O73" s="30">
        <v>1.6209999999999999E-2</v>
      </c>
      <c r="P73" s="31">
        <v>81739</v>
      </c>
      <c r="Q73" s="30">
        <v>16</v>
      </c>
    </row>
    <row r="74" spans="8:17" ht="14.25" customHeight="1">
      <c r="H74" s="20">
        <f t="shared" si="2"/>
        <v>72</v>
      </c>
      <c r="I74" s="28">
        <f t="shared" si="0"/>
        <v>2.20705E-2</v>
      </c>
      <c r="K74" s="30">
        <v>72</v>
      </c>
      <c r="L74" s="30">
        <v>2.6249000000000001E-2</v>
      </c>
      <c r="M74" s="31">
        <v>69570</v>
      </c>
      <c r="N74" s="30">
        <v>13.25</v>
      </c>
      <c r="O74" s="30">
        <v>1.7892000000000002E-2</v>
      </c>
      <c r="P74" s="31">
        <v>80414</v>
      </c>
      <c r="Q74" s="30">
        <v>15.26</v>
      </c>
    </row>
    <row r="75" spans="8:17" ht="14.25" customHeight="1">
      <c r="H75" s="20">
        <f t="shared" si="2"/>
        <v>73</v>
      </c>
      <c r="I75" s="28">
        <f t="shared" si="0"/>
        <v>2.4171499999999999E-2</v>
      </c>
      <c r="K75" s="30">
        <v>73</v>
      </c>
      <c r="L75" s="30">
        <v>2.8642000000000001E-2</v>
      </c>
      <c r="M75" s="31">
        <v>67744</v>
      </c>
      <c r="N75" s="30">
        <v>12.59</v>
      </c>
      <c r="O75" s="30">
        <v>1.9701E-2</v>
      </c>
      <c r="P75" s="31">
        <v>78975</v>
      </c>
      <c r="Q75" s="30">
        <v>14.52</v>
      </c>
    </row>
    <row r="76" spans="8:17" ht="14.25" customHeight="1">
      <c r="H76" s="20">
        <f t="shared" si="2"/>
        <v>74</v>
      </c>
      <c r="I76" s="28">
        <f t="shared" si="0"/>
        <v>2.6540000000000001E-2</v>
      </c>
      <c r="K76" s="30">
        <v>74</v>
      </c>
      <c r="L76" s="30">
        <v>3.1379999999999998E-2</v>
      </c>
      <c r="M76" s="31">
        <v>65804</v>
      </c>
      <c r="N76" s="30">
        <v>11.95</v>
      </c>
      <c r="O76" s="30">
        <v>2.1700000000000001E-2</v>
      </c>
      <c r="P76" s="31">
        <v>77419</v>
      </c>
      <c r="Q76" s="30">
        <v>13.81</v>
      </c>
    </row>
    <row r="77" spans="8:17" ht="14.25" customHeight="1">
      <c r="H77" s="20">
        <f t="shared" si="2"/>
        <v>75</v>
      </c>
      <c r="I77" s="28">
        <f t="shared" si="0"/>
        <v>2.93285E-2</v>
      </c>
      <c r="K77" s="30">
        <v>75</v>
      </c>
      <c r="L77" s="30">
        <v>3.4592999999999999E-2</v>
      </c>
      <c r="M77" s="31">
        <v>63739</v>
      </c>
      <c r="N77" s="30">
        <v>11.32</v>
      </c>
      <c r="O77" s="30">
        <v>2.4063999999999999E-2</v>
      </c>
      <c r="P77" s="31">
        <v>75739</v>
      </c>
      <c r="Q77" s="30">
        <v>13.1</v>
      </c>
    </row>
    <row r="78" spans="8:17" ht="14.25" customHeight="1">
      <c r="H78" s="20">
        <f t="shared" si="2"/>
        <v>76</v>
      </c>
      <c r="I78" s="28">
        <f t="shared" si="0"/>
        <v>3.2524499999999998E-2</v>
      </c>
      <c r="K78" s="30">
        <v>76</v>
      </c>
      <c r="L78" s="30">
        <v>3.8234999999999998E-2</v>
      </c>
      <c r="M78" s="31">
        <v>61534</v>
      </c>
      <c r="N78" s="30">
        <v>10.71</v>
      </c>
      <c r="O78" s="30">
        <v>2.6814000000000001E-2</v>
      </c>
      <c r="P78" s="31">
        <v>73916</v>
      </c>
      <c r="Q78" s="30">
        <v>12.41</v>
      </c>
    </row>
    <row r="79" spans="8:17" ht="14.25" customHeight="1">
      <c r="H79" s="20">
        <f t="shared" si="2"/>
        <v>77</v>
      </c>
      <c r="I79" s="28">
        <f t="shared" si="0"/>
        <v>3.5998000000000002E-2</v>
      </c>
      <c r="K79" s="30">
        <v>77</v>
      </c>
      <c r="L79" s="30">
        <v>4.2159000000000002E-2</v>
      </c>
      <c r="M79" s="31">
        <v>59181</v>
      </c>
      <c r="N79" s="30">
        <v>10.119999999999999</v>
      </c>
      <c r="O79" s="30">
        <v>2.9836999999999999E-2</v>
      </c>
      <c r="P79" s="31">
        <v>71934</v>
      </c>
      <c r="Q79" s="30">
        <v>11.74</v>
      </c>
    </row>
    <row r="80" spans="8:17" ht="14.25" customHeight="1">
      <c r="H80" s="20">
        <f t="shared" si="2"/>
        <v>78</v>
      </c>
      <c r="I80" s="28">
        <f t="shared" si="0"/>
        <v>3.9734000000000005E-2</v>
      </c>
      <c r="K80" s="30">
        <v>78</v>
      </c>
      <c r="L80" s="30">
        <v>4.6336000000000002E-2</v>
      </c>
      <c r="M80" s="31">
        <v>56686</v>
      </c>
      <c r="N80" s="30">
        <v>9.5399999999999991</v>
      </c>
      <c r="O80" s="30">
        <v>3.3132000000000002E-2</v>
      </c>
      <c r="P80" s="31">
        <v>69788</v>
      </c>
      <c r="Q80" s="30">
        <v>11.09</v>
      </c>
    </row>
    <row r="81" spans="8:17" ht="14.25" customHeight="1">
      <c r="H81" s="20">
        <f t="shared" si="2"/>
        <v>79</v>
      </c>
      <c r="I81" s="28">
        <f t="shared" si="0"/>
        <v>4.38635E-2</v>
      </c>
      <c r="K81" s="30">
        <v>79</v>
      </c>
      <c r="L81" s="30">
        <v>5.0916999999999997E-2</v>
      </c>
      <c r="M81" s="31">
        <v>54059</v>
      </c>
      <c r="N81" s="30">
        <v>8.98</v>
      </c>
      <c r="O81" s="30">
        <v>3.6810000000000002E-2</v>
      </c>
      <c r="P81" s="31">
        <v>67476</v>
      </c>
      <c r="Q81" s="30">
        <v>10.45</v>
      </c>
    </row>
    <row r="82" spans="8:17" ht="14.25" customHeight="1">
      <c r="H82" s="20">
        <f t="shared" si="2"/>
        <v>80</v>
      </c>
      <c r="I82" s="28">
        <f t="shared" si="0"/>
        <v>4.8653500000000002E-2</v>
      </c>
      <c r="K82" s="30">
        <v>80</v>
      </c>
      <c r="L82" s="30">
        <v>5.6204999999999998E-2</v>
      </c>
      <c r="M82" s="31">
        <v>51307</v>
      </c>
      <c r="N82" s="30">
        <v>8.43</v>
      </c>
      <c r="O82" s="30">
        <v>4.1102E-2</v>
      </c>
      <c r="P82" s="31">
        <v>64992</v>
      </c>
      <c r="Q82" s="30">
        <v>9.83</v>
      </c>
    </row>
    <row r="83" spans="8:17" ht="14.25" customHeight="1">
      <c r="H83" s="20">
        <f t="shared" si="2"/>
        <v>81</v>
      </c>
      <c r="I83" s="28">
        <f t="shared" si="0"/>
        <v>5.4203500000000002E-2</v>
      </c>
      <c r="K83" s="30">
        <v>81</v>
      </c>
      <c r="L83" s="30">
        <v>6.2327E-2</v>
      </c>
      <c r="M83" s="31">
        <v>48423</v>
      </c>
      <c r="N83" s="30">
        <v>7.91</v>
      </c>
      <c r="O83" s="30">
        <v>4.6080000000000003E-2</v>
      </c>
      <c r="P83" s="31">
        <v>62321</v>
      </c>
      <c r="Q83" s="30">
        <v>9.23</v>
      </c>
    </row>
    <row r="84" spans="8:17" ht="14.25" customHeight="1">
      <c r="H84" s="20">
        <f t="shared" si="2"/>
        <v>82</v>
      </c>
      <c r="I84" s="28">
        <f t="shared" si="0"/>
        <v>6.0424000000000005E-2</v>
      </c>
      <c r="K84" s="30">
        <v>82</v>
      </c>
      <c r="L84" s="30">
        <v>6.9190000000000002E-2</v>
      </c>
      <c r="M84" s="31">
        <v>45405</v>
      </c>
      <c r="N84" s="30">
        <v>7.4</v>
      </c>
      <c r="O84" s="30">
        <v>5.1658000000000003E-2</v>
      </c>
      <c r="P84" s="31">
        <v>59449</v>
      </c>
      <c r="Q84" s="30">
        <v>8.65</v>
      </c>
    </row>
    <row r="85" spans="8:17" ht="14.25" customHeight="1">
      <c r="H85" s="20">
        <f t="shared" si="2"/>
        <v>83</v>
      </c>
      <c r="I85" s="28">
        <f t="shared" si="0"/>
        <v>6.7355999999999999E-2</v>
      </c>
      <c r="K85" s="30">
        <v>83</v>
      </c>
      <c r="L85" s="30">
        <v>7.6843999999999996E-2</v>
      </c>
      <c r="M85" s="31">
        <v>42264</v>
      </c>
      <c r="N85" s="30">
        <v>6.91</v>
      </c>
      <c r="O85" s="30">
        <v>5.7868000000000003E-2</v>
      </c>
      <c r="P85" s="31">
        <v>56378</v>
      </c>
      <c r="Q85" s="30">
        <v>8.09</v>
      </c>
    </row>
    <row r="86" spans="8:17" ht="14.25" customHeight="1">
      <c r="H86" s="20">
        <f t="shared" si="2"/>
        <v>84</v>
      </c>
      <c r="I86" s="28">
        <f t="shared" si="0"/>
        <v>7.511799999999999E-2</v>
      </c>
      <c r="K86" s="30">
        <v>84</v>
      </c>
      <c r="L86" s="30">
        <v>8.5406999999999997E-2</v>
      </c>
      <c r="M86" s="31">
        <v>39016</v>
      </c>
      <c r="N86" s="30">
        <v>6.44</v>
      </c>
      <c r="O86" s="30">
        <v>6.4828999999999998E-2</v>
      </c>
      <c r="P86" s="31">
        <v>53116</v>
      </c>
      <c r="Q86" s="30">
        <v>7.56</v>
      </c>
    </row>
    <row r="87" spans="8:17" ht="14.25" customHeight="1">
      <c r="H87" s="20">
        <f t="shared" si="2"/>
        <v>85</v>
      </c>
      <c r="I87" s="28">
        <f t="shared" si="0"/>
        <v>8.3850000000000008E-2</v>
      </c>
      <c r="K87" s="30">
        <v>85</v>
      </c>
      <c r="L87" s="30">
        <v>9.5009999999999997E-2</v>
      </c>
      <c r="M87" s="31">
        <v>35684</v>
      </c>
      <c r="N87" s="30">
        <v>6</v>
      </c>
      <c r="O87" s="30">
        <v>7.2690000000000005E-2</v>
      </c>
      <c r="P87" s="31">
        <v>49672</v>
      </c>
      <c r="Q87" s="30">
        <v>7.05</v>
      </c>
    </row>
    <row r="88" spans="8:17" ht="14.25" customHeight="1">
      <c r="H88" s="20">
        <f t="shared" si="2"/>
        <v>86</v>
      </c>
      <c r="I88" s="28">
        <f t="shared" si="0"/>
        <v>9.3674000000000007E-2</v>
      </c>
      <c r="K88" s="30">
        <v>86</v>
      </c>
      <c r="L88" s="30">
        <v>0.10577</v>
      </c>
      <c r="M88" s="31">
        <v>32293</v>
      </c>
      <c r="N88" s="30">
        <v>5.58</v>
      </c>
      <c r="O88" s="30">
        <v>8.1577999999999998E-2</v>
      </c>
      <c r="P88" s="31">
        <v>46061</v>
      </c>
      <c r="Q88" s="30">
        <v>6.56</v>
      </c>
    </row>
    <row r="89" spans="8:17" ht="14.25" customHeight="1">
      <c r="H89" s="20">
        <f t="shared" si="2"/>
        <v>87</v>
      </c>
      <c r="I89" s="28">
        <f t="shared" si="0"/>
        <v>0.10467899999999999</v>
      </c>
      <c r="K89" s="30">
        <v>87</v>
      </c>
      <c r="L89" s="30">
        <v>0.117771</v>
      </c>
      <c r="M89" s="31">
        <v>28878</v>
      </c>
      <c r="N89" s="30">
        <v>5.18</v>
      </c>
      <c r="O89" s="30">
        <v>9.1587000000000002E-2</v>
      </c>
      <c r="P89" s="31">
        <v>42304</v>
      </c>
      <c r="Q89" s="30">
        <v>6.1</v>
      </c>
    </row>
    <row r="90" spans="8:17" ht="14.25" customHeight="1">
      <c r="H90" s="20">
        <f t="shared" si="2"/>
        <v>88</v>
      </c>
      <c r="I90" s="28">
        <f t="shared" si="0"/>
        <v>0.11691850000000001</v>
      </c>
      <c r="K90" s="30">
        <v>88</v>
      </c>
      <c r="L90" s="30">
        <v>0.13106300000000001</v>
      </c>
      <c r="M90" s="31">
        <v>25477</v>
      </c>
      <c r="N90" s="30">
        <v>4.8</v>
      </c>
      <c r="O90" s="30">
        <v>0.102774</v>
      </c>
      <c r="P90" s="31">
        <v>38429</v>
      </c>
      <c r="Q90" s="30">
        <v>5.67</v>
      </c>
    </row>
    <row r="91" spans="8:17" ht="14.25" customHeight="1">
      <c r="H91" s="20">
        <f t="shared" si="2"/>
        <v>89</v>
      </c>
      <c r="I91" s="28">
        <f t="shared" si="0"/>
        <v>0.130413</v>
      </c>
      <c r="K91" s="30">
        <v>89</v>
      </c>
      <c r="L91" s="30">
        <v>0.14566599999999999</v>
      </c>
      <c r="M91" s="31">
        <v>22138</v>
      </c>
      <c r="N91" s="30">
        <v>4.45</v>
      </c>
      <c r="O91" s="30">
        <v>0.11516</v>
      </c>
      <c r="P91" s="31">
        <v>34480</v>
      </c>
      <c r="Q91" s="30">
        <v>5.26</v>
      </c>
    </row>
    <row r="92" spans="8:17" ht="14.25" customHeight="1">
      <c r="H92" s="20">
        <f t="shared" si="2"/>
        <v>90</v>
      </c>
      <c r="I92" s="28">
        <f t="shared" si="0"/>
        <v>0.1451655</v>
      </c>
      <c r="K92" s="30">
        <v>90</v>
      </c>
      <c r="L92" s="30">
        <v>0.161582</v>
      </c>
      <c r="M92" s="31">
        <v>18913</v>
      </c>
      <c r="N92" s="30">
        <v>4.12</v>
      </c>
      <c r="O92" s="30">
        <v>0.128749</v>
      </c>
      <c r="P92" s="31">
        <v>30509</v>
      </c>
      <c r="Q92" s="30">
        <v>4.88</v>
      </c>
    </row>
    <row r="93" spans="8:17" ht="14.25" customHeight="1">
      <c r="H93" s="20">
        <f t="shared" si="2"/>
        <v>91</v>
      </c>
      <c r="I93" s="28">
        <f t="shared" si="0"/>
        <v>0.16116449999999999</v>
      </c>
      <c r="K93" s="30">
        <v>91</v>
      </c>
      <c r="L93" s="30">
        <v>0.17879700000000001</v>
      </c>
      <c r="M93" s="31">
        <v>15857</v>
      </c>
      <c r="N93" s="30">
        <v>3.82</v>
      </c>
      <c r="O93" s="30">
        <v>0.14353199999999999</v>
      </c>
      <c r="P93" s="31">
        <v>26581</v>
      </c>
      <c r="Q93" s="30">
        <v>4.53</v>
      </c>
    </row>
    <row r="94" spans="8:17" ht="14.25" customHeight="1">
      <c r="H94" s="20">
        <f t="shared" si="2"/>
        <v>92</v>
      </c>
      <c r="I94" s="28">
        <f t="shared" si="0"/>
        <v>0.17838899999999999</v>
      </c>
      <c r="K94" s="30">
        <v>92</v>
      </c>
      <c r="L94" s="30">
        <v>0.19728699999999999</v>
      </c>
      <c r="M94" s="31">
        <v>13022</v>
      </c>
      <c r="N94" s="30">
        <v>3.54</v>
      </c>
      <c r="O94" s="30">
        <v>0.15949099999999999</v>
      </c>
      <c r="P94" s="31">
        <v>22766</v>
      </c>
      <c r="Q94" s="30">
        <v>4.2</v>
      </c>
    </row>
    <row r="95" spans="8:17" ht="14.25" customHeight="1">
      <c r="H95" s="20">
        <f t="shared" si="2"/>
        <v>93</v>
      </c>
      <c r="I95" s="28">
        <f t="shared" si="0"/>
        <v>0.1968065</v>
      </c>
      <c r="K95" s="30">
        <v>93</v>
      </c>
      <c r="L95" s="30">
        <v>0.21701300000000001</v>
      </c>
      <c r="M95" s="31">
        <v>10453</v>
      </c>
      <c r="N95" s="30">
        <v>3.29</v>
      </c>
      <c r="O95" s="30">
        <v>0.17660000000000001</v>
      </c>
      <c r="P95" s="31">
        <v>19135</v>
      </c>
      <c r="Q95" s="30">
        <v>3.9</v>
      </c>
    </row>
    <row r="96" spans="8:17" ht="14.25" customHeight="1">
      <c r="H96" s="20">
        <f t="shared" si="2"/>
        <v>94</v>
      </c>
      <c r="I96" s="28">
        <f t="shared" si="0"/>
        <v>0.2163775</v>
      </c>
      <c r="K96" s="30">
        <v>94</v>
      </c>
      <c r="L96" s="30">
        <v>0.23793</v>
      </c>
      <c r="M96" s="31">
        <v>8184</v>
      </c>
      <c r="N96" s="30">
        <v>3.06</v>
      </c>
      <c r="O96" s="30">
        <v>0.194825</v>
      </c>
      <c r="P96" s="31">
        <v>15756</v>
      </c>
      <c r="Q96" s="30">
        <v>3.63</v>
      </c>
    </row>
    <row r="97" spans="8:17" ht="14.25" customHeight="1">
      <c r="H97" s="20">
        <f t="shared" si="2"/>
        <v>95</v>
      </c>
      <c r="I97" s="28">
        <f t="shared" si="0"/>
        <v>0.23595150000000001</v>
      </c>
      <c r="K97" s="30">
        <v>95</v>
      </c>
      <c r="L97" s="30">
        <v>0.25865500000000002</v>
      </c>
      <c r="M97" s="31">
        <v>6237</v>
      </c>
      <c r="N97" s="30">
        <v>2.87</v>
      </c>
      <c r="O97" s="30">
        <v>0.21324799999999999</v>
      </c>
      <c r="P97" s="31">
        <v>12686</v>
      </c>
      <c r="Q97" s="30">
        <v>3.39</v>
      </c>
    </row>
    <row r="98" spans="8:17" ht="14.25" customHeight="1">
      <c r="K98" s="30">
        <v>96</v>
      </c>
      <c r="L98" s="30">
        <v>0.27878599999999998</v>
      </c>
      <c r="M98" s="31">
        <v>4624</v>
      </c>
      <c r="N98" s="30">
        <v>2.69</v>
      </c>
      <c r="O98" s="30">
        <v>0.23157</v>
      </c>
      <c r="P98" s="31">
        <v>9981</v>
      </c>
      <c r="Q98" s="30">
        <v>3.18</v>
      </c>
    </row>
    <row r="99" spans="8:17" ht="14.25" customHeight="1">
      <c r="K99" s="30">
        <v>97</v>
      </c>
      <c r="L99" s="30">
        <v>0.29789700000000002</v>
      </c>
      <c r="M99" s="31">
        <v>3335</v>
      </c>
      <c r="N99" s="30">
        <v>2.54</v>
      </c>
      <c r="O99" s="30">
        <v>0.24946599999999999</v>
      </c>
      <c r="P99" s="31">
        <v>7670</v>
      </c>
      <c r="Q99" s="30">
        <v>2.98</v>
      </c>
    </row>
    <row r="100" spans="8:17" ht="14.25" customHeight="1">
      <c r="K100" s="30">
        <v>98</v>
      </c>
      <c r="L100" s="30">
        <v>0.315556</v>
      </c>
      <c r="M100" s="31">
        <v>2341</v>
      </c>
      <c r="N100" s="30">
        <v>2.4</v>
      </c>
      <c r="O100" s="30">
        <v>0.26658900000000002</v>
      </c>
      <c r="P100" s="31">
        <v>5756</v>
      </c>
      <c r="Q100" s="30">
        <v>2.81</v>
      </c>
    </row>
    <row r="101" spans="8:17" ht="14.25" customHeight="1">
      <c r="K101" s="30">
        <v>99</v>
      </c>
      <c r="L101" s="30">
        <v>0.33133299999999999</v>
      </c>
      <c r="M101" s="31">
        <v>1603</v>
      </c>
      <c r="N101" s="30">
        <v>2.2799999999999998</v>
      </c>
      <c r="O101" s="30">
        <v>0.28258499999999998</v>
      </c>
      <c r="P101" s="31">
        <v>4222</v>
      </c>
      <c r="Q101" s="30">
        <v>2.65</v>
      </c>
    </row>
    <row r="102" spans="8:17" ht="14.25" customHeight="1">
      <c r="K102" s="30">
        <v>100</v>
      </c>
      <c r="L102" s="30">
        <v>0.34789999999999999</v>
      </c>
      <c r="M102" s="31">
        <v>1072</v>
      </c>
      <c r="N102" s="30">
        <v>2.16</v>
      </c>
      <c r="O102" s="30">
        <v>0.29953999999999997</v>
      </c>
      <c r="P102" s="31">
        <v>3029</v>
      </c>
      <c r="Q102" s="30">
        <v>2.4900000000000002</v>
      </c>
    </row>
    <row r="103" spans="8:17" ht="14.25" customHeight="1">
      <c r="K103" s="30">
        <v>101</v>
      </c>
      <c r="L103" s="30">
        <v>0.36529499999999998</v>
      </c>
      <c r="M103" s="30">
        <v>699</v>
      </c>
      <c r="N103" s="30">
        <v>2.0499999999999998</v>
      </c>
      <c r="O103" s="30">
        <v>0.31751200000000002</v>
      </c>
      <c r="P103" s="31">
        <v>2121</v>
      </c>
      <c r="Q103" s="30">
        <v>2.35</v>
      </c>
    </row>
    <row r="104" spans="8:17" ht="14.25" customHeight="1">
      <c r="K104" s="30">
        <v>102</v>
      </c>
      <c r="L104" s="30">
        <v>0.38356000000000001</v>
      </c>
      <c r="M104" s="30">
        <v>444</v>
      </c>
      <c r="N104" s="30">
        <v>1.94</v>
      </c>
      <c r="O104" s="30">
        <v>0.336563</v>
      </c>
      <c r="P104" s="31">
        <v>1448</v>
      </c>
      <c r="Q104" s="30">
        <v>2.21</v>
      </c>
    </row>
    <row r="105" spans="8:17" ht="14.25" customHeight="1">
      <c r="K105" s="30">
        <v>103</v>
      </c>
      <c r="L105" s="30">
        <v>0.40273799999999998</v>
      </c>
      <c r="M105" s="30">
        <v>273</v>
      </c>
      <c r="N105" s="30">
        <v>1.83</v>
      </c>
      <c r="O105" s="30">
        <v>0.35675600000000002</v>
      </c>
      <c r="P105" s="30">
        <v>961</v>
      </c>
      <c r="Q105" s="30">
        <v>2.0699999999999998</v>
      </c>
    </row>
    <row r="106" spans="8:17" ht="14.25" customHeight="1">
      <c r="K106" s="30">
        <v>104</v>
      </c>
      <c r="L106" s="30">
        <v>0.422875</v>
      </c>
      <c r="M106" s="30">
        <v>163</v>
      </c>
      <c r="N106" s="30">
        <v>1.73</v>
      </c>
      <c r="O106" s="30">
        <v>0.378162</v>
      </c>
      <c r="P106" s="30">
        <v>618</v>
      </c>
      <c r="Q106" s="30">
        <v>1.94</v>
      </c>
    </row>
    <row r="107" spans="8:17" ht="14.25" customHeight="1">
      <c r="K107" s="30">
        <v>105</v>
      </c>
      <c r="L107" s="30">
        <v>0.44401800000000002</v>
      </c>
      <c r="M107" s="30">
        <v>94</v>
      </c>
      <c r="N107" s="30">
        <v>1.64</v>
      </c>
      <c r="O107" s="30">
        <v>0.40085199999999999</v>
      </c>
      <c r="P107" s="30">
        <v>384</v>
      </c>
      <c r="Q107" s="30">
        <v>1.82</v>
      </c>
    </row>
    <row r="108" spans="8:17" ht="14.25" customHeight="1">
      <c r="K108" s="30">
        <v>106</v>
      </c>
      <c r="L108" s="30">
        <v>0.46621899999999999</v>
      </c>
      <c r="M108" s="30">
        <v>52</v>
      </c>
      <c r="N108" s="30">
        <v>1.54</v>
      </c>
      <c r="O108" s="30">
        <v>0.42490299999999998</v>
      </c>
      <c r="P108" s="30">
        <v>230</v>
      </c>
      <c r="Q108" s="30">
        <v>1.7</v>
      </c>
    </row>
    <row r="109" spans="8:17" ht="14.25" customHeight="1">
      <c r="K109" s="30">
        <v>107</v>
      </c>
      <c r="L109" s="30">
        <v>0.48953000000000002</v>
      </c>
      <c r="M109" s="30">
        <v>28</v>
      </c>
      <c r="N109" s="30">
        <v>1.45</v>
      </c>
      <c r="O109" s="30">
        <v>0.45039699999999999</v>
      </c>
      <c r="P109" s="30">
        <v>132</v>
      </c>
      <c r="Q109" s="30">
        <v>1.59</v>
      </c>
    </row>
    <row r="110" spans="8:17" ht="14.25" customHeight="1">
      <c r="K110" s="30">
        <v>108</v>
      </c>
      <c r="L110" s="30">
        <v>0.51400699999999999</v>
      </c>
      <c r="M110" s="30">
        <v>14</v>
      </c>
      <c r="N110" s="30">
        <v>1.37</v>
      </c>
      <c r="O110" s="30">
        <v>0.47742099999999998</v>
      </c>
      <c r="P110" s="30">
        <v>73</v>
      </c>
      <c r="Q110" s="30">
        <v>1.48</v>
      </c>
    </row>
    <row r="111" spans="8:17" ht="14.25" customHeight="1">
      <c r="K111" s="30">
        <v>109</v>
      </c>
      <c r="L111" s="30">
        <v>0.53970700000000005</v>
      </c>
      <c r="M111" s="30">
        <v>7</v>
      </c>
      <c r="N111" s="30">
        <v>1.29</v>
      </c>
      <c r="O111" s="30">
        <v>0.50606600000000002</v>
      </c>
      <c r="P111" s="30">
        <v>38</v>
      </c>
      <c r="Q111" s="30">
        <v>1.38</v>
      </c>
    </row>
    <row r="112" spans="8:17" ht="14.25" customHeight="1">
      <c r="K112" s="30">
        <v>110</v>
      </c>
      <c r="L112" s="30">
        <v>0.56669199999999997</v>
      </c>
      <c r="M112" s="30">
        <v>3</v>
      </c>
      <c r="N112" s="30">
        <v>1.21</v>
      </c>
      <c r="O112" s="30">
        <v>0.53642999999999996</v>
      </c>
      <c r="P112" s="30">
        <v>19</v>
      </c>
      <c r="Q112" s="30">
        <v>1.28</v>
      </c>
    </row>
    <row r="113" spans="11:17" ht="14.25" customHeight="1">
      <c r="K113" s="30">
        <v>111</v>
      </c>
      <c r="L113" s="30">
        <v>0.59502699999999997</v>
      </c>
      <c r="M113" s="30">
        <v>1</v>
      </c>
      <c r="N113" s="30">
        <v>1.1299999999999999</v>
      </c>
      <c r="O113" s="30">
        <v>0.56861600000000001</v>
      </c>
      <c r="P113" s="30">
        <v>9</v>
      </c>
      <c r="Q113" s="30">
        <v>1.19</v>
      </c>
    </row>
    <row r="114" spans="11:17" ht="14.25" customHeight="1">
      <c r="K114" s="30">
        <v>112</v>
      </c>
      <c r="L114" s="30">
        <v>0.62477800000000006</v>
      </c>
      <c r="M114" s="30">
        <v>1</v>
      </c>
      <c r="N114" s="30">
        <v>1.06</v>
      </c>
      <c r="O114" s="30">
        <v>0.60273299999999996</v>
      </c>
      <c r="P114" s="30">
        <v>4</v>
      </c>
      <c r="Q114" s="30">
        <v>1.1000000000000001</v>
      </c>
    </row>
    <row r="115" spans="11:17" ht="14.25" customHeight="1">
      <c r="K115" s="30">
        <v>113</v>
      </c>
      <c r="L115" s="30">
        <v>0.65601699999999996</v>
      </c>
      <c r="M115" s="30">
        <v>0</v>
      </c>
      <c r="N115" s="30">
        <v>0.99</v>
      </c>
      <c r="O115" s="30">
        <v>0.63889600000000002</v>
      </c>
      <c r="P115" s="30">
        <v>1</v>
      </c>
      <c r="Q115" s="30">
        <v>1.02</v>
      </c>
    </row>
    <row r="116" spans="11:17" ht="14.25" customHeight="1">
      <c r="K116" s="30">
        <v>114</v>
      </c>
      <c r="L116" s="30">
        <v>0.68881800000000004</v>
      </c>
      <c r="M116" s="30">
        <v>0</v>
      </c>
      <c r="N116" s="30">
        <v>0.92</v>
      </c>
      <c r="O116" s="30">
        <v>0.67723</v>
      </c>
      <c r="P116" s="30">
        <v>1</v>
      </c>
      <c r="Q116" s="30">
        <v>0.94</v>
      </c>
    </row>
    <row r="117" spans="11:17" ht="14.25" customHeight="1">
      <c r="K117" s="30">
        <v>115</v>
      </c>
      <c r="L117" s="30">
        <v>0.72325899999999999</v>
      </c>
      <c r="M117" s="30">
        <v>0</v>
      </c>
      <c r="N117" s="30">
        <v>0.86</v>
      </c>
      <c r="O117" s="30">
        <v>0.71786399999999995</v>
      </c>
      <c r="P117" s="30">
        <v>0</v>
      </c>
      <c r="Q117" s="30">
        <v>0.87</v>
      </c>
    </row>
    <row r="118" spans="11:17" ht="14.25" customHeight="1">
      <c r="K118" s="30">
        <v>116</v>
      </c>
      <c r="L118" s="30">
        <v>0.75942200000000004</v>
      </c>
      <c r="M118" s="30">
        <v>0</v>
      </c>
      <c r="N118" s="30">
        <v>0.8</v>
      </c>
      <c r="O118" s="30">
        <v>0.75942200000000004</v>
      </c>
      <c r="P118" s="30">
        <v>0</v>
      </c>
      <c r="Q118" s="30">
        <v>0.8</v>
      </c>
    </row>
    <row r="119" spans="11:17" ht="14.25" customHeight="1">
      <c r="K119" s="30">
        <v>117</v>
      </c>
      <c r="L119" s="30">
        <v>0.79739300000000002</v>
      </c>
      <c r="M119" s="30">
        <v>0</v>
      </c>
      <c r="N119" s="30">
        <v>0.74</v>
      </c>
      <c r="O119" s="30">
        <v>0.79739300000000002</v>
      </c>
      <c r="P119" s="30">
        <v>0</v>
      </c>
      <c r="Q119" s="30">
        <v>0.74</v>
      </c>
    </row>
    <row r="120" spans="11:17" ht="14.25" customHeight="1">
      <c r="K120" s="30">
        <v>118</v>
      </c>
      <c r="L120" s="30">
        <v>0.83726299999999998</v>
      </c>
      <c r="M120" s="30">
        <v>0</v>
      </c>
      <c r="N120" s="30">
        <v>0.68</v>
      </c>
      <c r="O120" s="30">
        <v>0.83726299999999998</v>
      </c>
      <c r="P120" s="30">
        <v>0</v>
      </c>
      <c r="Q120" s="30">
        <v>0.68</v>
      </c>
    </row>
    <row r="121" spans="11:17" ht="14.25" customHeight="1">
      <c r="K121" s="30">
        <v>119</v>
      </c>
      <c r="L121" s="30">
        <v>0.87912599999999996</v>
      </c>
      <c r="M121" s="30">
        <v>0</v>
      </c>
      <c r="N121" s="30">
        <v>0.63</v>
      </c>
      <c r="O121" s="30">
        <v>0.87912599999999996</v>
      </c>
      <c r="P121" s="30">
        <v>0</v>
      </c>
      <c r="Q121" s="30">
        <v>0.63</v>
      </c>
    </row>
    <row r="122" spans="11:17" ht="14.25" customHeight="1"/>
    <row r="123" spans="11:17" ht="14.25" customHeight="1"/>
    <row r="124" spans="11:17" ht="14.25" customHeight="1"/>
    <row r="125" spans="11:17" ht="14.25" customHeight="1"/>
    <row r="126" spans="11:17" ht="14.25" customHeight="1"/>
    <row r="127" spans="11:17" ht="14.25" customHeight="1"/>
    <row r="128" spans="11:17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000"/>
  <sheetViews>
    <sheetView workbookViewId="0"/>
  </sheetViews>
  <sheetFormatPr defaultColWidth="14.42578125" defaultRowHeight="15" customHeight="1"/>
  <cols>
    <col min="1" max="1" width="9.140625" customWidth="1"/>
    <col min="2" max="5" width="6.28515625" customWidth="1"/>
    <col min="6" max="6" width="9.85546875" customWidth="1"/>
    <col min="7" max="7" width="15.28515625" customWidth="1"/>
    <col min="8" max="8" width="14" customWidth="1"/>
    <col min="9" max="18" width="8.7109375" customWidth="1"/>
  </cols>
  <sheetData>
    <row r="1" spans="1:18" ht="14.25" customHeight="1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R1" s="4">
        <v>1.1100000000000001</v>
      </c>
    </row>
    <row r="2" spans="1:18" ht="14.25" customHeight="1">
      <c r="A2" s="33">
        <v>31048</v>
      </c>
      <c r="B2" s="3">
        <v>179.63</v>
      </c>
      <c r="C2" s="3">
        <v>167.2</v>
      </c>
      <c r="D2" s="3">
        <v>180.27</v>
      </c>
      <c r="E2" s="3">
        <v>163.36000000000001</v>
      </c>
      <c r="F2" s="3">
        <v>179.63</v>
      </c>
      <c r="G2" s="3">
        <v>2673710000</v>
      </c>
      <c r="I2" s="15">
        <f t="shared" ref="I2:I256" si="0">B3/B2</f>
        <v>1.008628848187942</v>
      </c>
      <c r="J2" s="4">
        <f t="shared" ref="J2:J256" si="1">B14/B2</f>
        <v>1.1789790124144075</v>
      </c>
      <c r="K2" s="4">
        <f t="shared" ref="K2:K256" si="2">B62/B2</f>
        <v>1.8319879752825252</v>
      </c>
      <c r="L2" s="4">
        <f t="shared" ref="L2:L256" si="3">B122/B2</f>
        <v>2.6188275900462061</v>
      </c>
      <c r="M2" s="4">
        <f t="shared" ref="M2:M256" si="4">B182/B2</f>
        <v>7.7629571897789909</v>
      </c>
      <c r="N2" s="4">
        <f t="shared" ref="N2:N211" si="5">B242/B2</f>
        <v>6.5761287090129708</v>
      </c>
      <c r="O2" s="4">
        <f t="shared" ref="O2:O151" si="6">B302/B2</f>
        <v>5.9782330345710619</v>
      </c>
      <c r="P2" s="4">
        <f t="shared" ref="P2:P91" si="7">B362/B2</f>
        <v>11.10610699771753</v>
      </c>
      <c r="R2" s="4">
        <f t="shared" ref="R2:R256" si="8">IF( IF(J2&gt;$R$1,$R$1,J2)&lt;1,1,  IF(J2&gt;$R$1,$R$1,J2))</f>
        <v>1.1100000000000001</v>
      </c>
    </row>
    <row r="3" spans="1:18" ht="14.25" customHeight="1">
      <c r="A3" s="33">
        <v>31079</v>
      </c>
      <c r="B3" s="3">
        <v>181.18</v>
      </c>
      <c r="C3" s="3">
        <v>179.63</v>
      </c>
      <c r="D3" s="3">
        <v>183.95</v>
      </c>
      <c r="E3" s="3">
        <v>177.75</v>
      </c>
      <c r="F3" s="3">
        <v>181.18</v>
      </c>
      <c r="G3" s="3">
        <v>2194620000</v>
      </c>
      <c r="I3" s="15">
        <f t="shared" si="0"/>
        <v>0.99712992604040174</v>
      </c>
      <c r="J3" s="4">
        <f t="shared" si="1"/>
        <v>1.2524561209846561</v>
      </c>
      <c r="K3" s="4">
        <f t="shared" si="2"/>
        <v>1.8318247047135443</v>
      </c>
      <c r="L3" s="4">
        <f t="shared" si="3"/>
        <v>2.6900872060933878</v>
      </c>
      <c r="M3" s="4">
        <f t="shared" si="4"/>
        <v>7.5417816536041506</v>
      </c>
      <c r="N3" s="4">
        <f t="shared" si="5"/>
        <v>6.6431173418699627</v>
      </c>
      <c r="O3" s="4">
        <f t="shared" si="6"/>
        <v>6.0960922839165468</v>
      </c>
      <c r="P3" s="4">
        <f t="shared" si="7"/>
        <v>11.615520476873826</v>
      </c>
      <c r="R3" s="4">
        <f t="shared" si="8"/>
        <v>1.1100000000000001</v>
      </c>
    </row>
    <row r="4" spans="1:18" ht="14.25" customHeight="1">
      <c r="A4" s="33">
        <v>31107</v>
      </c>
      <c r="B4" s="3">
        <v>180.66</v>
      </c>
      <c r="C4" s="3">
        <v>181.18</v>
      </c>
      <c r="D4" s="3">
        <v>183.89</v>
      </c>
      <c r="E4" s="3">
        <v>176.53</v>
      </c>
      <c r="F4" s="3">
        <v>180.66</v>
      </c>
      <c r="G4" s="3">
        <v>2153090000</v>
      </c>
      <c r="I4" s="15">
        <f t="shared" si="0"/>
        <v>0.99540573452894954</v>
      </c>
      <c r="J4" s="4">
        <f t="shared" si="1"/>
        <v>1.3223735193180561</v>
      </c>
      <c r="K4" s="4">
        <f t="shared" si="2"/>
        <v>1.8816561496734197</v>
      </c>
      <c r="L4" s="4">
        <f t="shared" si="3"/>
        <v>2.7715598361563156</v>
      </c>
      <c r="M4" s="4">
        <f t="shared" si="4"/>
        <v>8.2950293368758992</v>
      </c>
      <c r="N4" s="4">
        <f t="shared" si="5"/>
        <v>6.5348721355031545</v>
      </c>
      <c r="O4" s="4">
        <f t="shared" si="6"/>
        <v>6.473098638326138</v>
      </c>
      <c r="P4" s="4">
        <f t="shared" si="7"/>
        <v>11.446307981844347</v>
      </c>
      <c r="R4" s="4">
        <f t="shared" si="8"/>
        <v>1.1100000000000001</v>
      </c>
    </row>
    <row r="5" spans="1:18" ht="14.25" customHeight="1">
      <c r="A5" s="33">
        <v>31138</v>
      </c>
      <c r="B5" s="3">
        <v>179.83</v>
      </c>
      <c r="C5" s="3">
        <v>180.66</v>
      </c>
      <c r="D5" s="3">
        <v>183.61</v>
      </c>
      <c r="E5" s="3">
        <v>177.86</v>
      </c>
      <c r="F5" s="3">
        <v>179.83</v>
      </c>
      <c r="G5" s="3">
        <v>1981880000</v>
      </c>
      <c r="I5" s="15">
        <f t="shared" si="0"/>
        <v>1.0540510482122003</v>
      </c>
      <c r="J5" s="4">
        <f t="shared" si="1"/>
        <v>1.3096813657343045</v>
      </c>
      <c r="K5" s="4">
        <f t="shared" si="2"/>
        <v>1.8395150975921704</v>
      </c>
      <c r="L5" s="4">
        <f t="shared" si="3"/>
        <v>2.8622031919034643</v>
      </c>
      <c r="M5" s="4">
        <f t="shared" si="4"/>
        <v>8.0766835344492023</v>
      </c>
      <c r="N5" s="4">
        <f t="shared" si="5"/>
        <v>6.4330200745148183</v>
      </c>
      <c r="O5" s="4">
        <f t="shared" si="6"/>
        <v>6.5989545682033031</v>
      </c>
      <c r="P5" s="4">
        <f t="shared" si="7"/>
        <v>11.597119501751655</v>
      </c>
      <c r="R5" s="4">
        <f t="shared" si="8"/>
        <v>1.1100000000000001</v>
      </c>
    </row>
    <row r="6" spans="1:18" ht="14.25" customHeight="1">
      <c r="A6" s="33">
        <v>31168</v>
      </c>
      <c r="B6" s="3">
        <v>189.55</v>
      </c>
      <c r="C6" s="3">
        <v>179.83</v>
      </c>
      <c r="D6" s="3">
        <v>189.98</v>
      </c>
      <c r="E6" s="3">
        <v>178.35</v>
      </c>
      <c r="F6" s="3">
        <v>189.55</v>
      </c>
      <c r="G6" s="3">
        <v>2350340000</v>
      </c>
      <c r="I6" s="15">
        <f t="shared" si="0"/>
        <v>1.0121340015826958</v>
      </c>
      <c r="J6" s="4">
        <f t="shared" si="1"/>
        <v>1.304932735426009</v>
      </c>
      <c r="K6" s="4">
        <f t="shared" si="2"/>
        <v>1.9057240833553153</v>
      </c>
      <c r="L6" s="4">
        <f t="shared" si="3"/>
        <v>2.8140332366130307</v>
      </c>
      <c r="M6" s="4">
        <f t="shared" si="4"/>
        <v>7.4945924558164068</v>
      </c>
      <c r="N6" s="4">
        <f t="shared" si="5"/>
        <v>6.2859403851226583</v>
      </c>
      <c r="O6" s="4">
        <f t="shared" si="6"/>
        <v>5.7473489844368242</v>
      </c>
      <c r="P6" s="4">
        <f t="shared" si="7"/>
        <v>11.11785808493801</v>
      </c>
      <c r="R6" s="4">
        <f t="shared" si="8"/>
        <v>1.1100000000000001</v>
      </c>
    </row>
    <row r="7" spans="1:18" ht="14.25" customHeight="1">
      <c r="A7" s="33">
        <v>31199</v>
      </c>
      <c r="B7" s="3">
        <v>191.85</v>
      </c>
      <c r="C7" s="3">
        <v>189.55</v>
      </c>
      <c r="D7" s="3">
        <v>191.85</v>
      </c>
      <c r="E7" s="3">
        <v>185.03</v>
      </c>
      <c r="F7" s="3">
        <v>191.85</v>
      </c>
      <c r="G7" s="3">
        <v>2117000000</v>
      </c>
      <c r="I7" s="15">
        <f t="shared" si="0"/>
        <v>0.99515246286161063</v>
      </c>
      <c r="J7" s="4">
        <f t="shared" si="1"/>
        <v>1.30747980192859</v>
      </c>
      <c r="K7" s="4">
        <f t="shared" si="2"/>
        <v>1.8661454261141517</v>
      </c>
      <c r="L7" s="4">
        <f t="shared" si="3"/>
        <v>2.8394579098253847</v>
      </c>
      <c r="M7" s="4">
        <f t="shared" si="4"/>
        <v>7.5819650768829812</v>
      </c>
      <c r="N7" s="4">
        <f t="shared" si="5"/>
        <v>6.2096950742767785</v>
      </c>
      <c r="O7" s="4">
        <f t="shared" si="6"/>
        <v>5.372478498827209</v>
      </c>
      <c r="P7" s="4">
        <f t="shared" si="7"/>
        <v>10.753765962991922</v>
      </c>
      <c r="R7" s="4">
        <f t="shared" si="8"/>
        <v>1.1100000000000001</v>
      </c>
    </row>
    <row r="8" spans="1:18" ht="14.25" customHeight="1">
      <c r="A8" s="33">
        <v>31229</v>
      </c>
      <c r="B8" s="3">
        <v>190.92</v>
      </c>
      <c r="C8" s="3">
        <v>191.85</v>
      </c>
      <c r="D8" s="3">
        <v>196.07</v>
      </c>
      <c r="E8" s="3">
        <v>189.3</v>
      </c>
      <c r="F8" s="3">
        <v>190.92</v>
      </c>
      <c r="G8" s="3">
        <v>2463070000</v>
      </c>
      <c r="I8" s="15">
        <f t="shared" si="0"/>
        <v>0.98800544730777295</v>
      </c>
      <c r="J8" s="4">
        <f t="shared" si="1"/>
        <v>1.2367483762832601</v>
      </c>
      <c r="K8" s="4">
        <f t="shared" si="2"/>
        <v>1.8654410224177667</v>
      </c>
      <c r="L8" s="4">
        <f t="shared" si="3"/>
        <v>2.9439555834904669</v>
      </c>
      <c r="M8" s="4">
        <f t="shared" si="4"/>
        <v>7.4943955583490469</v>
      </c>
      <c r="N8" s="4">
        <f t="shared" si="5"/>
        <v>6.4643829876388024</v>
      </c>
      <c r="O8" s="4">
        <f t="shared" si="6"/>
        <v>5.7699560025141423</v>
      </c>
      <c r="P8" s="4">
        <f t="shared" si="7"/>
        <v>11.019484600879951</v>
      </c>
      <c r="R8" s="4">
        <f t="shared" si="8"/>
        <v>1.1100000000000001</v>
      </c>
    </row>
    <row r="9" spans="1:18" ht="14.25" customHeight="1">
      <c r="A9" s="33">
        <v>31260</v>
      </c>
      <c r="B9" s="3">
        <v>188.63</v>
      </c>
      <c r="C9" s="3">
        <v>190.92</v>
      </c>
      <c r="D9" s="3">
        <v>192.17</v>
      </c>
      <c r="E9" s="3">
        <v>186.1</v>
      </c>
      <c r="F9" s="3">
        <v>188.63</v>
      </c>
      <c r="G9" s="3">
        <v>1923200000</v>
      </c>
      <c r="I9" s="15">
        <f t="shared" si="0"/>
        <v>0.96527593701956216</v>
      </c>
      <c r="J9" s="4">
        <f t="shared" si="1"/>
        <v>1.3408789694110164</v>
      </c>
      <c r="K9" s="4">
        <f t="shared" si="2"/>
        <v>1.7100143137358852</v>
      </c>
      <c r="L9" s="4">
        <f t="shared" si="3"/>
        <v>2.9787414515188466</v>
      </c>
      <c r="M9" s="4">
        <f t="shared" si="4"/>
        <v>8.0458039548322109</v>
      </c>
      <c r="N9" s="4">
        <f t="shared" si="5"/>
        <v>6.4694375231935535</v>
      </c>
      <c r="O9" s="4">
        <f t="shared" si="6"/>
        <v>5.5629009171393733</v>
      </c>
      <c r="P9" s="4">
        <f t="shared" si="7"/>
        <v>10.455282828818323</v>
      </c>
      <c r="R9" s="4">
        <f t="shared" si="8"/>
        <v>1.1100000000000001</v>
      </c>
    </row>
    <row r="10" spans="1:18" ht="14.25" customHeight="1">
      <c r="A10" s="33">
        <v>31291</v>
      </c>
      <c r="B10" s="3">
        <v>182.08</v>
      </c>
      <c r="C10" s="3">
        <v>188.63</v>
      </c>
      <c r="D10" s="3">
        <v>188.8</v>
      </c>
      <c r="E10" s="3">
        <v>179.45</v>
      </c>
      <c r="F10" s="3">
        <v>182.08</v>
      </c>
      <c r="G10" s="3">
        <v>1860160000</v>
      </c>
      <c r="I10" s="15">
        <f t="shared" si="0"/>
        <v>1.0425087873462213</v>
      </c>
      <c r="J10" s="4">
        <f t="shared" si="1"/>
        <v>1.2704305799648505</v>
      </c>
      <c r="K10" s="4">
        <f t="shared" si="2"/>
        <v>1.6808545694200352</v>
      </c>
      <c r="L10" s="4">
        <f t="shared" si="3"/>
        <v>3.2096331282952546</v>
      </c>
      <c r="M10" s="4">
        <f t="shared" si="4"/>
        <v>7.8894442003514929</v>
      </c>
      <c r="N10" s="4">
        <f t="shared" si="5"/>
        <v>6.7487368189806674</v>
      </c>
      <c r="O10" s="4">
        <f t="shared" si="6"/>
        <v>6.2675746924428823</v>
      </c>
      <c r="P10" s="4">
        <f t="shared" si="7"/>
        <v>10.544980228471001</v>
      </c>
      <c r="R10" s="4">
        <f t="shared" si="8"/>
        <v>1.1100000000000001</v>
      </c>
    </row>
    <row r="11" spans="1:18" ht="14.25" customHeight="1">
      <c r="A11" s="33">
        <v>31321</v>
      </c>
      <c r="B11" s="3">
        <v>189.82</v>
      </c>
      <c r="C11" s="3">
        <v>182.06</v>
      </c>
      <c r="D11" s="3">
        <v>190.15</v>
      </c>
      <c r="E11" s="3">
        <v>181.16</v>
      </c>
      <c r="F11" s="3">
        <v>189.82</v>
      </c>
      <c r="G11" s="3">
        <v>2543240000</v>
      </c>
      <c r="I11" s="15">
        <f t="shared" si="0"/>
        <v>1.0650616373406385</v>
      </c>
      <c r="J11" s="4">
        <f t="shared" si="1"/>
        <v>1.2853229375197555</v>
      </c>
      <c r="K11" s="4">
        <f t="shared" si="2"/>
        <v>1.6015172268464861</v>
      </c>
      <c r="L11" s="4">
        <f t="shared" si="3"/>
        <v>3.063428511221157</v>
      </c>
      <c r="M11" s="4">
        <f t="shared" si="4"/>
        <v>7.5302918554419982</v>
      </c>
      <c r="N11" s="4">
        <f t="shared" si="5"/>
        <v>6.3587082499209782</v>
      </c>
      <c r="O11" s="4">
        <f t="shared" si="6"/>
        <v>6.2335897165735963</v>
      </c>
      <c r="P11" s="4">
        <f t="shared" si="7"/>
        <v>10.954377831629966</v>
      </c>
      <c r="R11" s="4">
        <f t="shared" si="8"/>
        <v>1.1100000000000001</v>
      </c>
    </row>
    <row r="12" spans="1:18" ht="14.25" customHeight="1">
      <c r="A12" s="33">
        <v>31352</v>
      </c>
      <c r="B12" s="3">
        <v>202.17</v>
      </c>
      <c r="C12" s="3">
        <v>189.82</v>
      </c>
      <c r="D12" s="3">
        <v>203.4</v>
      </c>
      <c r="E12" s="3">
        <v>189.37</v>
      </c>
      <c r="F12" s="3">
        <v>202.17</v>
      </c>
      <c r="G12" s="3">
        <v>2445370000</v>
      </c>
      <c r="I12" s="15">
        <f t="shared" si="0"/>
        <v>1.0450610872038384</v>
      </c>
      <c r="J12" s="4">
        <f t="shared" si="1"/>
        <v>1.2327249344610971</v>
      </c>
      <c r="K12" s="4">
        <f t="shared" si="2"/>
        <v>1.5938071919671566</v>
      </c>
      <c r="L12" s="4">
        <f t="shared" si="3"/>
        <v>2.9943611811841522</v>
      </c>
      <c r="M12" s="4">
        <f t="shared" si="4"/>
        <v>6.5041796507889407</v>
      </c>
      <c r="N12" s="4">
        <f t="shared" si="5"/>
        <v>6.1803432754612464</v>
      </c>
      <c r="O12" s="4">
        <f t="shared" si="6"/>
        <v>5.8393925903942225</v>
      </c>
      <c r="P12" s="4">
        <f t="shared" si="7"/>
        <v>10.290399169016174</v>
      </c>
      <c r="R12" s="4">
        <f t="shared" si="8"/>
        <v>1.1100000000000001</v>
      </c>
    </row>
    <row r="13" spans="1:18" ht="14.25" customHeight="1">
      <c r="A13" s="33">
        <v>31382</v>
      </c>
      <c r="B13" s="3">
        <v>211.28</v>
      </c>
      <c r="C13" s="3">
        <v>202.17</v>
      </c>
      <c r="D13" s="3">
        <v>213.08</v>
      </c>
      <c r="E13" s="3">
        <v>200.1</v>
      </c>
      <c r="F13" s="3">
        <v>211.28</v>
      </c>
      <c r="G13" s="3">
        <v>2804380000</v>
      </c>
      <c r="I13" s="15">
        <f t="shared" si="0"/>
        <v>1.0023665278303673</v>
      </c>
      <c r="J13" s="4">
        <f t="shared" si="1"/>
        <v>1.1462040893600909</v>
      </c>
      <c r="K13" s="4">
        <f t="shared" si="2"/>
        <v>1.5629496402877698</v>
      </c>
      <c r="L13" s="4">
        <f t="shared" si="3"/>
        <v>2.9152309731162438</v>
      </c>
      <c r="M13" s="4">
        <f t="shared" si="4"/>
        <v>6.2489587277546379</v>
      </c>
      <c r="N13" s="4">
        <f t="shared" si="5"/>
        <v>5.9082260507383566</v>
      </c>
      <c r="O13" s="4">
        <f t="shared" si="6"/>
        <v>5.952480121166225</v>
      </c>
      <c r="P13" s="4">
        <f t="shared" si="7"/>
        <v>9.6740817872018177</v>
      </c>
      <c r="R13" s="4">
        <f t="shared" si="8"/>
        <v>1.1100000000000001</v>
      </c>
    </row>
    <row r="14" spans="1:18" ht="14.25" customHeight="1">
      <c r="A14" s="33">
        <v>31413</v>
      </c>
      <c r="B14" s="3">
        <v>211.78</v>
      </c>
      <c r="C14" s="3">
        <v>211.28</v>
      </c>
      <c r="D14" s="3">
        <v>214.57</v>
      </c>
      <c r="E14" s="3">
        <v>202.6</v>
      </c>
      <c r="F14" s="3">
        <v>211.78</v>
      </c>
      <c r="G14" s="3">
        <v>2879010000</v>
      </c>
      <c r="I14" s="15">
        <f t="shared" si="0"/>
        <v>1.0714892813296817</v>
      </c>
      <c r="J14" s="4">
        <f t="shared" si="1"/>
        <v>1.294173198602323</v>
      </c>
      <c r="K14" s="4">
        <f t="shared" si="2"/>
        <v>1.6239966002455379</v>
      </c>
      <c r="L14" s="4">
        <f t="shared" si="3"/>
        <v>3.0032108792142789</v>
      </c>
      <c r="M14" s="4">
        <f t="shared" si="4"/>
        <v>6.4501369345547266</v>
      </c>
      <c r="N14" s="4">
        <f t="shared" si="5"/>
        <v>6.0443856832562091</v>
      </c>
      <c r="O14" s="4">
        <f t="shared" si="6"/>
        <v>6.072905845688922</v>
      </c>
      <c r="P14" s="4">
        <f t="shared" si="7"/>
        <v>9.1615827745773917</v>
      </c>
      <c r="R14" s="4">
        <f t="shared" si="8"/>
        <v>1.1100000000000001</v>
      </c>
    </row>
    <row r="15" spans="1:18" ht="14.25" customHeight="1">
      <c r="A15" s="33">
        <v>31444</v>
      </c>
      <c r="B15" s="3">
        <v>226.92</v>
      </c>
      <c r="C15" s="3">
        <v>211.78</v>
      </c>
      <c r="D15" s="3">
        <v>227.92</v>
      </c>
      <c r="E15" s="3">
        <v>210.82</v>
      </c>
      <c r="F15" s="3">
        <v>226.92</v>
      </c>
      <c r="G15" s="3">
        <v>2899100000</v>
      </c>
      <c r="I15" s="15">
        <f t="shared" si="0"/>
        <v>1.0527939361889653</v>
      </c>
      <c r="J15" s="4">
        <f t="shared" si="1"/>
        <v>1.2524237616781244</v>
      </c>
      <c r="K15" s="4">
        <f t="shared" si="2"/>
        <v>1.6176185439802575</v>
      </c>
      <c r="L15" s="4">
        <f t="shared" si="3"/>
        <v>2.8222721664022563</v>
      </c>
      <c r="M15" s="4">
        <f t="shared" si="4"/>
        <v>5.4642164639520541</v>
      </c>
      <c r="N15" s="4">
        <f t="shared" si="5"/>
        <v>5.6436629649215586</v>
      </c>
      <c r="O15" s="4">
        <f t="shared" si="6"/>
        <v>5.8488454080733305</v>
      </c>
      <c r="P15" s="4">
        <f t="shared" si="7"/>
        <v>8.5150273224043715</v>
      </c>
      <c r="R15" s="4">
        <f t="shared" si="8"/>
        <v>1.1100000000000001</v>
      </c>
    </row>
    <row r="16" spans="1:18" ht="14.25" customHeight="1">
      <c r="A16" s="33">
        <v>31472</v>
      </c>
      <c r="B16" s="3">
        <v>238.9</v>
      </c>
      <c r="C16" s="3">
        <v>226.92</v>
      </c>
      <c r="D16" s="3">
        <v>240.11</v>
      </c>
      <c r="E16" s="3">
        <v>222.18</v>
      </c>
      <c r="F16" s="3">
        <v>238.9</v>
      </c>
      <c r="G16" s="3">
        <v>3214600000</v>
      </c>
      <c r="I16" s="15">
        <f t="shared" si="0"/>
        <v>0.98585182084554213</v>
      </c>
      <c r="J16" s="4">
        <f t="shared" si="1"/>
        <v>1.2210129761406445</v>
      </c>
      <c r="K16" s="4">
        <f t="shared" si="2"/>
        <v>1.5706153202176645</v>
      </c>
      <c r="L16" s="4">
        <f t="shared" si="3"/>
        <v>2.7019673503557975</v>
      </c>
      <c r="M16" s="4">
        <f t="shared" si="4"/>
        <v>4.8569694432817077</v>
      </c>
      <c r="N16" s="4">
        <f t="shared" si="5"/>
        <v>5.4201339472582664</v>
      </c>
      <c r="O16" s="4">
        <f t="shared" si="6"/>
        <v>5.5497279196316445</v>
      </c>
      <c r="P16" s="4">
        <f t="shared" si="7"/>
        <v>8.621766429468396</v>
      </c>
      <c r="R16" s="4">
        <f t="shared" si="8"/>
        <v>1.1100000000000001</v>
      </c>
    </row>
    <row r="17" spans="1:18" ht="14.25" customHeight="1">
      <c r="A17" s="33">
        <v>31503</v>
      </c>
      <c r="B17" s="3">
        <v>235.52</v>
      </c>
      <c r="C17" s="3">
        <v>238.9</v>
      </c>
      <c r="D17" s="3">
        <v>245.47</v>
      </c>
      <c r="E17" s="3">
        <v>226.3</v>
      </c>
      <c r="F17" s="3">
        <v>235.52</v>
      </c>
      <c r="G17" s="3">
        <v>3240400000</v>
      </c>
      <c r="I17" s="15">
        <f t="shared" si="0"/>
        <v>1.0502292798913042</v>
      </c>
      <c r="J17" s="4">
        <f t="shared" si="1"/>
        <v>1.2243546195652173</v>
      </c>
      <c r="K17" s="4">
        <f t="shared" si="2"/>
        <v>1.593665081521739</v>
      </c>
      <c r="L17" s="4">
        <f t="shared" si="3"/>
        <v>2.7775560461956519</v>
      </c>
      <c r="M17" s="4">
        <f t="shared" si="4"/>
        <v>5.3051120923913047</v>
      </c>
      <c r="N17" s="4">
        <f t="shared" si="5"/>
        <v>5.5647503396739122</v>
      </c>
      <c r="O17" s="4">
        <f t="shared" si="6"/>
        <v>5.7897843070652169</v>
      </c>
      <c r="P17" s="4">
        <f t="shared" si="7"/>
        <v>8.7691066576086953</v>
      </c>
      <c r="R17" s="4">
        <f t="shared" si="8"/>
        <v>1.1100000000000001</v>
      </c>
    </row>
    <row r="18" spans="1:18" ht="14.25" customHeight="1">
      <c r="A18" s="33">
        <v>31533</v>
      </c>
      <c r="B18" s="3">
        <v>247.35</v>
      </c>
      <c r="C18" s="3">
        <v>235.52</v>
      </c>
      <c r="D18" s="3">
        <v>249.19</v>
      </c>
      <c r="E18" s="3">
        <v>232.26</v>
      </c>
      <c r="F18" s="3">
        <v>247.35</v>
      </c>
      <c r="G18" s="3">
        <v>2680240000</v>
      </c>
      <c r="I18" s="15">
        <f t="shared" si="0"/>
        <v>1.0141095613503133</v>
      </c>
      <c r="J18" s="4">
        <f t="shared" si="1"/>
        <v>1.1728320194057005</v>
      </c>
      <c r="K18" s="4">
        <f t="shared" si="2"/>
        <v>1.5760258742672326</v>
      </c>
      <c r="L18" s="4">
        <f t="shared" si="3"/>
        <v>2.7051546391752579</v>
      </c>
      <c r="M18" s="4">
        <f t="shared" si="4"/>
        <v>5.077097230644835</v>
      </c>
      <c r="N18" s="4">
        <f t="shared" si="5"/>
        <v>5.1347887608651703</v>
      </c>
      <c r="O18" s="4">
        <f t="shared" si="6"/>
        <v>5.4384475439660402</v>
      </c>
      <c r="P18" s="4">
        <f t="shared" si="7"/>
        <v>8.4776632302405499</v>
      </c>
      <c r="R18" s="4">
        <f t="shared" si="8"/>
        <v>1.1100000000000001</v>
      </c>
    </row>
    <row r="19" spans="1:18" ht="14.25" customHeight="1">
      <c r="A19" s="33">
        <v>31564</v>
      </c>
      <c r="B19" s="3">
        <v>250.84</v>
      </c>
      <c r="C19" s="3">
        <v>246.04</v>
      </c>
      <c r="D19" s="3">
        <v>251.81</v>
      </c>
      <c r="E19" s="3">
        <v>238.23</v>
      </c>
      <c r="F19" s="3">
        <v>250.84</v>
      </c>
      <c r="G19" s="3">
        <v>2649600000</v>
      </c>
      <c r="I19" s="15">
        <f t="shared" si="0"/>
        <v>0.9413171742943709</v>
      </c>
      <c r="J19" s="4">
        <f t="shared" si="1"/>
        <v>1.2119279221814703</v>
      </c>
      <c r="K19" s="4">
        <f t="shared" si="2"/>
        <v>1.4796683144634031</v>
      </c>
      <c r="L19" s="4">
        <f t="shared" si="3"/>
        <v>2.6735369159623663</v>
      </c>
      <c r="M19" s="4">
        <f t="shared" si="4"/>
        <v>4.8811194386860155</v>
      </c>
      <c r="N19" s="4">
        <f t="shared" si="5"/>
        <v>5.0637856801148144</v>
      </c>
      <c r="O19" s="4">
        <f t="shared" si="6"/>
        <v>5.2648700366767667</v>
      </c>
      <c r="P19" s="4">
        <f t="shared" si="7"/>
        <v>8.3673257853611869</v>
      </c>
      <c r="R19" s="4">
        <f t="shared" si="8"/>
        <v>1.1100000000000001</v>
      </c>
    </row>
    <row r="20" spans="1:18" ht="14.25" customHeight="1">
      <c r="A20" s="33">
        <v>31594</v>
      </c>
      <c r="B20" s="3">
        <v>236.12</v>
      </c>
      <c r="C20" s="3">
        <v>250.67</v>
      </c>
      <c r="D20" s="3">
        <v>253.2</v>
      </c>
      <c r="E20" s="3">
        <v>233.07</v>
      </c>
      <c r="F20" s="3">
        <v>236.12</v>
      </c>
      <c r="G20" s="3">
        <v>3029900000</v>
      </c>
      <c r="I20" s="15">
        <f t="shared" si="0"/>
        <v>1.0711926139251229</v>
      </c>
      <c r="J20" s="4">
        <f t="shared" si="1"/>
        <v>1.3495680162629173</v>
      </c>
      <c r="K20" s="4">
        <f t="shared" si="2"/>
        <v>1.6424275791970184</v>
      </c>
      <c r="L20" s="4">
        <f t="shared" si="3"/>
        <v>2.7102744367270879</v>
      </c>
      <c r="M20" s="4">
        <f t="shared" si="4"/>
        <v>5.1297221751651705</v>
      </c>
      <c r="N20" s="4">
        <f t="shared" si="5"/>
        <v>5.40682703709978</v>
      </c>
      <c r="O20" s="4">
        <f t="shared" si="6"/>
        <v>5.4729798407589358</v>
      </c>
      <c r="P20" s="4">
        <f t="shared" si="7"/>
        <v>9.205488734541758</v>
      </c>
      <c r="R20" s="4">
        <f t="shared" si="8"/>
        <v>1.1100000000000001</v>
      </c>
    </row>
    <row r="21" spans="1:18" ht="14.25" customHeight="1">
      <c r="A21" s="33">
        <v>31625</v>
      </c>
      <c r="B21" s="3">
        <v>252.93</v>
      </c>
      <c r="C21" s="3">
        <v>236.12</v>
      </c>
      <c r="D21" s="3">
        <v>254.24</v>
      </c>
      <c r="E21" s="3">
        <v>231.92</v>
      </c>
      <c r="F21" s="3">
        <v>252.93</v>
      </c>
      <c r="G21" s="3">
        <v>2701900000</v>
      </c>
      <c r="I21" s="15">
        <f t="shared" si="0"/>
        <v>0.91456134108251286</v>
      </c>
      <c r="J21" s="4">
        <f t="shared" si="1"/>
        <v>1.3039180801012138</v>
      </c>
      <c r="K21" s="4">
        <f t="shared" si="2"/>
        <v>1.5633969873087414</v>
      </c>
      <c r="L21" s="4">
        <f t="shared" si="3"/>
        <v>2.5777487842486062</v>
      </c>
      <c r="M21" s="4">
        <f t="shared" si="4"/>
        <v>4.4817933815680222</v>
      </c>
      <c r="N21" s="4">
        <f t="shared" si="5"/>
        <v>5.1548649824061989</v>
      </c>
      <c r="O21" s="4">
        <f t="shared" si="6"/>
        <v>4.8190803779701898</v>
      </c>
      <c r="P21" s="4">
        <f t="shared" si="7"/>
        <v>8.5832048392835958</v>
      </c>
      <c r="R21" s="4">
        <f t="shared" si="8"/>
        <v>1.1100000000000001</v>
      </c>
    </row>
    <row r="22" spans="1:18" ht="14.25" customHeight="1">
      <c r="A22" s="33">
        <v>31656</v>
      </c>
      <c r="B22" s="3">
        <v>231.32</v>
      </c>
      <c r="C22" s="3">
        <v>252.93</v>
      </c>
      <c r="D22" s="3">
        <v>254.13</v>
      </c>
      <c r="E22" s="3">
        <v>228.08</v>
      </c>
      <c r="F22" s="3">
        <v>231.32</v>
      </c>
      <c r="G22" s="3">
        <v>3166300000</v>
      </c>
      <c r="I22" s="15">
        <f t="shared" si="0"/>
        <v>1.0547293792149404</v>
      </c>
      <c r="J22" s="4">
        <f t="shared" si="1"/>
        <v>1.3912761542452015</v>
      </c>
      <c r="K22" s="4">
        <f t="shared" si="2"/>
        <v>1.6767248832785753</v>
      </c>
      <c r="L22" s="4">
        <f t="shared" si="3"/>
        <v>2.9713384056717969</v>
      </c>
      <c r="M22" s="4">
        <f t="shared" si="4"/>
        <v>4.5</v>
      </c>
      <c r="N22" s="4">
        <f t="shared" si="5"/>
        <v>5.7749005706380769</v>
      </c>
      <c r="O22" s="4">
        <f t="shared" si="6"/>
        <v>4.8911464637731283</v>
      </c>
      <c r="P22" s="4">
        <f t="shared" si="7"/>
        <v>9.3734653294137988</v>
      </c>
      <c r="R22" s="4">
        <f t="shared" si="8"/>
        <v>1.1100000000000001</v>
      </c>
    </row>
    <row r="23" spans="1:18" ht="14.25" customHeight="1">
      <c r="A23" s="33">
        <v>31686</v>
      </c>
      <c r="B23" s="3">
        <v>243.98</v>
      </c>
      <c r="C23" s="3">
        <v>231.32</v>
      </c>
      <c r="D23" s="3">
        <v>244.51</v>
      </c>
      <c r="E23" s="3">
        <v>231.32</v>
      </c>
      <c r="F23" s="3">
        <v>243.98</v>
      </c>
      <c r="G23" s="3">
        <v>3016740000</v>
      </c>
      <c r="I23" s="15">
        <f t="shared" si="0"/>
        <v>1.0214771702598575</v>
      </c>
      <c r="J23" s="4">
        <f t="shared" si="1"/>
        <v>1.0320108205590621</v>
      </c>
      <c r="K23" s="4">
        <f t="shared" si="2"/>
        <v>1.6085334863513403</v>
      </c>
      <c r="L23" s="4">
        <f t="shared" si="3"/>
        <v>2.8906877612919093</v>
      </c>
      <c r="M23" s="4">
        <f t="shared" si="4"/>
        <v>4.3437166980900077</v>
      </c>
      <c r="N23" s="4">
        <f t="shared" si="5"/>
        <v>5.6477580129518818</v>
      </c>
      <c r="O23" s="4">
        <f t="shared" si="6"/>
        <v>5.1368964669235186</v>
      </c>
      <c r="P23" s="4">
        <f t="shared" si="7"/>
        <v>8.7144438068694168</v>
      </c>
      <c r="R23" s="4">
        <f t="shared" si="8"/>
        <v>1.0320108205590621</v>
      </c>
    </row>
    <row r="24" spans="1:18" ht="14.25" customHeight="1">
      <c r="A24" s="33">
        <v>31717</v>
      </c>
      <c r="B24" s="3">
        <v>249.22</v>
      </c>
      <c r="C24" s="3">
        <v>243.97</v>
      </c>
      <c r="D24" s="3">
        <v>249.22</v>
      </c>
      <c r="E24" s="3">
        <v>235.51</v>
      </c>
      <c r="F24" s="3">
        <v>249.22</v>
      </c>
      <c r="G24" s="3">
        <v>2940830000</v>
      </c>
      <c r="I24" s="15">
        <f t="shared" si="0"/>
        <v>0.97171174063076793</v>
      </c>
      <c r="J24" s="4">
        <f t="shared" si="1"/>
        <v>0.92408313939491216</v>
      </c>
      <c r="K24" s="4">
        <f t="shared" si="2"/>
        <v>1.5055774014926573</v>
      </c>
      <c r="L24" s="4">
        <f t="shared" si="3"/>
        <v>3.0375571783965971</v>
      </c>
      <c r="M24" s="4">
        <f t="shared" si="4"/>
        <v>4.5720648423080013</v>
      </c>
      <c r="N24" s="4">
        <f t="shared" si="5"/>
        <v>5.6200545702592093</v>
      </c>
      <c r="O24" s="4">
        <f t="shared" si="6"/>
        <v>5.0034507663911407</v>
      </c>
      <c r="P24" s="4">
        <f t="shared" si="7"/>
        <v>8.8227670331434069</v>
      </c>
      <c r="R24" s="4">
        <f t="shared" si="8"/>
        <v>1</v>
      </c>
    </row>
    <row r="25" spans="1:18" ht="14.25" customHeight="1">
      <c r="A25" s="33">
        <v>31747</v>
      </c>
      <c r="B25" s="3">
        <v>242.17</v>
      </c>
      <c r="C25" s="3">
        <v>249.22</v>
      </c>
      <c r="D25" s="3">
        <v>254.87</v>
      </c>
      <c r="E25" s="3">
        <v>241.28</v>
      </c>
      <c r="F25" s="3">
        <v>242.17</v>
      </c>
      <c r="G25" s="3">
        <v>3260870000</v>
      </c>
      <c r="I25" s="15">
        <f t="shared" si="0"/>
        <v>1.1317669405789321</v>
      </c>
      <c r="J25" s="4">
        <f t="shared" si="1"/>
        <v>1.0202750134203247</v>
      </c>
      <c r="K25" s="4">
        <f t="shared" si="2"/>
        <v>1.722302514762357</v>
      </c>
      <c r="L25" s="4">
        <f t="shared" si="3"/>
        <v>3.0587603749432217</v>
      </c>
      <c r="M25" s="4">
        <f t="shared" si="4"/>
        <v>4.7408019160094153</v>
      </c>
      <c r="N25" s="4">
        <f t="shared" si="5"/>
        <v>5.856629640335302</v>
      </c>
      <c r="O25" s="4">
        <f t="shared" si="6"/>
        <v>5.1930462072098109</v>
      </c>
      <c r="P25" s="4">
        <f t="shared" si="7"/>
        <v>9.244869306685386</v>
      </c>
      <c r="R25" s="4">
        <f t="shared" si="8"/>
        <v>1.0202750134203247</v>
      </c>
    </row>
    <row r="26" spans="1:18" ht="14.25" customHeight="1">
      <c r="A26" s="33">
        <v>31778</v>
      </c>
      <c r="B26" s="3">
        <v>274.08</v>
      </c>
      <c r="C26" s="3">
        <v>242.17</v>
      </c>
      <c r="D26" s="3">
        <v>280.95999999999998</v>
      </c>
      <c r="E26" s="3">
        <v>242.17</v>
      </c>
      <c r="F26" s="3">
        <v>274.08</v>
      </c>
      <c r="G26" s="3">
        <v>4040880000</v>
      </c>
      <c r="I26" s="15">
        <f t="shared" si="0"/>
        <v>1.0369235259778167</v>
      </c>
      <c r="J26" s="4">
        <f t="shared" si="1"/>
        <v>0.93793782837127848</v>
      </c>
      <c r="K26" s="4">
        <f t="shared" si="2"/>
        <v>1.4914623467600701</v>
      </c>
      <c r="L26" s="4">
        <f t="shared" si="3"/>
        <v>2.8683596030356102</v>
      </c>
      <c r="M26" s="4">
        <f t="shared" si="4"/>
        <v>4.1236135434909515</v>
      </c>
      <c r="N26" s="4">
        <f t="shared" si="5"/>
        <v>5.247518972562756</v>
      </c>
      <c r="O26" s="4">
        <f t="shared" si="6"/>
        <v>4.7884194395796857</v>
      </c>
      <c r="P26" s="4">
        <f t="shared" si="7"/>
        <v>8.3146161704611785</v>
      </c>
      <c r="R26" s="4">
        <f t="shared" si="8"/>
        <v>1</v>
      </c>
    </row>
    <row r="27" spans="1:18" ht="14.25" customHeight="1">
      <c r="A27" s="33">
        <v>31809</v>
      </c>
      <c r="B27" s="3">
        <v>284.2</v>
      </c>
      <c r="C27" s="3">
        <v>274.08</v>
      </c>
      <c r="D27" s="3">
        <v>287.55</v>
      </c>
      <c r="E27" s="3">
        <v>273.16000000000003</v>
      </c>
      <c r="F27" s="3">
        <v>284.2</v>
      </c>
      <c r="G27" s="3">
        <v>3485300000</v>
      </c>
      <c r="I27" s="15">
        <f t="shared" si="0"/>
        <v>1.0263898662913442</v>
      </c>
      <c r="J27" s="4">
        <f t="shared" si="1"/>
        <v>0.94236453201970449</v>
      </c>
      <c r="K27" s="4">
        <f t="shared" si="2"/>
        <v>1.4521463757916959</v>
      </c>
      <c r="L27" s="4">
        <f t="shared" si="3"/>
        <v>2.7826178747361014</v>
      </c>
      <c r="M27" s="4">
        <f t="shared" si="4"/>
        <v>3.8941942294159047</v>
      </c>
      <c r="N27" s="4">
        <f t="shared" si="5"/>
        <v>4.9501055594651655</v>
      </c>
      <c r="O27" s="4">
        <f t="shared" si="6"/>
        <v>4.8053483462350464</v>
      </c>
      <c r="P27" s="4">
        <f t="shared" si="7"/>
        <v>8.3168191414496828</v>
      </c>
      <c r="R27" s="4">
        <f t="shared" si="8"/>
        <v>1</v>
      </c>
    </row>
    <row r="28" spans="1:18" ht="14.25" customHeight="1">
      <c r="A28" s="33">
        <v>31837</v>
      </c>
      <c r="B28" s="3">
        <v>291.7</v>
      </c>
      <c r="C28" s="3">
        <v>284.17</v>
      </c>
      <c r="D28" s="3">
        <v>302.72000000000003</v>
      </c>
      <c r="E28" s="3">
        <v>282.3</v>
      </c>
      <c r="F28" s="3">
        <v>291.7</v>
      </c>
      <c r="G28" s="3">
        <v>3965100000</v>
      </c>
      <c r="I28" s="15">
        <f t="shared" si="0"/>
        <v>0.9885498800137128</v>
      </c>
      <c r="J28" s="4">
        <f t="shared" si="1"/>
        <v>0.88752142612272877</v>
      </c>
      <c r="K28" s="4">
        <f t="shared" si="2"/>
        <v>1.3839218375042852</v>
      </c>
      <c r="L28" s="4">
        <f t="shared" si="3"/>
        <v>2.5955433664724032</v>
      </c>
      <c r="M28" s="4">
        <f t="shared" si="4"/>
        <v>3.9334590332533428</v>
      </c>
      <c r="N28" s="4">
        <f t="shared" si="5"/>
        <v>4.8709633184778882</v>
      </c>
      <c r="O28" s="4">
        <f t="shared" si="6"/>
        <v>4.8284881727802542</v>
      </c>
      <c r="P28" s="4">
        <f t="shared" si="7"/>
        <v>8.0998285910181682</v>
      </c>
      <c r="R28" s="4">
        <f t="shared" si="8"/>
        <v>1</v>
      </c>
    </row>
    <row r="29" spans="1:18" ht="14.25" customHeight="1">
      <c r="A29" s="33">
        <v>31868</v>
      </c>
      <c r="B29" s="3">
        <v>288.36</v>
      </c>
      <c r="C29" s="3">
        <v>291.58999999999997</v>
      </c>
      <c r="D29" s="3">
        <v>303.64999999999998</v>
      </c>
      <c r="E29" s="3">
        <v>275.67</v>
      </c>
      <c r="F29" s="3">
        <v>288.36</v>
      </c>
      <c r="G29" s="3">
        <v>3931700000</v>
      </c>
      <c r="I29" s="15">
        <f t="shared" si="0"/>
        <v>1.0060341240116522</v>
      </c>
      <c r="J29" s="4">
        <f t="shared" si="1"/>
        <v>0.90626300457761122</v>
      </c>
      <c r="K29" s="4">
        <f t="shared" si="2"/>
        <v>1.4389998612845054</v>
      </c>
      <c r="L29" s="4">
        <f t="shared" si="3"/>
        <v>2.778956859481204</v>
      </c>
      <c r="M29" s="4">
        <f t="shared" si="4"/>
        <v>3.7346372589818282</v>
      </c>
      <c r="N29" s="4">
        <f t="shared" si="5"/>
        <v>5.1406921903176581</v>
      </c>
      <c r="O29" s="4">
        <f t="shared" si="6"/>
        <v>4.8477944236371204</v>
      </c>
      <c r="P29" s="4">
        <f t="shared" si="7"/>
        <v>8.2681370509085852</v>
      </c>
      <c r="R29" s="4">
        <f t="shared" si="8"/>
        <v>1</v>
      </c>
    </row>
    <row r="30" spans="1:18" ht="14.25" customHeight="1">
      <c r="A30" s="33">
        <v>31898</v>
      </c>
      <c r="B30" s="3">
        <v>290.10000000000002</v>
      </c>
      <c r="C30" s="3">
        <v>286.99</v>
      </c>
      <c r="D30" s="3">
        <v>298.69</v>
      </c>
      <c r="E30" s="3">
        <v>277.01</v>
      </c>
      <c r="F30" s="3">
        <v>290.10000000000002</v>
      </c>
      <c r="G30" s="3">
        <v>3417700000</v>
      </c>
      <c r="I30" s="15">
        <f t="shared" si="0"/>
        <v>1.0479145122371596</v>
      </c>
      <c r="J30" s="4">
        <f t="shared" si="1"/>
        <v>0.90368838331609791</v>
      </c>
      <c r="K30" s="4">
        <f t="shared" si="2"/>
        <v>1.4317476732161323</v>
      </c>
      <c r="L30" s="4">
        <f t="shared" si="3"/>
        <v>2.9240951396070316</v>
      </c>
      <c r="M30" s="4">
        <f t="shared" si="4"/>
        <v>3.6785246466735608</v>
      </c>
      <c r="N30" s="4">
        <f t="shared" si="5"/>
        <v>5.2761806273698717</v>
      </c>
      <c r="O30" s="4">
        <f t="shared" si="6"/>
        <v>4.5168217855911745</v>
      </c>
      <c r="P30" s="4">
        <f t="shared" si="7"/>
        <v>8.3136849362288867</v>
      </c>
      <c r="R30" s="4">
        <f t="shared" si="8"/>
        <v>1</v>
      </c>
    </row>
    <row r="31" spans="1:18" ht="14.25" customHeight="1">
      <c r="A31" s="33">
        <v>31929</v>
      </c>
      <c r="B31" s="3">
        <v>304</v>
      </c>
      <c r="C31" s="3">
        <v>290.12</v>
      </c>
      <c r="D31" s="3">
        <v>310.27</v>
      </c>
      <c r="E31" s="3">
        <v>286.93</v>
      </c>
      <c r="F31" s="3">
        <v>304</v>
      </c>
      <c r="G31" s="3">
        <v>3595000000</v>
      </c>
      <c r="I31" s="15">
        <f t="shared" si="0"/>
        <v>1.0482236842105264</v>
      </c>
      <c r="J31" s="4">
        <f t="shared" si="1"/>
        <v>0.89967105263157898</v>
      </c>
      <c r="K31" s="4">
        <f t="shared" si="2"/>
        <v>1.3425657894736842</v>
      </c>
      <c r="L31" s="4">
        <f t="shared" si="3"/>
        <v>2.911644736842105</v>
      </c>
      <c r="M31" s="4">
        <f t="shared" si="4"/>
        <v>3.2559868421052633</v>
      </c>
      <c r="N31" s="4">
        <f t="shared" si="5"/>
        <v>4.9452302631578942</v>
      </c>
      <c r="O31" s="4">
        <f t="shared" si="6"/>
        <v>4.4807894736842107</v>
      </c>
      <c r="P31" s="4">
        <f t="shared" si="7"/>
        <v>7.971743421052631</v>
      </c>
      <c r="R31" s="4">
        <f t="shared" si="8"/>
        <v>1</v>
      </c>
    </row>
    <row r="32" spans="1:18" ht="14.25" customHeight="1">
      <c r="A32" s="33">
        <v>31959</v>
      </c>
      <c r="B32" s="3">
        <v>318.66000000000003</v>
      </c>
      <c r="C32" s="3">
        <v>303.99</v>
      </c>
      <c r="D32" s="3">
        <v>318.85000000000002</v>
      </c>
      <c r="E32" s="3">
        <v>302.52999999999997</v>
      </c>
      <c r="F32" s="3">
        <v>318.66000000000003</v>
      </c>
      <c r="G32" s="3">
        <v>3966400000</v>
      </c>
      <c r="I32" s="15">
        <f t="shared" si="0"/>
        <v>1.0349588903533546</v>
      </c>
      <c r="J32" s="4">
        <f t="shared" si="1"/>
        <v>0.85363710537877346</v>
      </c>
      <c r="K32" s="4">
        <f t="shared" si="2"/>
        <v>1.3312307788865874</v>
      </c>
      <c r="L32" s="4">
        <f t="shared" si="3"/>
        <v>2.9947593045879617</v>
      </c>
      <c r="M32" s="4">
        <f t="shared" si="4"/>
        <v>2.8607920667796396</v>
      </c>
      <c r="N32" s="4">
        <f t="shared" si="5"/>
        <v>4.5668424025607228</v>
      </c>
      <c r="O32" s="4">
        <f t="shared" si="6"/>
        <v>4.3285005962467826</v>
      </c>
      <c r="P32" s="4">
        <f t="shared" si="7"/>
        <v>7.7521496265612253</v>
      </c>
      <c r="R32" s="4">
        <f t="shared" si="8"/>
        <v>1</v>
      </c>
    </row>
    <row r="33" spans="1:18" ht="14.25" customHeight="1">
      <c r="A33" s="33">
        <v>31990</v>
      </c>
      <c r="B33" s="3">
        <v>329.8</v>
      </c>
      <c r="C33" s="3">
        <v>318.62</v>
      </c>
      <c r="D33" s="3">
        <v>337.89</v>
      </c>
      <c r="E33" s="3">
        <v>314.51</v>
      </c>
      <c r="F33" s="3">
        <v>329.8</v>
      </c>
      <c r="G33" s="3">
        <v>4062400000</v>
      </c>
      <c r="I33" s="15">
        <f t="shared" si="0"/>
        <v>0.97583383869011509</v>
      </c>
      <c r="J33" s="4">
        <f t="shared" si="1"/>
        <v>0.79296543359611882</v>
      </c>
      <c r="K33" s="4">
        <f t="shared" si="2"/>
        <v>1.255397210430564</v>
      </c>
      <c r="L33" s="4">
        <f t="shared" si="3"/>
        <v>2.7273195876288661</v>
      </c>
      <c r="M33" s="4">
        <f t="shared" si="4"/>
        <v>2.777653123104912</v>
      </c>
      <c r="N33" s="4">
        <f t="shared" si="5"/>
        <v>4.4693450576106732</v>
      </c>
      <c r="O33" s="4">
        <f t="shared" si="6"/>
        <v>4.2649484536082474</v>
      </c>
      <c r="P33" s="4">
        <f t="shared" si="7"/>
        <v>7.4943905397210431</v>
      </c>
      <c r="R33" s="4">
        <f t="shared" si="8"/>
        <v>1</v>
      </c>
    </row>
    <row r="34" spans="1:18" ht="14.25" customHeight="1">
      <c r="A34" s="33">
        <v>32021</v>
      </c>
      <c r="B34" s="3">
        <v>321.83</v>
      </c>
      <c r="C34" s="3">
        <v>329.81</v>
      </c>
      <c r="D34" s="3">
        <v>332.18</v>
      </c>
      <c r="E34" s="3">
        <v>308.56</v>
      </c>
      <c r="F34" s="3">
        <v>321.83</v>
      </c>
      <c r="G34" s="3">
        <v>3723200000</v>
      </c>
      <c r="I34" s="15">
        <f t="shared" si="0"/>
        <v>0.782369573998695</v>
      </c>
      <c r="J34" s="4">
        <f t="shared" si="1"/>
        <v>0.84488705217040061</v>
      </c>
      <c r="K34" s="4">
        <f t="shared" si="2"/>
        <v>1.2982009135257746</v>
      </c>
      <c r="L34" s="4">
        <f t="shared" si="3"/>
        <v>2.9434173321318711</v>
      </c>
      <c r="M34" s="4">
        <f t="shared" si="4"/>
        <v>2.5332629027747569</v>
      </c>
      <c r="N34" s="4">
        <f t="shared" si="5"/>
        <v>4.7439642047043469</v>
      </c>
      <c r="O34" s="4">
        <f t="shared" si="6"/>
        <v>4.4764938010751019</v>
      </c>
      <c r="P34" s="4">
        <f t="shared" si="7"/>
        <v>7.8282322965540825</v>
      </c>
      <c r="R34" s="4">
        <f t="shared" si="8"/>
        <v>1</v>
      </c>
    </row>
    <row r="35" spans="1:18" ht="14.25" customHeight="1">
      <c r="A35" s="33">
        <v>32051</v>
      </c>
      <c r="B35" s="3">
        <v>251.79</v>
      </c>
      <c r="C35" s="3">
        <v>321.83</v>
      </c>
      <c r="D35" s="3">
        <v>328.94</v>
      </c>
      <c r="E35" s="3">
        <v>216.46</v>
      </c>
      <c r="F35" s="3">
        <v>251.79</v>
      </c>
      <c r="G35" s="3">
        <v>6094500000</v>
      </c>
      <c r="I35" s="15">
        <f t="shared" si="0"/>
        <v>0.91465109813733669</v>
      </c>
      <c r="J35" s="4">
        <f t="shared" si="1"/>
        <v>1.1079470987727871</v>
      </c>
      <c r="K35" s="4">
        <f t="shared" si="2"/>
        <v>1.6628142499702134</v>
      </c>
      <c r="L35" s="4">
        <f t="shared" si="3"/>
        <v>3.6324715040311371</v>
      </c>
      <c r="M35" s="4">
        <f t="shared" si="4"/>
        <v>3.5178521784026371</v>
      </c>
      <c r="N35" s="4">
        <f t="shared" si="5"/>
        <v>6.1534612176814019</v>
      </c>
      <c r="O35" s="4">
        <f t="shared" si="6"/>
        <v>5.6084832598594074</v>
      </c>
      <c r="P35" s="4">
        <f t="shared" si="7"/>
        <v>10.227808888359348</v>
      </c>
      <c r="R35" s="4">
        <f t="shared" si="8"/>
        <v>1.1079470987727871</v>
      </c>
    </row>
    <row r="36" spans="1:18" ht="14.25" customHeight="1">
      <c r="A36" s="33">
        <v>32082</v>
      </c>
      <c r="B36" s="3">
        <v>230.3</v>
      </c>
      <c r="C36" s="3">
        <v>251.73</v>
      </c>
      <c r="D36" s="3">
        <v>257.20999999999998</v>
      </c>
      <c r="E36" s="3">
        <v>225.75</v>
      </c>
      <c r="F36" s="3">
        <v>230.3</v>
      </c>
      <c r="G36" s="3">
        <v>3589530000</v>
      </c>
      <c r="I36" s="15">
        <f t="shared" si="0"/>
        <v>1.0728614850195397</v>
      </c>
      <c r="J36" s="4">
        <f t="shared" si="1"/>
        <v>1.188449848024316</v>
      </c>
      <c r="K36" s="4">
        <f t="shared" si="2"/>
        <v>1.8729917498914459</v>
      </c>
      <c r="L36" s="4">
        <f t="shared" si="3"/>
        <v>4.1485019539730779</v>
      </c>
      <c r="M36" s="4">
        <f t="shared" si="4"/>
        <v>4.0656100738167602</v>
      </c>
      <c r="N36" s="4">
        <f t="shared" si="5"/>
        <v>6.4313504125054282</v>
      </c>
      <c r="O36" s="4">
        <f t="shared" si="6"/>
        <v>6.1492835432045156</v>
      </c>
      <c r="P36" s="4">
        <f t="shared" si="7"/>
        <v>11.49622231871472</v>
      </c>
      <c r="R36" s="4">
        <f t="shared" si="8"/>
        <v>1.1100000000000001</v>
      </c>
    </row>
    <row r="37" spans="1:18" ht="14.25" customHeight="1">
      <c r="A37" s="33">
        <v>32112</v>
      </c>
      <c r="B37" s="3">
        <v>247.08</v>
      </c>
      <c r="C37" s="3">
        <v>230.32</v>
      </c>
      <c r="D37" s="3">
        <v>253.35</v>
      </c>
      <c r="E37" s="3">
        <v>221.24</v>
      </c>
      <c r="F37" s="3">
        <v>247.08</v>
      </c>
      <c r="G37" s="3">
        <v>3926750000</v>
      </c>
      <c r="I37" s="15">
        <f t="shared" si="0"/>
        <v>1.0404322486644002</v>
      </c>
      <c r="J37" s="4">
        <f t="shared" si="1"/>
        <v>1.1240084183260484</v>
      </c>
      <c r="K37" s="4">
        <f t="shared" si="2"/>
        <v>1.7634369435000807</v>
      </c>
      <c r="L37" s="4">
        <f t="shared" si="3"/>
        <v>3.9275943014408283</v>
      </c>
      <c r="M37" s="4">
        <f t="shared" si="4"/>
        <v>3.5608709729642221</v>
      </c>
      <c r="N37" s="4">
        <f t="shared" si="5"/>
        <v>5.9428525174032698</v>
      </c>
      <c r="O37" s="4">
        <f t="shared" si="6"/>
        <v>5.7721790513194104</v>
      </c>
      <c r="P37" s="4">
        <f t="shared" si="7"/>
        <v>10.820827262425125</v>
      </c>
      <c r="R37" s="4">
        <f t="shared" si="8"/>
        <v>1.1100000000000001</v>
      </c>
    </row>
    <row r="38" spans="1:18" ht="14.25" customHeight="1">
      <c r="A38" s="33">
        <v>32143</v>
      </c>
      <c r="B38" s="3">
        <v>257.07</v>
      </c>
      <c r="C38" s="3">
        <v>247.1</v>
      </c>
      <c r="D38" s="3">
        <v>261.77999999999997</v>
      </c>
      <c r="E38" s="3">
        <v>240.17</v>
      </c>
      <c r="F38" s="3">
        <v>257.07</v>
      </c>
      <c r="G38" s="3">
        <v>3494700000</v>
      </c>
      <c r="I38" s="15">
        <f t="shared" si="0"/>
        <v>1.0418174038199712</v>
      </c>
      <c r="J38" s="4">
        <f t="shared" si="1"/>
        <v>1.1571556385420314</v>
      </c>
      <c r="K38" s="4">
        <f t="shared" si="2"/>
        <v>1.7068502742443692</v>
      </c>
      <c r="L38" s="4">
        <f t="shared" si="3"/>
        <v>3.8132804294550122</v>
      </c>
      <c r="M38" s="4">
        <f t="shared" si="4"/>
        <v>3.3286653440697087</v>
      </c>
      <c r="N38" s="4">
        <f t="shared" si="5"/>
        <v>5.3625471661415176</v>
      </c>
      <c r="O38" s="4">
        <f t="shared" si="6"/>
        <v>5.8276344964406581</v>
      </c>
      <c r="P38" s="4">
        <f t="shared" si="7"/>
        <v>10.984595635430038</v>
      </c>
      <c r="R38" s="4">
        <f t="shared" si="8"/>
        <v>1.1100000000000001</v>
      </c>
    </row>
    <row r="39" spans="1:18" ht="14.25" customHeight="1">
      <c r="A39" s="33">
        <v>32174</v>
      </c>
      <c r="B39" s="3">
        <v>267.82</v>
      </c>
      <c r="C39" s="3">
        <v>257.05</v>
      </c>
      <c r="D39" s="3">
        <v>267.82</v>
      </c>
      <c r="E39" s="3">
        <v>247.82</v>
      </c>
      <c r="F39" s="3">
        <v>267.82</v>
      </c>
      <c r="G39" s="3">
        <v>3693240000</v>
      </c>
      <c r="I39" s="15">
        <f t="shared" si="0"/>
        <v>0.96665670973041595</v>
      </c>
      <c r="J39" s="4">
        <f t="shared" si="1"/>
        <v>1.0785602270181467</v>
      </c>
      <c r="K39" s="4">
        <f t="shared" si="2"/>
        <v>1.6555148980658652</v>
      </c>
      <c r="L39" s="4">
        <f t="shared" si="3"/>
        <v>3.9180793069972366</v>
      </c>
      <c r="M39" s="4">
        <f t="shared" si="4"/>
        <v>3.1407288477335524</v>
      </c>
      <c r="N39" s="4">
        <f t="shared" si="5"/>
        <v>4.9683742812336646</v>
      </c>
      <c r="O39" s="4">
        <f t="shared" si="6"/>
        <v>5.6555895750877463</v>
      </c>
      <c r="P39" s="4">
        <f t="shared" si="7"/>
        <v>10.133037114479874</v>
      </c>
      <c r="R39" s="4">
        <f t="shared" si="8"/>
        <v>1.0785602270181467</v>
      </c>
    </row>
    <row r="40" spans="1:18" ht="14.25" customHeight="1">
      <c r="A40" s="33">
        <v>32203</v>
      </c>
      <c r="B40" s="3">
        <v>258.89</v>
      </c>
      <c r="C40" s="3">
        <v>267.82</v>
      </c>
      <c r="D40" s="3">
        <v>272.64</v>
      </c>
      <c r="E40" s="3">
        <v>256.07</v>
      </c>
      <c r="F40" s="3">
        <v>258.89</v>
      </c>
      <c r="G40" s="3">
        <v>4052970000</v>
      </c>
      <c r="I40" s="15">
        <f t="shared" si="0"/>
        <v>1.0094248522538529</v>
      </c>
      <c r="J40" s="4">
        <f t="shared" si="1"/>
        <v>1.1389779443006682</v>
      </c>
      <c r="K40" s="4">
        <f t="shared" si="2"/>
        <v>1.7446405809417129</v>
      </c>
      <c r="L40" s="4">
        <f t="shared" si="3"/>
        <v>4.255668430607594</v>
      </c>
      <c r="M40" s="4">
        <f t="shared" si="4"/>
        <v>3.2762176986364864</v>
      </c>
      <c r="N40" s="4">
        <f t="shared" si="5"/>
        <v>5.1091197033489131</v>
      </c>
      <c r="O40" s="4">
        <f t="shared" si="6"/>
        <v>6.0612229132063815</v>
      </c>
      <c r="P40" s="4">
        <f t="shared" si="7"/>
        <v>10.200741627718337</v>
      </c>
      <c r="R40" s="4">
        <f t="shared" si="8"/>
        <v>1.1100000000000001</v>
      </c>
    </row>
    <row r="41" spans="1:18" ht="14.25" customHeight="1">
      <c r="A41" s="33">
        <v>32234</v>
      </c>
      <c r="B41" s="3">
        <v>261.33</v>
      </c>
      <c r="C41" s="3">
        <v>258.89</v>
      </c>
      <c r="D41" s="3">
        <v>272.05</v>
      </c>
      <c r="E41" s="3">
        <v>254.71</v>
      </c>
      <c r="F41" s="3">
        <v>261.33</v>
      </c>
      <c r="G41" s="3">
        <v>3260760000</v>
      </c>
      <c r="I41" s="15">
        <f t="shared" si="0"/>
        <v>1.0031760609191445</v>
      </c>
      <c r="J41" s="4">
        <f t="shared" si="1"/>
        <v>1.1848620518118853</v>
      </c>
      <c r="K41" s="4">
        <f t="shared" si="2"/>
        <v>1.68442199517851</v>
      </c>
      <c r="L41" s="4">
        <f t="shared" si="3"/>
        <v>4.2541996709141703</v>
      </c>
      <c r="M41" s="4">
        <f t="shared" si="4"/>
        <v>3.5086672023877856</v>
      </c>
      <c r="N41" s="4">
        <f t="shared" si="5"/>
        <v>5.3020701794665746</v>
      </c>
      <c r="O41" s="4">
        <f t="shared" si="6"/>
        <v>6.1132284850572072</v>
      </c>
      <c r="P41" s="4">
        <f t="shared" si="7"/>
        <v>10.132973634867794</v>
      </c>
      <c r="R41" s="4">
        <f t="shared" si="8"/>
        <v>1.1100000000000001</v>
      </c>
    </row>
    <row r="42" spans="1:18" ht="14.25" customHeight="1">
      <c r="A42" s="33">
        <v>32264</v>
      </c>
      <c r="B42" s="3">
        <v>262.16000000000003</v>
      </c>
      <c r="C42" s="3">
        <v>261.36</v>
      </c>
      <c r="D42" s="3">
        <v>263.7</v>
      </c>
      <c r="E42" s="3">
        <v>248.85</v>
      </c>
      <c r="F42" s="3">
        <v>262.16000000000003</v>
      </c>
      <c r="G42" s="3">
        <v>3231370000</v>
      </c>
      <c r="I42" s="15">
        <f t="shared" si="0"/>
        <v>1.0432560268538296</v>
      </c>
      <c r="J42" s="4">
        <f t="shared" si="1"/>
        <v>1.222612145254806</v>
      </c>
      <c r="K42" s="4">
        <f t="shared" si="2"/>
        <v>1.7172337503814463</v>
      </c>
      <c r="L42" s="4">
        <f t="shared" si="3"/>
        <v>4.1608941104668897</v>
      </c>
      <c r="M42" s="4">
        <f t="shared" si="4"/>
        <v>3.675579798596277</v>
      </c>
      <c r="N42" s="4">
        <f t="shared" si="5"/>
        <v>5.3416997253585592</v>
      </c>
      <c r="O42" s="4">
        <f t="shared" si="6"/>
        <v>6.2203997558742747</v>
      </c>
      <c r="P42" s="4">
        <f t="shared" si="7"/>
        <v>10.319156240463839</v>
      </c>
      <c r="R42" s="4">
        <f t="shared" si="8"/>
        <v>1.1100000000000001</v>
      </c>
    </row>
    <row r="43" spans="1:18" ht="14.25" customHeight="1">
      <c r="A43" s="33">
        <v>32295</v>
      </c>
      <c r="B43" s="3">
        <v>273.5</v>
      </c>
      <c r="C43" s="3">
        <v>262.16000000000003</v>
      </c>
      <c r="D43" s="3">
        <v>276.88</v>
      </c>
      <c r="E43" s="3">
        <v>262.10000000000002</v>
      </c>
      <c r="F43" s="3">
        <v>273.5</v>
      </c>
      <c r="G43" s="3">
        <v>4306710000</v>
      </c>
      <c r="I43" s="15">
        <f t="shared" si="0"/>
        <v>0.99458866544789759</v>
      </c>
      <c r="J43" s="4">
        <f t="shared" si="1"/>
        <v>1.1626325411334553</v>
      </c>
      <c r="K43" s="4">
        <f t="shared" si="2"/>
        <v>1.6472760511882998</v>
      </c>
      <c r="L43" s="4">
        <f t="shared" si="3"/>
        <v>4.1456672760511877</v>
      </c>
      <c r="M43" s="4">
        <f t="shared" si="4"/>
        <v>3.5630712979890311</v>
      </c>
      <c r="N43" s="4">
        <f t="shared" si="5"/>
        <v>4.6800731261425961</v>
      </c>
      <c r="O43" s="4">
        <f t="shared" si="6"/>
        <v>5.8730530164533823</v>
      </c>
      <c r="P43" s="4">
        <f t="shared" si="7"/>
        <v>9.939195612431444</v>
      </c>
      <c r="R43" s="4">
        <f t="shared" si="8"/>
        <v>1.1100000000000001</v>
      </c>
    </row>
    <row r="44" spans="1:18" ht="14.25" customHeight="1">
      <c r="A44" s="33">
        <v>32325</v>
      </c>
      <c r="B44" s="3">
        <v>272.02</v>
      </c>
      <c r="C44" s="3">
        <v>273.5</v>
      </c>
      <c r="D44" s="3">
        <v>276.36</v>
      </c>
      <c r="E44" s="3">
        <v>262.48</v>
      </c>
      <c r="F44" s="3">
        <v>272.02</v>
      </c>
      <c r="G44" s="3">
        <v>3338470000</v>
      </c>
      <c r="I44" s="15">
        <f t="shared" si="0"/>
        <v>0.96139989706639217</v>
      </c>
      <c r="J44" s="4">
        <f t="shared" si="1"/>
        <v>1.2722593926917138</v>
      </c>
      <c r="K44" s="4">
        <f t="shared" si="2"/>
        <v>1.6474156312035881</v>
      </c>
      <c r="L44" s="4">
        <f t="shared" si="3"/>
        <v>4.1198073671053601</v>
      </c>
      <c r="M44" s="4">
        <f t="shared" si="4"/>
        <v>3.6405778986839201</v>
      </c>
      <c r="N44" s="4">
        <f t="shared" si="5"/>
        <v>4.659142710094847</v>
      </c>
      <c r="O44" s="4">
        <f t="shared" si="6"/>
        <v>6.197081096978164</v>
      </c>
      <c r="P44" s="4">
        <f t="shared" si="7"/>
        <v>10.353246084846703</v>
      </c>
      <c r="R44" s="4">
        <f t="shared" si="8"/>
        <v>1.1100000000000001</v>
      </c>
    </row>
    <row r="45" spans="1:18" ht="14.25" customHeight="1">
      <c r="A45" s="33">
        <v>32356</v>
      </c>
      <c r="B45" s="3">
        <v>261.52</v>
      </c>
      <c r="C45" s="3">
        <v>272.02999999999997</v>
      </c>
      <c r="D45" s="3">
        <v>274.2</v>
      </c>
      <c r="E45" s="3">
        <v>256.52999999999997</v>
      </c>
      <c r="F45" s="3">
        <v>261.52</v>
      </c>
      <c r="G45" s="3">
        <v>3327470000</v>
      </c>
      <c r="I45" s="15">
        <f t="shared" si="0"/>
        <v>1.0397292750076477</v>
      </c>
      <c r="J45" s="4">
        <f t="shared" si="1"/>
        <v>1.3438742734781279</v>
      </c>
      <c r="K45" s="4">
        <f t="shared" si="2"/>
        <v>1.7725604160293669</v>
      </c>
      <c r="L45" s="4">
        <f t="shared" si="3"/>
        <v>3.660446619761395</v>
      </c>
      <c r="M45" s="4">
        <f t="shared" si="4"/>
        <v>3.8544279596206792</v>
      </c>
      <c r="N45" s="4">
        <f t="shared" si="5"/>
        <v>4.9052844906699296</v>
      </c>
      <c r="O45" s="4">
        <f t="shared" si="6"/>
        <v>6.244149587029673</v>
      </c>
      <c r="P45" s="4">
        <f t="shared" si="7"/>
        <v>11.094830223309881</v>
      </c>
      <c r="R45" s="4">
        <f t="shared" si="8"/>
        <v>1.1100000000000001</v>
      </c>
    </row>
    <row r="46" spans="1:18" ht="14.25" customHeight="1">
      <c r="A46" s="33">
        <v>32387</v>
      </c>
      <c r="B46" s="3">
        <v>271.91000000000003</v>
      </c>
      <c r="C46" s="3">
        <v>261.52</v>
      </c>
      <c r="D46" s="3">
        <v>274.87</v>
      </c>
      <c r="E46" s="3">
        <v>256.98</v>
      </c>
      <c r="F46" s="3">
        <v>271.91000000000003</v>
      </c>
      <c r="G46" s="3">
        <v>3059450000</v>
      </c>
      <c r="I46" s="15">
        <f t="shared" si="0"/>
        <v>1.0259644735390387</v>
      </c>
      <c r="J46" s="4">
        <f t="shared" si="1"/>
        <v>1.284064580191975</v>
      </c>
      <c r="K46" s="4">
        <f t="shared" si="2"/>
        <v>1.6878011106616158</v>
      </c>
      <c r="L46" s="4">
        <f t="shared" si="3"/>
        <v>3.7402449339855095</v>
      </c>
      <c r="M46" s="4">
        <f t="shared" si="4"/>
        <v>3.6628663896142104</v>
      </c>
      <c r="N46" s="4">
        <f t="shared" si="5"/>
        <v>4.2895075576477506</v>
      </c>
      <c r="O46" s="4">
        <f t="shared" si="6"/>
        <v>6.1842153653782495</v>
      </c>
      <c r="P46" s="4">
        <f t="shared" si="7"/>
        <v>10.716707734176749</v>
      </c>
      <c r="R46" s="4">
        <f t="shared" si="8"/>
        <v>1.1100000000000001</v>
      </c>
    </row>
    <row r="47" spans="1:18" ht="14.25" customHeight="1">
      <c r="A47" s="33">
        <v>32417</v>
      </c>
      <c r="B47" s="3">
        <v>278.97000000000003</v>
      </c>
      <c r="C47" s="3">
        <v>271.89</v>
      </c>
      <c r="D47" s="3">
        <v>283.95</v>
      </c>
      <c r="E47" s="3">
        <v>268.83999999999997</v>
      </c>
      <c r="F47" s="3">
        <v>278.97000000000003</v>
      </c>
      <c r="G47" s="3">
        <v>3415160000</v>
      </c>
      <c r="I47" s="15">
        <f t="shared" si="0"/>
        <v>0.98110907982937223</v>
      </c>
      <c r="J47" s="4">
        <f t="shared" si="1"/>
        <v>1.2200595046062299</v>
      </c>
      <c r="K47" s="4">
        <f t="shared" si="2"/>
        <v>1.6769903573860987</v>
      </c>
      <c r="L47" s="4">
        <f t="shared" si="3"/>
        <v>3.9383087787217264</v>
      </c>
      <c r="M47" s="4">
        <f t="shared" si="4"/>
        <v>3.7663906513245151</v>
      </c>
      <c r="N47" s="4">
        <f t="shared" si="5"/>
        <v>3.4725956196006735</v>
      </c>
      <c r="O47" s="4">
        <f t="shared" si="6"/>
        <v>6.2965193389970242</v>
      </c>
      <c r="P47" s="4">
        <f t="shared" si="7"/>
        <v>9.7205434276087015</v>
      </c>
      <c r="R47" s="4">
        <f t="shared" si="8"/>
        <v>1.1100000000000001</v>
      </c>
    </row>
    <row r="48" spans="1:18" ht="14.25" customHeight="1">
      <c r="A48" s="33">
        <v>32448</v>
      </c>
      <c r="B48" s="3">
        <v>273.7</v>
      </c>
      <c r="C48" s="3">
        <v>278.97000000000003</v>
      </c>
      <c r="D48" s="3">
        <v>280.37</v>
      </c>
      <c r="E48" s="3">
        <v>262.85000000000002</v>
      </c>
      <c r="F48" s="3">
        <v>273.7</v>
      </c>
      <c r="G48" s="3">
        <v>2822820000</v>
      </c>
      <c r="I48" s="15">
        <f t="shared" si="0"/>
        <v>1.0146876141761054</v>
      </c>
      <c r="J48" s="4">
        <f t="shared" si="1"/>
        <v>1.2641213006941907</v>
      </c>
      <c r="K48" s="4">
        <f t="shared" si="2"/>
        <v>1.6872122762148338</v>
      </c>
      <c r="L48" s="4">
        <f t="shared" si="3"/>
        <v>4.2514797223237126</v>
      </c>
      <c r="M48" s="4">
        <f t="shared" si="4"/>
        <v>3.8662769455608332</v>
      </c>
      <c r="N48" s="4">
        <f t="shared" si="5"/>
        <v>3.2745341614906835</v>
      </c>
      <c r="O48" s="4">
        <f t="shared" si="6"/>
        <v>6.597771282426014</v>
      </c>
      <c r="P48" s="4">
        <f t="shared" si="7"/>
        <v>10.084654731457801</v>
      </c>
      <c r="R48" s="4">
        <f t="shared" si="8"/>
        <v>1.1100000000000001</v>
      </c>
    </row>
    <row r="49" spans="1:18" ht="14.25" customHeight="1">
      <c r="A49" s="33">
        <v>32478</v>
      </c>
      <c r="B49" s="3">
        <v>277.72000000000003</v>
      </c>
      <c r="C49" s="3">
        <v>273.68</v>
      </c>
      <c r="D49" s="3">
        <v>280.45</v>
      </c>
      <c r="E49" s="3">
        <v>270.47000000000003</v>
      </c>
      <c r="F49" s="3">
        <v>277.72000000000003</v>
      </c>
      <c r="G49" s="3">
        <v>2844900000</v>
      </c>
      <c r="I49" s="15">
        <f t="shared" si="0"/>
        <v>1.0711147918767103</v>
      </c>
      <c r="J49" s="4">
        <f t="shared" si="1"/>
        <v>1.2725046809736422</v>
      </c>
      <c r="K49" s="4">
        <f t="shared" si="2"/>
        <v>1.6795693504248881</v>
      </c>
      <c r="L49" s="4">
        <f t="shared" si="3"/>
        <v>4.426148638916894</v>
      </c>
      <c r="M49" s="4">
        <f t="shared" si="4"/>
        <v>4.0037447789140144</v>
      </c>
      <c r="N49" s="4">
        <f t="shared" si="5"/>
        <v>3.2523764943108162</v>
      </c>
      <c r="O49" s="4">
        <f t="shared" si="6"/>
        <v>6.6554803399107003</v>
      </c>
      <c r="P49" s="4">
        <f t="shared" si="7"/>
        <v>9.0265375198041173</v>
      </c>
      <c r="R49" s="4">
        <f t="shared" si="8"/>
        <v>1.1100000000000001</v>
      </c>
    </row>
    <row r="50" spans="1:18" ht="14.25" customHeight="1">
      <c r="A50" s="33">
        <v>32509</v>
      </c>
      <c r="B50" s="3">
        <v>297.47000000000003</v>
      </c>
      <c r="C50" s="3">
        <v>277.72000000000003</v>
      </c>
      <c r="D50" s="3">
        <v>297.51</v>
      </c>
      <c r="E50" s="3">
        <v>273.81</v>
      </c>
      <c r="F50" s="3">
        <v>297.47000000000003</v>
      </c>
      <c r="G50" s="3">
        <v>3532220000</v>
      </c>
      <c r="I50" s="15">
        <f t="shared" si="0"/>
        <v>0.97105590479712234</v>
      </c>
      <c r="J50" s="4">
        <f t="shared" si="1"/>
        <v>1.1062628164184622</v>
      </c>
      <c r="K50" s="4">
        <f t="shared" si="2"/>
        <v>1.6190204054190338</v>
      </c>
      <c r="L50" s="4">
        <f t="shared" si="3"/>
        <v>4.3017447137526474</v>
      </c>
      <c r="M50" s="4">
        <f t="shared" si="4"/>
        <v>3.8025010925471476</v>
      </c>
      <c r="N50" s="4">
        <f t="shared" si="5"/>
        <v>2.7763471946750928</v>
      </c>
      <c r="O50" s="4">
        <f t="shared" si="6"/>
        <v>5.9925034457256183</v>
      </c>
      <c r="P50" s="4">
        <f t="shared" si="7"/>
        <v>9.0903284364809878</v>
      </c>
      <c r="R50" s="4">
        <f t="shared" si="8"/>
        <v>1.1062628164184622</v>
      </c>
    </row>
    <row r="51" spans="1:18" ht="14.25" customHeight="1">
      <c r="A51" s="33">
        <v>32540</v>
      </c>
      <c r="B51" s="3">
        <v>288.86</v>
      </c>
      <c r="C51" s="3">
        <v>297.47000000000003</v>
      </c>
      <c r="D51" s="3">
        <v>300.57</v>
      </c>
      <c r="E51" s="3">
        <v>286.26</v>
      </c>
      <c r="F51" s="3">
        <v>288.86</v>
      </c>
      <c r="G51" s="3">
        <v>3216280000</v>
      </c>
      <c r="I51" s="15">
        <f t="shared" si="0"/>
        <v>1.0208059267465208</v>
      </c>
      <c r="J51" s="4">
        <f t="shared" si="1"/>
        <v>1.1489648964896488</v>
      </c>
      <c r="K51" s="4">
        <f t="shared" si="2"/>
        <v>1.6171847954026171</v>
      </c>
      <c r="L51" s="4">
        <f t="shared" si="3"/>
        <v>4.2869556186387863</v>
      </c>
      <c r="M51" s="4">
        <f t="shared" si="4"/>
        <v>3.9636502111749636</v>
      </c>
      <c r="N51" s="4">
        <f t="shared" si="5"/>
        <v>2.5447967873710446</v>
      </c>
      <c r="O51" s="4">
        <f t="shared" si="6"/>
        <v>6.4372014124489372</v>
      </c>
      <c r="P51" s="4">
        <f t="shared" si="7"/>
        <v>9.6395831890881389</v>
      </c>
      <c r="R51" s="4">
        <f t="shared" si="8"/>
        <v>1.1100000000000001</v>
      </c>
    </row>
    <row r="52" spans="1:18" ht="14.25" customHeight="1">
      <c r="A52" s="33">
        <v>32568</v>
      </c>
      <c r="B52" s="3">
        <v>294.87</v>
      </c>
      <c r="C52" s="3">
        <v>288.86</v>
      </c>
      <c r="D52" s="3">
        <v>299.99</v>
      </c>
      <c r="E52" s="3">
        <v>286.45999999999998</v>
      </c>
      <c r="F52" s="3">
        <v>294.87</v>
      </c>
      <c r="G52" s="3">
        <v>3504530000</v>
      </c>
      <c r="I52" s="15">
        <f t="shared" si="0"/>
        <v>1.0500898701122527</v>
      </c>
      <c r="J52" s="4">
        <f t="shared" si="1"/>
        <v>1.1528470173296708</v>
      </c>
      <c r="K52" s="4">
        <f t="shared" si="2"/>
        <v>1.5117509410926848</v>
      </c>
      <c r="L52" s="4">
        <f t="shared" si="3"/>
        <v>4.3624987282531285</v>
      </c>
      <c r="M52" s="4">
        <f t="shared" si="4"/>
        <v>3.8193441177468039</v>
      </c>
      <c r="N52" s="4">
        <f t="shared" si="5"/>
        <v>2.7058364703089497</v>
      </c>
      <c r="O52" s="4">
        <f t="shared" si="6"/>
        <v>6.3497134330382874</v>
      </c>
      <c r="P52" s="4">
        <f t="shared" si="7"/>
        <v>9.6123715535659784</v>
      </c>
      <c r="R52" s="4">
        <f t="shared" si="8"/>
        <v>1.1100000000000001</v>
      </c>
    </row>
    <row r="53" spans="1:18" ht="14.25" customHeight="1">
      <c r="A53" s="33">
        <v>32599</v>
      </c>
      <c r="B53" s="3">
        <v>309.64</v>
      </c>
      <c r="C53" s="3">
        <v>294.87</v>
      </c>
      <c r="D53" s="3">
        <v>310.45</v>
      </c>
      <c r="E53" s="3">
        <v>294.35000000000002</v>
      </c>
      <c r="F53" s="3">
        <v>309.64</v>
      </c>
      <c r="G53" s="3">
        <v>3237250000</v>
      </c>
      <c r="I53" s="15">
        <f t="shared" si="0"/>
        <v>1.0351375791241442</v>
      </c>
      <c r="J53" s="4">
        <f t="shared" si="1"/>
        <v>1.0683374241054129</v>
      </c>
      <c r="K53" s="4">
        <f t="shared" si="2"/>
        <v>1.4562395039400595</v>
      </c>
      <c r="L53" s="4">
        <f t="shared" si="3"/>
        <v>4.3120397881410675</v>
      </c>
      <c r="M53" s="4">
        <f t="shared" si="4"/>
        <v>3.5760883606769149</v>
      </c>
      <c r="N53" s="4">
        <f t="shared" si="5"/>
        <v>2.8187895620720838</v>
      </c>
      <c r="O53" s="4">
        <f t="shared" si="6"/>
        <v>6.0843237307841367</v>
      </c>
      <c r="P53" s="4">
        <f t="shared" si="7"/>
        <v>9.5137256168453685</v>
      </c>
      <c r="R53" s="4">
        <f t="shared" si="8"/>
        <v>1.0683374241054129</v>
      </c>
    </row>
    <row r="54" spans="1:18" ht="14.25" customHeight="1">
      <c r="A54" s="33">
        <v>32629</v>
      </c>
      <c r="B54" s="3">
        <v>320.52</v>
      </c>
      <c r="C54" s="3">
        <v>309.64</v>
      </c>
      <c r="D54" s="3">
        <v>323.06</v>
      </c>
      <c r="E54" s="3">
        <v>304.06</v>
      </c>
      <c r="F54" s="3">
        <v>320.52</v>
      </c>
      <c r="G54" s="3">
        <v>3747320000</v>
      </c>
      <c r="I54" s="15">
        <f t="shared" si="0"/>
        <v>0.99207537751154384</v>
      </c>
      <c r="J54" s="4">
        <f t="shared" si="1"/>
        <v>1.1270123549232498</v>
      </c>
      <c r="K54" s="4">
        <f t="shared" si="2"/>
        <v>1.4242480968426308</v>
      </c>
      <c r="L54" s="4">
        <f t="shared" si="3"/>
        <v>4.0616498190440531</v>
      </c>
      <c r="M54" s="4">
        <f t="shared" si="4"/>
        <v>3.4964432796705358</v>
      </c>
      <c r="N54" s="4">
        <f t="shared" si="5"/>
        <v>2.8676525645825537</v>
      </c>
      <c r="O54" s="4">
        <f t="shared" si="6"/>
        <v>6.0014039685511049</v>
      </c>
      <c r="P54" s="4">
        <f t="shared" si="7"/>
        <v>8.5862348683389502</v>
      </c>
      <c r="R54" s="4">
        <f t="shared" si="8"/>
        <v>1.1100000000000001</v>
      </c>
    </row>
    <row r="55" spans="1:18" ht="14.25" customHeight="1">
      <c r="A55" s="33">
        <v>32660</v>
      </c>
      <c r="B55" s="3">
        <v>317.98</v>
      </c>
      <c r="C55" s="3">
        <v>320.51</v>
      </c>
      <c r="D55" s="3">
        <v>329.19</v>
      </c>
      <c r="E55" s="3">
        <v>314.38</v>
      </c>
      <c r="F55" s="3">
        <v>317.98</v>
      </c>
      <c r="G55" s="3">
        <v>3966590000</v>
      </c>
      <c r="I55" s="15">
        <f t="shared" si="0"/>
        <v>1.0883703377570915</v>
      </c>
      <c r="J55" s="4">
        <f t="shared" si="1"/>
        <v>1.1259198691741619</v>
      </c>
      <c r="K55" s="4">
        <f t="shared" si="2"/>
        <v>1.3971633436065161</v>
      </c>
      <c r="L55" s="4">
        <f t="shared" si="3"/>
        <v>4.3169696207308634</v>
      </c>
      <c r="M55" s="4">
        <f t="shared" si="4"/>
        <v>3.5877728159003706</v>
      </c>
      <c r="N55" s="4">
        <f t="shared" si="5"/>
        <v>2.8911252280017612</v>
      </c>
      <c r="O55" s="4">
        <f t="shared" si="6"/>
        <v>6.1646329957858983</v>
      </c>
      <c r="P55" s="4">
        <f t="shared" si="7"/>
        <v>9.2513994590854765</v>
      </c>
      <c r="R55" s="4">
        <f t="shared" si="8"/>
        <v>1.1100000000000001</v>
      </c>
    </row>
    <row r="56" spans="1:18" ht="14.25" customHeight="1">
      <c r="A56" s="33">
        <v>32690</v>
      </c>
      <c r="B56" s="3">
        <v>346.08</v>
      </c>
      <c r="C56" s="3">
        <v>317.98</v>
      </c>
      <c r="D56" s="3">
        <v>346.08</v>
      </c>
      <c r="E56" s="3">
        <v>317.26</v>
      </c>
      <c r="F56" s="3">
        <v>346.08</v>
      </c>
      <c r="G56" s="3">
        <v>3249030000</v>
      </c>
      <c r="I56" s="15">
        <f t="shared" si="0"/>
        <v>1.0155166435506242</v>
      </c>
      <c r="J56" s="4">
        <f t="shared" si="1"/>
        <v>1.0290973185390662</v>
      </c>
      <c r="K56" s="4">
        <f t="shared" si="2"/>
        <v>1.3241447064262599</v>
      </c>
      <c r="L56" s="4">
        <f t="shared" si="3"/>
        <v>3.8393435043920485</v>
      </c>
      <c r="M56" s="4">
        <f t="shared" si="4"/>
        <v>3.1834257975034674</v>
      </c>
      <c r="N56" s="4">
        <f t="shared" si="5"/>
        <v>2.8533287101248268</v>
      </c>
      <c r="O56" s="4">
        <f t="shared" si="6"/>
        <v>5.5786812297734629</v>
      </c>
      <c r="P56" s="4">
        <f t="shared" si="7"/>
        <v>8.6118238557558957</v>
      </c>
      <c r="R56" s="4">
        <f t="shared" si="8"/>
        <v>1.0290973185390662</v>
      </c>
    </row>
    <row r="57" spans="1:18" ht="14.25" customHeight="1">
      <c r="A57" s="33">
        <v>32721</v>
      </c>
      <c r="B57" s="3">
        <v>351.45</v>
      </c>
      <c r="C57" s="3">
        <v>346.08</v>
      </c>
      <c r="D57" s="3">
        <v>352.73</v>
      </c>
      <c r="E57" s="3">
        <v>339</v>
      </c>
      <c r="F57" s="3">
        <v>351.45</v>
      </c>
      <c r="G57" s="3">
        <v>3949100000</v>
      </c>
      <c r="I57" s="15">
        <f t="shared" si="0"/>
        <v>0.99345568359652858</v>
      </c>
      <c r="J57" s="4">
        <f t="shared" si="1"/>
        <v>0.917797695262484</v>
      </c>
      <c r="K57" s="4">
        <f t="shared" si="2"/>
        <v>1.3529378289941671</v>
      </c>
      <c r="L57" s="4">
        <f t="shared" si="3"/>
        <v>3.7570351401337319</v>
      </c>
      <c r="M57" s="4">
        <f t="shared" si="4"/>
        <v>3.1419547588561674</v>
      </c>
      <c r="N57" s="4">
        <f t="shared" si="5"/>
        <v>2.9040261772656142</v>
      </c>
      <c r="O57" s="4">
        <f t="shared" si="6"/>
        <v>5.7002987622705934</v>
      </c>
      <c r="P57" s="4">
        <f t="shared" si="7"/>
        <v>8.3268174704794422</v>
      </c>
      <c r="R57" s="4">
        <f t="shared" si="8"/>
        <v>1</v>
      </c>
    </row>
    <row r="58" spans="1:18" ht="14.25" customHeight="1">
      <c r="A58" s="33">
        <v>32752</v>
      </c>
      <c r="B58" s="3">
        <v>349.15</v>
      </c>
      <c r="C58" s="3">
        <v>351.45</v>
      </c>
      <c r="D58" s="3">
        <v>354.13</v>
      </c>
      <c r="E58" s="3">
        <v>341.37</v>
      </c>
      <c r="F58" s="3">
        <v>349.15</v>
      </c>
      <c r="G58" s="3">
        <v>3035020000</v>
      </c>
      <c r="I58" s="15">
        <f t="shared" si="0"/>
        <v>0.9748245739653445</v>
      </c>
      <c r="J58" s="4">
        <f t="shared" si="1"/>
        <v>0.87655735357296305</v>
      </c>
      <c r="K58" s="4">
        <f t="shared" si="2"/>
        <v>1.3252470284977804</v>
      </c>
      <c r="L58" s="4">
        <f t="shared" si="3"/>
        <v>3.6738078189889736</v>
      </c>
      <c r="M58" s="4">
        <f t="shared" si="4"/>
        <v>3.1922669339825291</v>
      </c>
      <c r="N58" s="4">
        <f t="shared" si="5"/>
        <v>3.0275812687956467</v>
      </c>
      <c r="O58" s="4">
        <f t="shared" si="6"/>
        <v>5.6488328798510672</v>
      </c>
      <c r="P58" s="4">
        <f t="shared" si="7"/>
        <v>8.5256766432765279</v>
      </c>
      <c r="R58" s="4">
        <f t="shared" si="8"/>
        <v>1</v>
      </c>
    </row>
    <row r="59" spans="1:18" ht="14.25" customHeight="1">
      <c r="A59" s="33">
        <v>32782</v>
      </c>
      <c r="B59" s="3">
        <v>340.36</v>
      </c>
      <c r="C59" s="3">
        <v>349.15</v>
      </c>
      <c r="D59" s="3">
        <v>360.44</v>
      </c>
      <c r="E59" s="3">
        <v>327.12</v>
      </c>
      <c r="F59" s="3">
        <v>340.36</v>
      </c>
      <c r="G59" s="3">
        <v>4012670000</v>
      </c>
      <c r="I59" s="15">
        <f t="shared" si="0"/>
        <v>1.0165413092020215</v>
      </c>
      <c r="J59" s="4">
        <f t="shared" si="1"/>
        <v>0.89317193559760255</v>
      </c>
      <c r="K59" s="4">
        <f t="shared" si="2"/>
        <v>1.3877952755905512</v>
      </c>
      <c r="L59" s="4">
        <f t="shared" si="3"/>
        <v>4.0043777177106596</v>
      </c>
      <c r="M59" s="4">
        <f t="shared" si="4"/>
        <v>3.3206017158302972</v>
      </c>
      <c r="N59" s="4">
        <f t="shared" si="5"/>
        <v>3.0443941708778941</v>
      </c>
      <c r="O59" s="4">
        <f t="shared" si="6"/>
        <v>5.9291632389234925</v>
      </c>
      <c r="P59" s="4">
        <f t="shared" si="7"/>
        <v>8.9245504759666225</v>
      </c>
      <c r="R59" s="4">
        <f t="shared" si="8"/>
        <v>1</v>
      </c>
    </row>
    <row r="60" spans="1:18" ht="14.25" customHeight="1">
      <c r="A60" s="33">
        <v>32813</v>
      </c>
      <c r="B60" s="3">
        <v>345.99</v>
      </c>
      <c r="C60" s="3">
        <v>340.36</v>
      </c>
      <c r="D60" s="3">
        <v>346.5</v>
      </c>
      <c r="E60" s="3">
        <v>330.91</v>
      </c>
      <c r="F60" s="3">
        <v>345.99</v>
      </c>
      <c r="G60" s="3">
        <v>3032160000</v>
      </c>
      <c r="I60" s="15">
        <f t="shared" si="0"/>
        <v>1.0214168039538714</v>
      </c>
      <c r="J60" s="4">
        <f t="shared" si="1"/>
        <v>0.93129859244486846</v>
      </c>
      <c r="K60" s="4">
        <f t="shared" si="2"/>
        <v>1.3112806728518165</v>
      </c>
      <c r="L60" s="4">
        <f t="shared" si="3"/>
        <v>4.0143067718720191</v>
      </c>
      <c r="M60" s="4">
        <f t="shared" si="4"/>
        <v>3.3926414058209771</v>
      </c>
      <c r="N60" s="4">
        <f t="shared" si="5"/>
        <v>3.1666522153819479</v>
      </c>
      <c r="O60" s="4">
        <f t="shared" si="6"/>
        <v>5.9757796468106008</v>
      </c>
      <c r="P60" s="4">
        <f t="shared" si="7"/>
        <v>9.0782392554698106</v>
      </c>
      <c r="R60" s="4">
        <f t="shared" si="8"/>
        <v>1</v>
      </c>
    </row>
    <row r="61" spans="1:18" ht="14.25" customHeight="1">
      <c r="A61" s="33">
        <v>32843</v>
      </c>
      <c r="B61" s="3">
        <v>353.4</v>
      </c>
      <c r="C61" s="3">
        <v>346.01</v>
      </c>
      <c r="D61" s="3">
        <v>354.1</v>
      </c>
      <c r="E61" s="3">
        <v>339.63</v>
      </c>
      <c r="F61" s="3">
        <v>353.4</v>
      </c>
      <c r="G61" s="3">
        <v>3213420000</v>
      </c>
      <c r="I61" s="15">
        <f t="shared" si="0"/>
        <v>0.9311827956989247</v>
      </c>
      <c r="J61" s="4">
        <f t="shared" si="1"/>
        <v>0.93440860215053778</v>
      </c>
      <c r="K61" s="4">
        <f t="shared" si="2"/>
        <v>1.2995755517826826</v>
      </c>
      <c r="L61" s="4">
        <f t="shared" si="3"/>
        <v>4.1574702886247881</v>
      </c>
      <c r="M61" s="4">
        <f t="shared" si="4"/>
        <v>3.4293152235427282</v>
      </c>
      <c r="N61" s="4">
        <f t="shared" si="5"/>
        <v>3.1553480475382001</v>
      </c>
      <c r="O61" s="4">
        <f t="shared" si="6"/>
        <v>5.8259762308998306</v>
      </c>
      <c r="P61" s="4">
        <f t="shared" si="7"/>
        <v>9.141992076966611</v>
      </c>
      <c r="R61" s="4">
        <f t="shared" si="8"/>
        <v>1</v>
      </c>
    </row>
    <row r="62" spans="1:18" ht="14.25" customHeight="1">
      <c r="A62" s="33">
        <v>32874</v>
      </c>
      <c r="B62" s="3">
        <v>329.08</v>
      </c>
      <c r="C62" s="3">
        <v>353.4</v>
      </c>
      <c r="D62" s="3">
        <v>360.59</v>
      </c>
      <c r="E62" s="3">
        <v>319.83</v>
      </c>
      <c r="F62" s="3">
        <v>329.08</v>
      </c>
      <c r="G62" s="3">
        <v>3793250000</v>
      </c>
      <c r="I62" s="15">
        <f t="shared" si="0"/>
        <v>1.0085389570925003</v>
      </c>
      <c r="J62" s="4">
        <f t="shared" si="1"/>
        <v>1.045125805275313</v>
      </c>
      <c r="K62" s="4">
        <f t="shared" si="2"/>
        <v>1.4295004254284673</v>
      </c>
      <c r="L62" s="4">
        <f t="shared" si="3"/>
        <v>4.2374498602163611</v>
      </c>
      <c r="M62" s="4">
        <f t="shared" si="4"/>
        <v>3.5896134678497629</v>
      </c>
      <c r="N62" s="4">
        <f t="shared" si="5"/>
        <v>3.2632490579798223</v>
      </c>
      <c r="O62" s="4">
        <f t="shared" si="6"/>
        <v>6.0623252704509545</v>
      </c>
      <c r="P62" s="4">
        <f t="shared" si="7"/>
        <v>9.8016287832745839</v>
      </c>
      <c r="R62" s="4">
        <f t="shared" si="8"/>
        <v>1.045125805275313</v>
      </c>
    </row>
    <row r="63" spans="1:18" ht="14.25" customHeight="1">
      <c r="A63" s="33">
        <v>32905</v>
      </c>
      <c r="B63" s="3">
        <v>331.89</v>
      </c>
      <c r="C63" s="3">
        <v>329.08</v>
      </c>
      <c r="D63" s="3">
        <v>336.09</v>
      </c>
      <c r="E63" s="3">
        <v>322.10000000000002</v>
      </c>
      <c r="F63" s="3">
        <v>331.89</v>
      </c>
      <c r="G63" s="3">
        <v>2961970000</v>
      </c>
      <c r="I63" s="15">
        <f t="shared" si="0"/>
        <v>1.0242550242550243</v>
      </c>
      <c r="J63" s="4">
        <f t="shared" si="1"/>
        <v>1.105998975564193</v>
      </c>
      <c r="K63" s="4">
        <f t="shared" si="2"/>
        <v>1.4685287293982947</v>
      </c>
      <c r="L63" s="4">
        <f t="shared" si="3"/>
        <v>4.1170869866522048</v>
      </c>
      <c r="M63" s="4">
        <f t="shared" si="4"/>
        <v>3.6265027569375392</v>
      </c>
      <c r="N63" s="4">
        <f t="shared" si="5"/>
        <v>3.3278797191840672</v>
      </c>
      <c r="O63" s="4">
        <f t="shared" si="6"/>
        <v>6.3409563409563416</v>
      </c>
      <c r="P63" s="4">
        <f t="shared" si="7"/>
        <v>8.9012022055500317</v>
      </c>
      <c r="R63" s="4">
        <f t="shared" si="8"/>
        <v>1.105998975564193</v>
      </c>
    </row>
    <row r="64" spans="1:18" ht="14.25" customHeight="1">
      <c r="A64" s="33">
        <v>32933</v>
      </c>
      <c r="B64" s="3">
        <v>339.94</v>
      </c>
      <c r="C64" s="3">
        <v>331.89</v>
      </c>
      <c r="D64" s="3">
        <v>344.49</v>
      </c>
      <c r="E64" s="3">
        <v>331.08</v>
      </c>
      <c r="F64" s="3">
        <v>339.94</v>
      </c>
      <c r="G64" s="3">
        <v>3283280000</v>
      </c>
      <c r="I64" s="15">
        <f t="shared" si="0"/>
        <v>0.97311290227687242</v>
      </c>
      <c r="J64" s="4">
        <f t="shared" si="1"/>
        <v>1.1037830205330352</v>
      </c>
      <c r="K64" s="4">
        <f t="shared" si="2"/>
        <v>1.472936400541272</v>
      </c>
      <c r="L64" s="4">
        <f t="shared" si="3"/>
        <v>4.4083661822674589</v>
      </c>
      <c r="M64" s="4">
        <f t="shared" si="4"/>
        <v>3.472936400541272</v>
      </c>
      <c r="N64" s="4">
        <f t="shared" si="5"/>
        <v>3.4401070777195977</v>
      </c>
      <c r="O64" s="4">
        <f t="shared" si="6"/>
        <v>6.0831029005118546</v>
      </c>
      <c r="P64" s="4">
        <f t="shared" si="7"/>
        <v>7.6030770135906343</v>
      </c>
      <c r="R64" s="4">
        <f t="shared" si="8"/>
        <v>1.1037830205330352</v>
      </c>
    </row>
    <row r="65" spans="1:18" ht="14.25" customHeight="1">
      <c r="A65" s="33">
        <v>32964</v>
      </c>
      <c r="B65" s="3">
        <v>330.8</v>
      </c>
      <c r="C65" s="3">
        <v>339.94</v>
      </c>
      <c r="D65" s="3">
        <v>347.3</v>
      </c>
      <c r="E65" s="3">
        <v>327.76</v>
      </c>
      <c r="F65" s="3">
        <v>330.8</v>
      </c>
      <c r="G65" s="3">
        <v>2801220000</v>
      </c>
      <c r="I65" s="15">
        <f t="shared" si="0"/>
        <v>1.0919891172914147</v>
      </c>
      <c r="J65" s="4">
        <f t="shared" si="1"/>
        <v>1.1346432889963722</v>
      </c>
      <c r="K65" s="4">
        <f t="shared" si="2"/>
        <v>1.5559552599758162</v>
      </c>
      <c r="L65" s="4">
        <f t="shared" si="3"/>
        <v>4.3906590084643291</v>
      </c>
      <c r="M65" s="4">
        <f t="shared" si="4"/>
        <v>3.4971281741233371</v>
      </c>
      <c r="N65" s="4">
        <f t="shared" si="5"/>
        <v>3.5873337363966145</v>
      </c>
      <c r="O65" s="4">
        <f t="shared" si="6"/>
        <v>6.3044437726723102</v>
      </c>
      <c r="P65" s="4">
        <f t="shared" si="7"/>
        <v>8.8042019347037481</v>
      </c>
      <c r="R65" s="4">
        <f t="shared" si="8"/>
        <v>1.1100000000000001</v>
      </c>
    </row>
    <row r="66" spans="1:18" ht="14.25" customHeight="1">
      <c r="A66" s="33">
        <v>32994</v>
      </c>
      <c r="B66" s="3">
        <v>361.23</v>
      </c>
      <c r="C66" s="3">
        <v>330.8</v>
      </c>
      <c r="D66" s="3">
        <v>362.26</v>
      </c>
      <c r="E66" s="3">
        <v>330.8</v>
      </c>
      <c r="F66" s="3">
        <v>361.23</v>
      </c>
      <c r="G66" s="3">
        <v>3596680000</v>
      </c>
      <c r="I66" s="15">
        <f t="shared" si="0"/>
        <v>0.99111369487584078</v>
      </c>
      <c r="J66" s="4">
        <f t="shared" si="1"/>
        <v>1.079173933504969</v>
      </c>
      <c r="K66" s="4">
        <f t="shared" si="2"/>
        <v>1.4766215430612073</v>
      </c>
      <c r="L66" s="4">
        <f t="shared" si="3"/>
        <v>3.9326744733272427</v>
      </c>
      <c r="M66" s="4">
        <f t="shared" si="4"/>
        <v>3.2984525094814936</v>
      </c>
      <c r="N66" s="4">
        <f t="shared" si="5"/>
        <v>3.015834786700994</v>
      </c>
      <c r="O66" s="4">
        <f t="shared" si="6"/>
        <v>5.8339285219942969</v>
      </c>
      <c r="P66" s="4">
        <f t="shared" si="7"/>
        <v>8.4276222905074327</v>
      </c>
      <c r="R66" s="4">
        <f t="shared" si="8"/>
        <v>1.079173933504969</v>
      </c>
    </row>
    <row r="67" spans="1:18" ht="14.25" customHeight="1">
      <c r="A67" s="33">
        <v>33025</v>
      </c>
      <c r="B67" s="3">
        <v>358.02</v>
      </c>
      <c r="C67" s="3">
        <v>361.26</v>
      </c>
      <c r="D67" s="3">
        <v>368.78</v>
      </c>
      <c r="E67" s="3">
        <v>351.23</v>
      </c>
      <c r="F67" s="3">
        <v>358.02</v>
      </c>
      <c r="G67" s="3">
        <v>3226280000</v>
      </c>
      <c r="I67" s="15">
        <f t="shared" si="0"/>
        <v>0.99477682811016144</v>
      </c>
      <c r="J67" s="4">
        <f t="shared" si="1"/>
        <v>1.0367018602312721</v>
      </c>
      <c r="K67" s="4">
        <f t="shared" si="2"/>
        <v>1.5215630411708845</v>
      </c>
      <c r="L67" s="4">
        <f t="shared" si="3"/>
        <v>4.062901513881906</v>
      </c>
      <c r="M67" s="4">
        <f t="shared" si="4"/>
        <v>3.3275515334338865</v>
      </c>
      <c r="N67" s="4">
        <f t="shared" si="5"/>
        <v>2.8789173789173792</v>
      </c>
      <c r="O67" s="4">
        <f t="shared" si="6"/>
        <v>5.7625551645159492</v>
      </c>
      <c r="P67" s="4">
        <f t="shared" si="7"/>
        <v>8.6595441595441596</v>
      </c>
      <c r="R67" s="4">
        <f t="shared" si="8"/>
        <v>1.0367018602312721</v>
      </c>
    </row>
    <row r="68" spans="1:18" ht="14.25" customHeight="1">
      <c r="A68" s="33">
        <v>33055</v>
      </c>
      <c r="B68" s="3">
        <v>356.15</v>
      </c>
      <c r="C68" s="3">
        <v>358.02</v>
      </c>
      <c r="D68" s="3">
        <v>369.78</v>
      </c>
      <c r="E68" s="3">
        <v>350.09</v>
      </c>
      <c r="F68" s="3">
        <v>356.15</v>
      </c>
      <c r="G68" s="3">
        <v>3373540000</v>
      </c>
      <c r="I68" s="15">
        <f t="shared" si="0"/>
        <v>0.90568580654218733</v>
      </c>
      <c r="J68" s="4">
        <f t="shared" si="1"/>
        <v>1.0888951284571109</v>
      </c>
      <c r="K68" s="4">
        <f t="shared" si="2"/>
        <v>1.5781552716552014</v>
      </c>
      <c r="L68" s="4">
        <f t="shared" si="3"/>
        <v>4.0174926295100377</v>
      </c>
      <c r="M68" s="4">
        <f t="shared" si="4"/>
        <v>3.4653376386354067</v>
      </c>
      <c r="N68" s="4">
        <f t="shared" si="5"/>
        <v>3.0930787589498805</v>
      </c>
      <c r="O68" s="4">
        <f t="shared" si="6"/>
        <v>5.9071739435631061</v>
      </c>
      <c r="P68" s="4">
        <f t="shared" si="7"/>
        <v>9.1846693808788427</v>
      </c>
      <c r="R68" s="4">
        <f t="shared" si="8"/>
        <v>1.0888951284571109</v>
      </c>
    </row>
    <row r="69" spans="1:18" ht="14.25" customHeight="1">
      <c r="A69" s="33">
        <v>33086</v>
      </c>
      <c r="B69" s="3">
        <v>322.56</v>
      </c>
      <c r="C69" s="3">
        <v>356.15</v>
      </c>
      <c r="D69" s="3">
        <v>357.35</v>
      </c>
      <c r="E69" s="3">
        <v>306.18</v>
      </c>
      <c r="F69" s="3">
        <v>322.56</v>
      </c>
      <c r="G69" s="3">
        <v>4020730000</v>
      </c>
      <c r="I69" s="15">
        <f t="shared" si="0"/>
        <v>0.94881572420634919</v>
      </c>
      <c r="J69" s="4">
        <f t="shared" si="1"/>
        <v>1.2259114583333333</v>
      </c>
      <c r="K69" s="4">
        <f t="shared" si="2"/>
        <v>1.7419394841269842</v>
      </c>
      <c r="L69" s="4">
        <f t="shared" si="3"/>
        <v>4.7051091269841274</v>
      </c>
      <c r="M69" s="4">
        <f t="shared" si="4"/>
        <v>3.7832651289682535</v>
      </c>
      <c r="N69" s="4">
        <f t="shared" si="5"/>
        <v>3.2531312003968251</v>
      </c>
      <c r="O69" s="4">
        <f t="shared" si="6"/>
        <v>6.1141493055555554</v>
      </c>
      <c r="P69" s="4">
        <f t="shared" si="7"/>
        <v>10.851655505952381</v>
      </c>
      <c r="R69" s="4">
        <f t="shared" si="8"/>
        <v>1.1100000000000001</v>
      </c>
    </row>
    <row r="70" spans="1:18" ht="14.25" customHeight="1">
      <c r="A70" s="33">
        <v>33117</v>
      </c>
      <c r="B70" s="3">
        <v>306.05</v>
      </c>
      <c r="C70" s="3">
        <v>322.56</v>
      </c>
      <c r="D70" s="3">
        <v>326.52999999999997</v>
      </c>
      <c r="E70" s="3">
        <v>295.98</v>
      </c>
      <c r="F70" s="3">
        <v>306.05</v>
      </c>
      <c r="G70" s="3">
        <v>2687280000</v>
      </c>
      <c r="I70" s="15">
        <f t="shared" si="0"/>
        <v>0.99330174808037897</v>
      </c>
      <c r="J70" s="4">
        <f t="shared" si="1"/>
        <v>1.2673092631922889</v>
      </c>
      <c r="K70" s="4">
        <f t="shared" si="2"/>
        <v>1.9095245874857047</v>
      </c>
      <c r="L70" s="4">
        <f t="shared" si="3"/>
        <v>4.6937101780754773</v>
      </c>
      <c r="M70" s="4">
        <f t="shared" si="4"/>
        <v>4.0150628982192451</v>
      </c>
      <c r="N70" s="4">
        <f t="shared" si="5"/>
        <v>3.7288024832543702</v>
      </c>
      <c r="O70" s="4">
        <f t="shared" si="6"/>
        <v>6.2735827479170068</v>
      </c>
      <c r="P70" s="4">
        <f t="shared" si="7"/>
        <v>10.988400588139193</v>
      </c>
      <c r="R70" s="4">
        <f t="shared" si="8"/>
        <v>1.1100000000000001</v>
      </c>
    </row>
    <row r="71" spans="1:18" ht="14.25" customHeight="1">
      <c r="A71" s="33">
        <v>33147</v>
      </c>
      <c r="B71" s="3">
        <v>304</v>
      </c>
      <c r="C71" s="3">
        <v>306.10000000000002</v>
      </c>
      <c r="D71" s="3">
        <v>319.69</v>
      </c>
      <c r="E71" s="3">
        <v>294.51</v>
      </c>
      <c r="F71" s="3">
        <v>304</v>
      </c>
      <c r="G71" s="3">
        <v>3671900000</v>
      </c>
      <c r="I71" s="15">
        <f t="shared" si="0"/>
        <v>1.0599342105263159</v>
      </c>
      <c r="J71" s="4">
        <f t="shared" si="1"/>
        <v>1.2909539473684211</v>
      </c>
      <c r="K71" s="4">
        <f t="shared" si="2"/>
        <v>1.912828947368421</v>
      </c>
      <c r="L71" s="4">
        <f t="shared" si="3"/>
        <v>4.7019736842105262</v>
      </c>
      <c r="M71" s="4">
        <f t="shared" si="4"/>
        <v>3.9704276315789473</v>
      </c>
      <c r="N71" s="4">
        <f t="shared" si="5"/>
        <v>3.8923026315789473</v>
      </c>
      <c r="O71" s="4">
        <f t="shared" si="6"/>
        <v>6.8400000000000007</v>
      </c>
      <c r="P71" s="4">
        <f t="shared" si="7"/>
        <v>10.756447368421053</v>
      </c>
      <c r="R71" s="4">
        <f t="shared" si="8"/>
        <v>1.1100000000000001</v>
      </c>
    </row>
    <row r="72" spans="1:18" ht="14.25" customHeight="1">
      <c r="A72" s="33">
        <v>33178</v>
      </c>
      <c r="B72" s="3">
        <v>322.22000000000003</v>
      </c>
      <c r="C72" s="3">
        <v>303.99</v>
      </c>
      <c r="D72" s="3">
        <v>323.02</v>
      </c>
      <c r="E72" s="3">
        <v>301.61</v>
      </c>
      <c r="F72" s="3">
        <v>322.22000000000003</v>
      </c>
      <c r="G72" s="3">
        <v>3149770000</v>
      </c>
      <c r="I72" s="15">
        <f t="shared" si="0"/>
        <v>1.02482775743281</v>
      </c>
      <c r="J72" s="4">
        <f t="shared" si="1"/>
        <v>1.1644838929923655</v>
      </c>
      <c r="K72" s="4">
        <f t="shared" si="2"/>
        <v>1.8787474396375146</v>
      </c>
      <c r="L72" s="4">
        <f t="shared" si="3"/>
        <v>4.0809074545341693</v>
      </c>
      <c r="M72" s="4">
        <f t="shared" si="4"/>
        <v>3.877723294643411</v>
      </c>
      <c r="N72" s="4">
        <f t="shared" si="5"/>
        <v>3.6638011296629629</v>
      </c>
      <c r="O72" s="4">
        <f t="shared" si="6"/>
        <v>6.4564893550989995</v>
      </c>
      <c r="P72" s="4">
        <f t="shared" si="7"/>
        <v>11.239618893923407</v>
      </c>
      <c r="R72" s="4">
        <f t="shared" si="8"/>
        <v>1.1100000000000001</v>
      </c>
    </row>
    <row r="73" spans="1:18" ht="14.25" customHeight="1">
      <c r="A73" s="33">
        <v>33208</v>
      </c>
      <c r="B73" s="3">
        <v>330.22</v>
      </c>
      <c r="C73" s="3">
        <v>322.23</v>
      </c>
      <c r="D73" s="3">
        <v>333.98</v>
      </c>
      <c r="E73" s="3">
        <v>321.97000000000003</v>
      </c>
      <c r="F73" s="3">
        <v>330.22</v>
      </c>
      <c r="G73" s="3">
        <v>3116830000</v>
      </c>
      <c r="I73" s="15">
        <f t="shared" si="0"/>
        <v>1.0415177760281025</v>
      </c>
      <c r="J73" s="4">
        <f t="shared" si="1"/>
        <v>1.2630670462116163</v>
      </c>
      <c r="K73" s="4">
        <f t="shared" si="2"/>
        <v>1.8652110714069405</v>
      </c>
      <c r="L73" s="4">
        <f t="shared" si="3"/>
        <v>3.9981830294954874</v>
      </c>
      <c r="M73" s="4">
        <f t="shared" si="4"/>
        <v>3.7801768517957721</v>
      </c>
      <c r="N73" s="4">
        <f t="shared" si="5"/>
        <v>3.8084913088244199</v>
      </c>
      <c r="O73" s="4">
        <f t="shared" si="6"/>
        <v>6.189631154987584</v>
      </c>
      <c r="P73" s="4">
        <f t="shared" si="7"/>
        <v>11.374447338138211</v>
      </c>
      <c r="R73" s="4">
        <f t="shared" si="8"/>
        <v>1.1100000000000001</v>
      </c>
    </row>
    <row r="74" spans="1:18" ht="14.25" customHeight="1">
      <c r="A74" s="33">
        <v>33239</v>
      </c>
      <c r="B74" s="3">
        <v>343.93</v>
      </c>
      <c r="C74" s="3">
        <v>330.2</v>
      </c>
      <c r="D74" s="3">
        <v>343.93</v>
      </c>
      <c r="E74" s="3">
        <v>309.35000000000002</v>
      </c>
      <c r="F74" s="3">
        <v>343.93</v>
      </c>
      <c r="G74" s="3">
        <v>3660240000</v>
      </c>
      <c r="I74" s="15">
        <f t="shared" si="0"/>
        <v>1.0672811327886489</v>
      </c>
      <c r="J74" s="4">
        <f t="shared" si="1"/>
        <v>1.1885558107754484</v>
      </c>
      <c r="K74" s="4">
        <f t="shared" si="2"/>
        <v>1.8492716541156631</v>
      </c>
      <c r="L74" s="4">
        <f t="shared" si="3"/>
        <v>3.9717675108306922</v>
      </c>
      <c r="M74" s="4">
        <f t="shared" si="4"/>
        <v>3.7219201581717205</v>
      </c>
      <c r="N74" s="4">
        <f t="shared" si="5"/>
        <v>3.7394818713110221</v>
      </c>
      <c r="O74" s="4">
        <f t="shared" si="6"/>
        <v>5.6413805134765793</v>
      </c>
      <c r="P74" s="4">
        <f t="shared" si="7"/>
        <v>10.799406856046287</v>
      </c>
      <c r="R74" s="4">
        <f t="shared" si="8"/>
        <v>1.1100000000000001</v>
      </c>
    </row>
    <row r="75" spans="1:18" ht="14.25" customHeight="1">
      <c r="A75" s="33">
        <v>33270</v>
      </c>
      <c r="B75" s="3">
        <v>367.07</v>
      </c>
      <c r="C75" s="3">
        <v>343.91</v>
      </c>
      <c r="D75" s="3">
        <v>370.96</v>
      </c>
      <c r="E75" s="3">
        <v>340.37</v>
      </c>
      <c r="F75" s="3">
        <v>367.07</v>
      </c>
      <c r="G75" s="3">
        <v>4303170000</v>
      </c>
      <c r="I75" s="15">
        <f t="shared" si="0"/>
        <v>1.0222028495927209</v>
      </c>
      <c r="J75" s="4">
        <f t="shared" si="1"/>
        <v>1.1243087149589996</v>
      </c>
      <c r="K75" s="4">
        <f t="shared" si="2"/>
        <v>1.7447080938240662</v>
      </c>
      <c r="L75" s="4">
        <f t="shared" si="3"/>
        <v>3.377938812760509</v>
      </c>
      <c r="M75" s="4">
        <f t="shared" si="4"/>
        <v>3.4888713324434035</v>
      </c>
      <c r="N75" s="4">
        <f t="shared" si="5"/>
        <v>3.6157136241043943</v>
      </c>
      <c r="O75" s="4">
        <f t="shared" si="6"/>
        <v>5.2639278611708944</v>
      </c>
      <c r="P75" s="4">
        <f t="shared" si="7"/>
        <v>10.382624567521182</v>
      </c>
      <c r="R75" s="4">
        <f t="shared" si="8"/>
        <v>1.1100000000000001</v>
      </c>
    </row>
    <row r="76" spans="1:18" ht="14.25" customHeight="1">
      <c r="A76" s="33">
        <v>33298</v>
      </c>
      <c r="B76" s="3">
        <v>375.22</v>
      </c>
      <c r="C76" s="3">
        <v>367.07</v>
      </c>
      <c r="D76" s="3">
        <v>379.66</v>
      </c>
      <c r="E76" s="3">
        <v>363.73</v>
      </c>
      <c r="F76" s="3">
        <v>375.22</v>
      </c>
      <c r="G76" s="3">
        <v>3927920000</v>
      </c>
      <c r="I76" s="15">
        <f t="shared" si="0"/>
        <v>1.0003198123767389</v>
      </c>
      <c r="J76" s="4">
        <f t="shared" si="1"/>
        <v>1.0758754863813229</v>
      </c>
      <c r="K76" s="4">
        <f t="shared" si="2"/>
        <v>1.720324076541762</v>
      </c>
      <c r="L76" s="4">
        <f t="shared" si="3"/>
        <v>3.0923991258461698</v>
      </c>
      <c r="M76" s="4">
        <f t="shared" si="4"/>
        <v>3.4509621022333561</v>
      </c>
      <c r="N76" s="4">
        <f t="shared" si="5"/>
        <v>3.5334736954320127</v>
      </c>
      <c r="O76" s="4">
        <f t="shared" si="6"/>
        <v>5.4894195405362174</v>
      </c>
      <c r="P76" s="4">
        <f t="shared" si="7"/>
        <v>10.588161611854378</v>
      </c>
      <c r="R76" s="4">
        <f t="shared" si="8"/>
        <v>1.0758754863813229</v>
      </c>
    </row>
    <row r="77" spans="1:18" ht="14.25" customHeight="1">
      <c r="A77" s="33">
        <v>33329</v>
      </c>
      <c r="B77" s="3">
        <v>375.34</v>
      </c>
      <c r="C77" s="3">
        <v>375.22</v>
      </c>
      <c r="D77" s="3">
        <v>391.26</v>
      </c>
      <c r="E77" s="3">
        <v>370.27</v>
      </c>
      <c r="F77" s="3">
        <v>375.34</v>
      </c>
      <c r="G77" s="3">
        <v>4017200000</v>
      </c>
      <c r="I77" s="15">
        <f t="shared" si="0"/>
        <v>1.0386049981350243</v>
      </c>
      <c r="J77" s="4">
        <f t="shared" si="1"/>
        <v>1.105530985240049</v>
      </c>
      <c r="K77" s="4">
        <f t="shared" si="2"/>
        <v>1.742873128363617</v>
      </c>
      <c r="L77" s="4">
        <f t="shared" si="3"/>
        <v>3.3288751531944372</v>
      </c>
      <c r="M77" s="4">
        <f t="shared" si="4"/>
        <v>3.4917941066766134</v>
      </c>
      <c r="N77" s="4">
        <f t="shared" si="5"/>
        <v>3.6329994138647628</v>
      </c>
      <c r="O77" s="4">
        <f t="shared" si="6"/>
        <v>5.5024777535034914</v>
      </c>
      <c r="P77" s="4">
        <f t="shared" si="7"/>
        <v>11.139686684073109</v>
      </c>
      <c r="R77" s="4">
        <f t="shared" si="8"/>
        <v>1.105530985240049</v>
      </c>
    </row>
    <row r="78" spans="1:18" ht="14.25" customHeight="1">
      <c r="A78" s="33">
        <v>33359</v>
      </c>
      <c r="B78" s="3">
        <v>389.83</v>
      </c>
      <c r="C78" s="3">
        <v>375.35</v>
      </c>
      <c r="D78" s="3">
        <v>389.85</v>
      </c>
      <c r="E78" s="3">
        <v>365.83</v>
      </c>
      <c r="F78" s="3">
        <v>389.83</v>
      </c>
      <c r="G78" s="3">
        <v>3739700000</v>
      </c>
      <c r="I78" s="15">
        <f t="shared" si="0"/>
        <v>0.95210732883564642</v>
      </c>
      <c r="J78" s="4">
        <f t="shared" si="1"/>
        <v>1.0654644332144783</v>
      </c>
      <c r="K78" s="4">
        <f t="shared" si="2"/>
        <v>1.7164404997049998</v>
      </c>
      <c r="L78" s="4">
        <f t="shared" si="3"/>
        <v>3.2214555062463126</v>
      </c>
      <c r="M78" s="4">
        <f t="shared" si="4"/>
        <v>3.2580612061667904</v>
      </c>
      <c r="N78" s="4">
        <f t="shared" si="5"/>
        <v>3.4507349357412207</v>
      </c>
      <c r="O78" s="4">
        <f t="shared" si="6"/>
        <v>5.3791396249647283</v>
      </c>
      <c r="P78" s="4">
        <f t="shared" si="7"/>
        <v>10.784470153656722</v>
      </c>
      <c r="R78" s="4">
        <f t="shared" si="8"/>
        <v>1.0654644332144783</v>
      </c>
    </row>
    <row r="79" spans="1:18" ht="14.25" customHeight="1">
      <c r="A79" s="33">
        <v>33390</v>
      </c>
      <c r="B79" s="3">
        <v>371.16</v>
      </c>
      <c r="C79" s="3">
        <v>389.81</v>
      </c>
      <c r="D79" s="3">
        <v>389.81</v>
      </c>
      <c r="E79" s="3">
        <v>367.98</v>
      </c>
      <c r="F79" s="3">
        <v>371.16</v>
      </c>
      <c r="G79" s="3">
        <v>3258730000</v>
      </c>
      <c r="I79" s="15">
        <f t="shared" si="0"/>
        <v>1.0448593598448108</v>
      </c>
      <c r="J79" s="4">
        <f t="shared" si="1"/>
        <v>1.0996335812048712</v>
      </c>
      <c r="K79" s="4">
        <f t="shared" si="2"/>
        <v>1.8068487983618924</v>
      </c>
      <c r="L79" s="4">
        <f t="shared" si="3"/>
        <v>3.2987929733807522</v>
      </c>
      <c r="M79" s="4">
        <f t="shared" si="4"/>
        <v>3.4222437762689943</v>
      </c>
      <c r="N79" s="4">
        <f t="shared" si="5"/>
        <v>3.5581420411682294</v>
      </c>
      <c r="O79" s="4">
        <f t="shared" si="6"/>
        <v>5.6548658260588427</v>
      </c>
      <c r="P79" s="4">
        <f t="shared" si="7"/>
        <v>11.578564500484966</v>
      </c>
      <c r="R79" s="4">
        <f t="shared" si="8"/>
        <v>1.0996335812048712</v>
      </c>
    </row>
    <row r="80" spans="1:18" ht="14.25" customHeight="1">
      <c r="A80" s="33">
        <v>33420</v>
      </c>
      <c r="B80" s="3">
        <v>387.81</v>
      </c>
      <c r="C80" s="3">
        <v>371.18</v>
      </c>
      <c r="D80" s="3">
        <v>387.81</v>
      </c>
      <c r="E80" s="3">
        <v>370.92</v>
      </c>
      <c r="F80" s="3">
        <v>387.81</v>
      </c>
      <c r="G80" s="3">
        <v>3481570000</v>
      </c>
      <c r="I80" s="15">
        <f t="shared" si="0"/>
        <v>1.0196487970913592</v>
      </c>
      <c r="J80" s="4">
        <f t="shared" si="1"/>
        <v>1.0938603955545241</v>
      </c>
      <c r="K80" s="4">
        <f t="shared" si="2"/>
        <v>1.6501637399757614</v>
      </c>
      <c r="L80" s="4">
        <f t="shared" si="3"/>
        <v>3.1232562337226994</v>
      </c>
      <c r="M80" s="4">
        <f t="shared" si="4"/>
        <v>3.2919728733142519</v>
      </c>
      <c r="N80" s="4">
        <f t="shared" si="5"/>
        <v>3.3322503287692427</v>
      </c>
      <c r="O80" s="4">
        <f t="shared" si="6"/>
        <v>5.6048064773987258</v>
      </c>
      <c r="P80" s="4">
        <f t="shared" si="7"/>
        <v>11.333539619916969</v>
      </c>
      <c r="R80" s="4">
        <f t="shared" si="8"/>
        <v>1.0938603955545241</v>
      </c>
    </row>
    <row r="81" spans="1:18" ht="14.25" customHeight="1">
      <c r="A81" s="33">
        <v>33451</v>
      </c>
      <c r="B81" s="3">
        <v>395.43</v>
      </c>
      <c r="C81" s="3">
        <v>387.81</v>
      </c>
      <c r="D81" s="3">
        <v>396.82</v>
      </c>
      <c r="E81" s="3">
        <v>374.09</v>
      </c>
      <c r="F81" s="3">
        <v>395.43</v>
      </c>
      <c r="G81" s="3">
        <v>3713820000</v>
      </c>
      <c r="I81" s="15">
        <f t="shared" si="0"/>
        <v>0.98085628303365957</v>
      </c>
      <c r="J81" s="4">
        <f t="shared" si="1"/>
        <v>1.0470374023215234</v>
      </c>
      <c r="K81" s="4">
        <f t="shared" si="2"/>
        <v>1.6488126849252711</v>
      </c>
      <c r="L81" s="4">
        <f t="shared" si="3"/>
        <v>2.8667020711630373</v>
      </c>
      <c r="M81" s="4">
        <f t="shared" si="4"/>
        <v>3.2972207470348733</v>
      </c>
      <c r="N81" s="4">
        <f t="shared" si="5"/>
        <v>3.0824418986925628</v>
      </c>
      <c r="O81" s="4">
        <f t="shared" si="6"/>
        <v>5.4900993854790983</v>
      </c>
      <c r="P81" s="4">
        <f t="shared" si="7"/>
        <v>11.43737197481223</v>
      </c>
      <c r="R81" s="4">
        <f t="shared" si="8"/>
        <v>1.0470374023215234</v>
      </c>
    </row>
    <row r="82" spans="1:18" ht="14.25" customHeight="1">
      <c r="A82" s="33">
        <v>33482</v>
      </c>
      <c r="B82" s="3">
        <v>387.86</v>
      </c>
      <c r="C82" s="3">
        <v>395.43</v>
      </c>
      <c r="D82" s="3">
        <v>397.62</v>
      </c>
      <c r="E82" s="3">
        <v>382.77</v>
      </c>
      <c r="F82" s="3">
        <v>387.86</v>
      </c>
      <c r="G82" s="3">
        <v>3260990000</v>
      </c>
      <c r="I82" s="15">
        <f t="shared" si="0"/>
        <v>1.0118341669674624</v>
      </c>
      <c r="J82" s="4">
        <f t="shared" si="1"/>
        <v>1.0771928015263239</v>
      </c>
      <c r="K82" s="4">
        <f t="shared" si="2"/>
        <v>1.7721084927551178</v>
      </c>
      <c r="L82" s="4">
        <f t="shared" si="3"/>
        <v>2.6838034342288455</v>
      </c>
      <c r="M82" s="4">
        <f t="shared" si="4"/>
        <v>3.4441551075130197</v>
      </c>
      <c r="N82" s="4">
        <f t="shared" si="5"/>
        <v>2.9170834837312434</v>
      </c>
      <c r="O82" s="4">
        <f t="shared" si="6"/>
        <v>5.5903418759346151</v>
      </c>
      <c r="P82" s="4">
        <f t="shared" si="7"/>
        <v>11.105914505233846</v>
      </c>
      <c r="R82" s="4">
        <f t="shared" si="8"/>
        <v>1.0771928015263239</v>
      </c>
    </row>
    <row r="83" spans="1:18" ht="14.25" customHeight="1">
      <c r="A83" s="33">
        <v>33512</v>
      </c>
      <c r="B83" s="3">
        <v>392.45</v>
      </c>
      <c r="C83" s="3">
        <v>387.86</v>
      </c>
      <c r="D83" s="3">
        <v>393.81</v>
      </c>
      <c r="E83" s="3">
        <v>376.11</v>
      </c>
      <c r="F83" s="3">
        <v>392.45</v>
      </c>
      <c r="G83" s="3">
        <v>4082380000</v>
      </c>
      <c r="I83" s="15">
        <f t="shared" si="0"/>
        <v>0.95609631800229333</v>
      </c>
      <c r="J83" s="4">
        <f t="shared" si="1"/>
        <v>1.0668365396865844</v>
      </c>
      <c r="K83" s="4">
        <f t="shared" si="2"/>
        <v>1.7970951713594088</v>
      </c>
      <c r="L83" s="4">
        <f t="shared" si="3"/>
        <v>2.700420435724296</v>
      </c>
      <c r="M83" s="4">
        <f t="shared" si="4"/>
        <v>3.511122435979106</v>
      </c>
      <c r="N83" s="4">
        <f t="shared" si="5"/>
        <v>3.1935278379411391</v>
      </c>
      <c r="O83" s="4">
        <f t="shared" si="6"/>
        <v>5.4176328194674488</v>
      </c>
      <c r="P83" s="4">
        <f t="shared" si="7"/>
        <v>11.734947127022551</v>
      </c>
      <c r="R83" s="4">
        <f t="shared" si="8"/>
        <v>1.0668365396865844</v>
      </c>
    </row>
    <row r="84" spans="1:18" ht="14.25" customHeight="1">
      <c r="A84" s="33">
        <v>33543</v>
      </c>
      <c r="B84" s="3">
        <v>375.22</v>
      </c>
      <c r="C84" s="3">
        <v>392.46</v>
      </c>
      <c r="D84" s="3">
        <v>398.22</v>
      </c>
      <c r="E84" s="3">
        <v>371.63</v>
      </c>
      <c r="F84" s="3">
        <v>375.22</v>
      </c>
      <c r="G84" s="3">
        <v>3737620000</v>
      </c>
      <c r="I84" s="15">
        <f t="shared" si="0"/>
        <v>1.1115878684505089</v>
      </c>
      <c r="J84" s="4">
        <f t="shared" si="1"/>
        <v>1.1495922392196578</v>
      </c>
      <c r="K84" s="4">
        <f t="shared" si="2"/>
        <v>2.0175363786578537</v>
      </c>
      <c r="L84" s="4">
        <f t="shared" si="3"/>
        <v>3.0367517722935875</v>
      </c>
      <c r="M84" s="4">
        <f t="shared" si="4"/>
        <v>3.7328234102659774</v>
      </c>
      <c r="N84" s="4">
        <f t="shared" si="5"/>
        <v>3.3232770108203185</v>
      </c>
      <c r="O84" s="4">
        <f t="shared" si="6"/>
        <v>5.8600554341453011</v>
      </c>
      <c r="P84" s="4">
        <f t="shared" si="7"/>
        <v>12.171526038057673</v>
      </c>
      <c r="R84" s="4">
        <f t="shared" si="8"/>
        <v>1.1100000000000001</v>
      </c>
    </row>
    <row r="85" spans="1:18" ht="14.25" customHeight="1">
      <c r="A85" s="33">
        <v>33573</v>
      </c>
      <c r="B85" s="3">
        <v>417.09</v>
      </c>
      <c r="C85" s="3">
        <v>375.11</v>
      </c>
      <c r="D85" s="3">
        <v>418.32</v>
      </c>
      <c r="E85" s="3">
        <v>371.36</v>
      </c>
      <c r="F85" s="3">
        <v>417.09</v>
      </c>
      <c r="G85" s="3">
        <v>4155310000</v>
      </c>
      <c r="I85" s="15">
        <f t="shared" si="0"/>
        <v>0.98007624253758185</v>
      </c>
      <c r="J85" s="4">
        <f t="shared" si="1"/>
        <v>1.0446426430746363</v>
      </c>
      <c r="K85" s="4">
        <f t="shared" si="2"/>
        <v>1.7759716128413534</v>
      </c>
      <c r="L85" s="4">
        <f t="shared" si="3"/>
        <v>2.7525953631110793</v>
      </c>
      <c r="M85" s="4">
        <f t="shared" si="4"/>
        <v>3.4004651274305306</v>
      </c>
      <c r="N85" s="4">
        <f t="shared" si="5"/>
        <v>3.0151765805941162</v>
      </c>
      <c r="O85" s="4">
        <f t="shared" si="6"/>
        <v>5.3677383778081467</v>
      </c>
      <c r="P85" s="4">
        <f t="shared" si="7"/>
        <v>11.427221942506415</v>
      </c>
      <c r="R85" s="4">
        <f t="shared" si="8"/>
        <v>1.0446426430746363</v>
      </c>
    </row>
    <row r="86" spans="1:18" ht="14.25" customHeight="1">
      <c r="A86" s="33">
        <v>33604</v>
      </c>
      <c r="B86" s="3">
        <v>408.78</v>
      </c>
      <c r="C86" s="3">
        <v>417.03</v>
      </c>
      <c r="D86" s="3">
        <v>421.18</v>
      </c>
      <c r="E86" s="3">
        <v>408.64</v>
      </c>
      <c r="F86" s="3">
        <v>408.78</v>
      </c>
      <c r="G86" s="3">
        <v>5286280000</v>
      </c>
      <c r="I86" s="15">
        <f t="shared" si="0"/>
        <v>1.0095895102500123</v>
      </c>
      <c r="J86" s="4">
        <f t="shared" si="1"/>
        <v>1.073389109056216</v>
      </c>
      <c r="K86" s="4">
        <f t="shared" si="2"/>
        <v>1.9231860658544939</v>
      </c>
      <c r="L86" s="4">
        <f t="shared" si="3"/>
        <v>2.7648123685111798</v>
      </c>
      <c r="M86" s="4">
        <f t="shared" si="4"/>
        <v>3.5183717403004064</v>
      </c>
      <c r="N86" s="4">
        <f t="shared" si="5"/>
        <v>3.2105533538822844</v>
      </c>
      <c r="O86" s="4">
        <f t="shared" si="6"/>
        <v>5.5748079651646361</v>
      </c>
      <c r="P86" s="4">
        <f t="shared" si="7"/>
        <v>11.046406379959882</v>
      </c>
      <c r="R86" s="4">
        <f t="shared" si="8"/>
        <v>1.073389109056216</v>
      </c>
    </row>
    <row r="87" spans="1:18" ht="14.25" customHeight="1">
      <c r="A87" s="33">
        <v>33635</v>
      </c>
      <c r="B87" s="3">
        <v>412.7</v>
      </c>
      <c r="C87" s="3">
        <v>408.79</v>
      </c>
      <c r="D87" s="3">
        <v>418.08</v>
      </c>
      <c r="E87" s="3">
        <v>406.34</v>
      </c>
      <c r="F87" s="3">
        <v>412.7</v>
      </c>
      <c r="G87" s="3">
        <v>4267610000</v>
      </c>
      <c r="I87" s="15">
        <f t="shared" si="0"/>
        <v>0.9781681608916889</v>
      </c>
      <c r="J87" s="4">
        <f t="shared" si="1"/>
        <v>1.0743397140780229</v>
      </c>
      <c r="K87" s="4">
        <f t="shared" si="2"/>
        <v>1.9162103222679914</v>
      </c>
      <c r="L87" s="4">
        <f t="shared" si="3"/>
        <v>2.6816816089168891</v>
      </c>
      <c r="M87" s="4">
        <f t="shared" si="4"/>
        <v>3.4088199660770533</v>
      </c>
      <c r="N87" s="4">
        <f t="shared" si="5"/>
        <v>3.3091349648655202</v>
      </c>
      <c r="O87" s="4">
        <f t="shared" si="6"/>
        <v>5.7272595105403443</v>
      </c>
      <c r="P87" s="4">
        <f t="shared" si="7"/>
        <v>10.59835231402956</v>
      </c>
      <c r="R87" s="4">
        <f t="shared" si="8"/>
        <v>1.0743397140780229</v>
      </c>
    </row>
    <row r="88" spans="1:18" ht="14.25" customHeight="1">
      <c r="A88" s="33">
        <v>33664</v>
      </c>
      <c r="B88" s="3">
        <v>403.69</v>
      </c>
      <c r="C88" s="3">
        <v>412.68</v>
      </c>
      <c r="D88" s="3">
        <v>413.78</v>
      </c>
      <c r="E88" s="3">
        <v>401.94</v>
      </c>
      <c r="F88" s="3">
        <v>403.69</v>
      </c>
      <c r="G88" s="3">
        <v>4066240000</v>
      </c>
      <c r="I88" s="15">
        <f t="shared" si="0"/>
        <v>1.0278926899353464</v>
      </c>
      <c r="J88" s="4">
        <f t="shared" si="1"/>
        <v>1.1188535757635809</v>
      </c>
      <c r="K88" s="4">
        <f t="shared" si="2"/>
        <v>1.8754985260967574</v>
      </c>
      <c r="L88" s="4">
        <f t="shared" si="3"/>
        <v>2.842255195818574</v>
      </c>
      <c r="M88" s="4">
        <f t="shared" si="4"/>
        <v>3.5196809432980749</v>
      </c>
      <c r="N88" s="4">
        <f t="shared" si="5"/>
        <v>3.488989075775967</v>
      </c>
      <c r="O88" s="4">
        <f t="shared" si="6"/>
        <v>5.8528078476058356</v>
      </c>
      <c r="P88" s="4">
        <f t="shared" si="7"/>
        <v>11.222497460922986</v>
      </c>
      <c r="R88" s="4">
        <f t="shared" si="8"/>
        <v>1.1100000000000001</v>
      </c>
    </row>
    <row r="89" spans="1:18" ht="14.25" customHeight="1">
      <c r="A89" s="33">
        <v>33695</v>
      </c>
      <c r="B89" s="3">
        <v>414.95</v>
      </c>
      <c r="C89" s="3">
        <v>403.67</v>
      </c>
      <c r="D89" s="3">
        <v>416.28</v>
      </c>
      <c r="E89" s="3">
        <v>392.41</v>
      </c>
      <c r="F89" s="3">
        <v>414.95</v>
      </c>
      <c r="G89" s="3">
        <v>4315840000</v>
      </c>
      <c r="I89" s="15">
        <f t="shared" si="0"/>
        <v>1.0009639715628389</v>
      </c>
      <c r="J89" s="4">
        <f t="shared" si="1"/>
        <v>1.0608266056151343</v>
      </c>
      <c r="K89" s="4">
        <f t="shared" si="2"/>
        <v>1.9311724304133029</v>
      </c>
      <c r="L89" s="4">
        <f t="shared" si="3"/>
        <v>2.5953006386311608</v>
      </c>
      <c r="M89" s="4">
        <f t="shared" si="4"/>
        <v>3.5724063140137363</v>
      </c>
      <c r="N89" s="4">
        <f t="shared" si="5"/>
        <v>3.3688637185203039</v>
      </c>
      <c r="O89" s="4">
        <f t="shared" si="6"/>
        <v>5.7457525003012409</v>
      </c>
      <c r="P89" s="4">
        <f t="shared" si="7"/>
        <v>9.9576575491023025</v>
      </c>
      <c r="R89" s="4">
        <f t="shared" si="8"/>
        <v>1.0608266056151343</v>
      </c>
    </row>
    <row r="90" spans="1:18" ht="14.25" customHeight="1">
      <c r="A90" s="33">
        <v>33725</v>
      </c>
      <c r="B90" s="3">
        <v>415.35</v>
      </c>
      <c r="C90" s="3">
        <v>414.95</v>
      </c>
      <c r="D90" s="3">
        <v>418.75</v>
      </c>
      <c r="E90" s="3">
        <v>409.85</v>
      </c>
      <c r="F90" s="3">
        <v>415.35</v>
      </c>
      <c r="G90" s="3">
        <v>3643980000</v>
      </c>
      <c r="I90" s="15">
        <f t="shared" si="0"/>
        <v>0.9826411460214276</v>
      </c>
      <c r="J90" s="4">
        <f t="shared" si="1"/>
        <v>1.0838810641627543</v>
      </c>
      <c r="K90" s="4">
        <f t="shared" si="2"/>
        <v>2.0423257493680027</v>
      </c>
      <c r="L90" s="4">
        <f t="shared" si="3"/>
        <v>2.5692548453111836</v>
      </c>
      <c r="M90" s="4">
        <f t="shared" si="4"/>
        <v>3.6851330203442876</v>
      </c>
      <c r="N90" s="4">
        <f t="shared" si="5"/>
        <v>3.1547610449018895</v>
      </c>
      <c r="O90" s="4">
        <f t="shared" si="6"/>
        <v>5.8066690742747085</v>
      </c>
      <c r="P90" s="4">
        <f t="shared" si="7"/>
        <v>9.9273865414710478</v>
      </c>
      <c r="R90" s="4">
        <f t="shared" si="8"/>
        <v>1.0838810641627543</v>
      </c>
    </row>
    <row r="91" spans="1:18" ht="14.25" customHeight="1">
      <c r="A91" s="33">
        <v>33756</v>
      </c>
      <c r="B91" s="3">
        <v>408.14</v>
      </c>
      <c r="C91" s="3">
        <v>415.35</v>
      </c>
      <c r="D91" s="3">
        <v>417.3</v>
      </c>
      <c r="E91" s="3">
        <v>399.92</v>
      </c>
      <c r="F91" s="3">
        <v>408.14</v>
      </c>
      <c r="G91" s="3">
        <v>4259830000</v>
      </c>
      <c r="I91" s="15">
        <f t="shared" si="0"/>
        <v>1.0393737443034252</v>
      </c>
      <c r="J91" s="4">
        <f t="shared" si="1"/>
        <v>1.1038614201009458</v>
      </c>
      <c r="K91" s="4">
        <f t="shared" si="2"/>
        <v>2.1687166168471603</v>
      </c>
      <c r="L91" s="4">
        <f t="shared" si="3"/>
        <v>2.4251972362424659</v>
      </c>
      <c r="M91" s="4">
        <f t="shared" si="4"/>
        <v>3.683417454794923</v>
      </c>
      <c r="N91" s="4">
        <f t="shared" si="5"/>
        <v>3.3374822364874799</v>
      </c>
      <c r="O91" s="4">
        <f t="shared" si="6"/>
        <v>5.9376929484980643</v>
      </c>
      <c r="P91" s="4">
        <f t="shared" si="7"/>
        <v>10.102758857254864</v>
      </c>
      <c r="R91" s="4">
        <f t="shared" si="8"/>
        <v>1.1038614201009458</v>
      </c>
    </row>
    <row r="92" spans="1:18" ht="14.25" customHeight="1">
      <c r="A92" s="33">
        <v>33786</v>
      </c>
      <c r="B92" s="3">
        <v>424.21</v>
      </c>
      <c r="C92" s="3">
        <v>408.2</v>
      </c>
      <c r="D92" s="3">
        <v>424.8</v>
      </c>
      <c r="E92" s="3">
        <v>407.2</v>
      </c>
      <c r="F92" s="3">
        <v>424.21</v>
      </c>
      <c r="G92" s="3">
        <v>4265220000</v>
      </c>
      <c r="I92" s="15">
        <f t="shared" si="0"/>
        <v>0.9760024516159449</v>
      </c>
      <c r="J92" s="4">
        <f t="shared" si="1"/>
        <v>1.0563871667334575</v>
      </c>
      <c r="K92" s="4">
        <f t="shared" si="2"/>
        <v>2.2496169350086044</v>
      </c>
      <c r="L92" s="4">
        <f t="shared" si="3"/>
        <v>2.1489828151151555</v>
      </c>
      <c r="M92" s="4">
        <f t="shared" si="4"/>
        <v>3.4305414770986071</v>
      </c>
      <c r="N92" s="4">
        <f t="shared" si="5"/>
        <v>3.2515027934277834</v>
      </c>
      <c r="O92" s="4">
        <f t="shared" si="6"/>
        <v>5.8232950661229115</v>
      </c>
      <c r="P92" s="4"/>
      <c r="R92" s="4">
        <f t="shared" si="8"/>
        <v>1.0563871667334575</v>
      </c>
    </row>
    <row r="93" spans="1:18" ht="14.25" customHeight="1">
      <c r="A93" s="33">
        <v>33817</v>
      </c>
      <c r="B93" s="3">
        <v>414.03</v>
      </c>
      <c r="C93" s="3">
        <v>424.19</v>
      </c>
      <c r="D93" s="3">
        <v>425.14</v>
      </c>
      <c r="E93" s="3">
        <v>408.3</v>
      </c>
      <c r="F93" s="3">
        <v>414.03</v>
      </c>
      <c r="G93" s="3">
        <v>3653820000</v>
      </c>
      <c r="I93" s="15">
        <f t="shared" si="0"/>
        <v>1.0091056203656741</v>
      </c>
      <c r="J93" s="4">
        <f t="shared" si="1"/>
        <v>1.1196290123904065</v>
      </c>
      <c r="K93" s="4">
        <f t="shared" si="2"/>
        <v>2.1724754244861484</v>
      </c>
      <c r="L93" s="4">
        <f t="shared" si="3"/>
        <v>2.2125691375021135</v>
      </c>
      <c r="M93" s="4">
        <f t="shared" si="4"/>
        <v>3.5601043402651986</v>
      </c>
      <c r="N93" s="4">
        <f t="shared" si="5"/>
        <v>3.3972900514455473</v>
      </c>
      <c r="O93" s="4">
        <f t="shared" si="6"/>
        <v>5.9697364925246967</v>
      </c>
      <c r="P93" s="4"/>
      <c r="R93" s="4">
        <f t="shared" si="8"/>
        <v>1.1100000000000001</v>
      </c>
    </row>
    <row r="94" spans="1:18" ht="14.25" customHeight="1">
      <c r="A94" s="33">
        <v>33848</v>
      </c>
      <c r="B94" s="3">
        <v>417.8</v>
      </c>
      <c r="C94" s="3">
        <v>414.03</v>
      </c>
      <c r="D94" s="3">
        <v>425.27</v>
      </c>
      <c r="E94" s="3">
        <v>412.71</v>
      </c>
      <c r="F94" s="3">
        <v>417.8</v>
      </c>
      <c r="G94" s="3">
        <v>4023850000</v>
      </c>
      <c r="I94" s="15">
        <f t="shared" si="0"/>
        <v>1.0021062709430348</v>
      </c>
      <c r="J94" s="4">
        <f t="shared" si="1"/>
        <v>1.0984442316898038</v>
      </c>
      <c r="K94" s="4">
        <f t="shared" si="2"/>
        <v>2.2673049305887982</v>
      </c>
      <c r="L94" s="4">
        <f t="shared" si="3"/>
        <v>1.9513642891335565</v>
      </c>
      <c r="M94" s="4">
        <f t="shared" si="4"/>
        <v>3.6542604116802297</v>
      </c>
      <c r="N94" s="4">
        <f t="shared" si="5"/>
        <v>3.4482288176160845</v>
      </c>
      <c r="O94" s="4">
        <f t="shared" si="6"/>
        <v>6.0300622307324083</v>
      </c>
      <c r="P94" s="4"/>
      <c r="R94" s="4">
        <f t="shared" si="8"/>
        <v>1.0984442316898038</v>
      </c>
    </row>
    <row r="95" spans="1:18" ht="14.25" customHeight="1">
      <c r="A95" s="33">
        <v>33878</v>
      </c>
      <c r="B95" s="3">
        <v>418.68</v>
      </c>
      <c r="C95" s="3">
        <v>417.8</v>
      </c>
      <c r="D95" s="3">
        <v>421.16</v>
      </c>
      <c r="E95" s="3">
        <v>396.8</v>
      </c>
      <c r="F95" s="3">
        <v>418.68</v>
      </c>
      <c r="G95" s="3">
        <v>4507010000</v>
      </c>
      <c r="I95" s="15">
        <f t="shared" si="0"/>
        <v>1.0302617751027037</v>
      </c>
      <c r="J95" s="4">
        <f t="shared" si="1"/>
        <v>1.1173927581924141</v>
      </c>
      <c r="K95" s="4">
        <f t="shared" si="2"/>
        <v>2.1845323397344032</v>
      </c>
      <c r="L95" s="4">
        <f t="shared" si="3"/>
        <v>2.115601413967708</v>
      </c>
      <c r="M95" s="4">
        <f t="shared" si="4"/>
        <v>3.7006305531670969</v>
      </c>
      <c r="N95" s="4">
        <f t="shared" si="5"/>
        <v>3.372886213814847</v>
      </c>
      <c r="O95" s="4">
        <f t="shared" si="6"/>
        <v>6.1509028374892525</v>
      </c>
      <c r="P95" s="4"/>
      <c r="R95" s="4">
        <f t="shared" si="8"/>
        <v>1.1100000000000001</v>
      </c>
    </row>
    <row r="96" spans="1:18" ht="14.25" customHeight="1">
      <c r="A96" s="33">
        <v>33909</v>
      </c>
      <c r="B96" s="3">
        <v>431.35</v>
      </c>
      <c r="C96" s="3">
        <v>418.66</v>
      </c>
      <c r="D96" s="3">
        <v>431.93</v>
      </c>
      <c r="E96" s="3">
        <v>415.58</v>
      </c>
      <c r="F96" s="3">
        <v>431.35</v>
      </c>
      <c r="G96" s="3">
        <v>4148770000</v>
      </c>
      <c r="I96" s="15">
        <f t="shared" si="0"/>
        <v>1.0101078010896023</v>
      </c>
      <c r="J96" s="4">
        <f t="shared" si="1"/>
        <v>1.0705691433870406</v>
      </c>
      <c r="K96" s="4">
        <f t="shared" si="2"/>
        <v>2.2149066883041613</v>
      </c>
      <c r="L96" s="4">
        <f t="shared" si="3"/>
        <v>2.1706502839921176</v>
      </c>
      <c r="M96" s="4">
        <f t="shared" si="4"/>
        <v>3.4337313086820447</v>
      </c>
      <c r="N96" s="4">
        <f t="shared" si="5"/>
        <v>3.2831343456589774</v>
      </c>
      <c r="O96" s="4">
        <f t="shared" si="6"/>
        <v>6.137892662570998</v>
      </c>
      <c r="P96" s="4"/>
      <c r="R96" s="4">
        <f t="shared" si="8"/>
        <v>1.0705691433870406</v>
      </c>
    </row>
    <row r="97" spans="1:18" ht="14.25" customHeight="1">
      <c r="A97" s="33">
        <v>33939</v>
      </c>
      <c r="B97" s="3">
        <v>435.71</v>
      </c>
      <c r="C97" s="3">
        <v>431.35</v>
      </c>
      <c r="D97" s="3">
        <v>442.65</v>
      </c>
      <c r="E97" s="3">
        <v>428.61</v>
      </c>
      <c r="F97" s="3">
        <v>435.71</v>
      </c>
      <c r="G97" s="3">
        <v>4876150000</v>
      </c>
      <c r="I97" s="15">
        <f t="shared" si="0"/>
        <v>1.0070459709439765</v>
      </c>
      <c r="J97" s="4">
        <f t="shared" si="1"/>
        <v>1.0705515136214454</v>
      </c>
      <c r="K97" s="4">
        <f t="shared" si="2"/>
        <v>2.2272383007045971</v>
      </c>
      <c r="L97" s="4">
        <f t="shared" si="3"/>
        <v>2.0192788781529001</v>
      </c>
      <c r="M97" s="4">
        <f t="shared" si="4"/>
        <v>3.3700397053085767</v>
      </c>
      <c r="N97" s="4">
        <f t="shared" si="5"/>
        <v>3.2732551467719357</v>
      </c>
      <c r="O97" s="4">
        <f t="shared" si="6"/>
        <v>6.1362144545684059</v>
      </c>
      <c r="P97" s="4"/>
      <c r="R97" s="4">
        <f t="shared" si="8"/>
        <v>1.0705515136214454</v>
      </c>
    </row>
    <row r="98" spans="1:18" ht="14.25" customHeight="1">
      <c r="A98" s="33">
        <v>33970</v>
      </c>
      <c r="B98" s="3">
        <v>438.78</v>
      </c>
      <c r="C98" s="3">
        <v>435.7</v>
      </c>
      <c r="D98" s="3">
        <v>442.66</v>
      </c>
      <c r="E98" s="3">
        <v>426.88</v>
      </c>
      <c r="F98" s="3">
        <v>438.78</v>
      </c>
      <c r="G98" s="3">
        <v>5280850000</v>
      </c>
      <c r="I98" s="15">
        <f t="shared" si="0"/>
        <v>1.0104836136560464</v>
      </c>
      <c r="J98" s="4">
        <f t="shared" si="1"/>
        <v>1.0976115593235791</v>
      </c>
      <c r="K98" s="4">
        <f t="shared" si="2"/>
        <v>2.2341036510324082</v>
      </c>
      <c r="L98" s="4">
        <f t="shared" si="3"/>
        <v>1.9501800446693105</v>
      </c>
      <c r="M98" s="4">
        <f t="shared" si="4"/>
        <v>3.1417794794657916</v>
      </c>
      <c r="N98" s="4">
        <f t="shared" si="5"/>
        <v>3.4142622726651171</v>
      </c>
      <c r="O98" s="4">
        <f t="shared" si="6"/>
        <v>6.4355941474087244</v>
      </c>
      <c r="P98" s="4"/>
      <c r="R98" s="4">
        <f t="shared" si="8"/>
        <v>1.0976115593235791</v>
      </c>
    </row>
    <row r="99" spans="1:18" ht="14.25" customHeight="1">
      <c r="A99" s="33">
        <v>34001</v>
      </c>
      <c r="B99" s="3">
        <v>443.38</v>
      </c>
      <c r="C99" s="3">
        <v>438.78</v>
      </c>
      <c r="D99" s="3">
        <v>450.04</v>
      </c>
      <c r="E99" s="3">
        <v>428.25</v>
      </c>
      <c r="F99" s="3">
        <v>443.38</v>
      </c>
      <c r="G99" s="3">
        <v>5442450000</v>
      </c>
      <c r="I99" s="15">
        <f t="shared" si="0"/>
        <v>1.0186972799855656</v>
      </c>
      <c r="J99" s="4">
        <f t="shared" si="1"/>
        <v>1.0535883440840814</v>
      </c>
      <c r="K99" s="4">
        <f t="shared" si="2"/>
        <v>2.3666832062790379</v>
      </c>
      <c r="L99" s="4">
        <f t="shared" si="3"/>
        <v>1.8971311290540844</v>
      </c>
      <c r="M99" s="4">
        <f t="shared" si="4"/>
        <v>3.0011051468266503</v>
      </c>
      <c r="N99" s="4">
        <f t="shared" si="5"/>
        <v>3.416211827326447</v>
      </c>
      <c r="O99" s="4">
        <f t="shared" si="6"/>
        <v>6.120776760341017</v>
      </c>
      <c r="P99" s="4"/>
      <c r="R99" s="4">
        <f t="shared" si="8"/>
        <v>1.0535883440840814</v>
      </c>
    </row>
    <row r="100" spans="1:18" ht="14.25" customHeight="1">
      <c r="A100" s="33">
        <v>34029</v>
      </c>
      <c r="B100" s="3">
        <v>451.67</v>
      </c>
      <c r="C100" s="3">
        <v>443.38</v>
      </c>
      <c r="D100" s="3">
        <v>456.76</v>
      </c>
      <c r="E100" s="3">
        <v>441.07</v>
      </c>
      <c r="F100" s="3">
        <v>451.67</v>
      </c>
      <c r="G100" s="3">
        <v>5766950000</v>
      </c>
      <c r="I100" s="15">
        <f t="shared" si="0"/>
        <v>0.97458321340801912</v>
      </c>
      <c r="J100" s="4">
        <f t="shared" si="1"/>
        <v>0.9869373657758983</v>
      </c>
      <c r="K100" s="4">
        <f t="shared" si="2"/>
        <v>2.439280890915934</v>
      </c>
      <c r="L100" s="4">
        <f t="shared" si="3"/>
        <v>1.8778754400336528</v>
      </c>
      <c r="M100" s="4">
        <f t="shared" si="4"/>
        <v>2.9284654725795383</v>
      </c>
      <c r="N100" s="4">
        <f t="shared" si="5"/>
        <v>3.4741957623928976</v>
      </c>
      <c r="O100" s="4">
        <f t="shared" si="6"/>
        <v>5.8469014988819268</v>
      </c>
      <c r="P100" s="4"/>
      <c r="R100" s="4">
        <f t="shared" si="8"/>
        <v>1</v>
      </c>
    </row>
    <row r="101" spans="1:18" ht="14.25" customHeight="1">
      <c r="A101" s="33">
        <v>34060</v>
      </c>
      <c r="B101" s="3">
        <v>440.19</v>
      </c>
      <c r="C101" s="3">
        <v>451.67</v>
      </c>
      <c r="D101" s="3">
        <v>452.63</v>
      </c>
      <c r="E101" s="3">
        <v>432.3</v>
      </c>
      <c r="F101" s="3">
        <v>440.19</v>
      </c>
      <c r="G101" s="3">
        <v>5853170000</v>
      </c>
      <c r="I101" s="15">
        <f t="shared" si="0"/>
        <v>1.0227174629137419</v>
      </c>
      <c r="J101" s="4">
        <f t="shared" si="1"/>
        <v>1.0243531202435312</v>
      </c>
      <c r="K101" s="4">
        <f t="shared" si="2"/>
        <v>2.5256139394352437</v>
      </c>
      <c r="L101" s="4">
        <f t="shared" si="3"/>
        <v>2.0830096094868122</v>
      </c>
      <c r="M101" s="4">
        <f t="shared" si="4"/>
        <v>3.1477089438651489</v>
      </c>
      <c r="N101" s="4">
        <f t="shared" si="5"/>
        <v>3.6292737227106477</v>
      </c>
      <c r="O101" s="4">
        <f t="shared" si="6"/>
        <v>6.0156977668733962</v>
      </c>
      <c r="P101" s="4"/>
      <c r="R101" s="4">
        <f t="shared" si="8"/>
        <v>1.0243531202435312</v>
      </c>
    </row>
    <row r="102" spans="1:18" ht="14.25" customHeight="1">
      <c r="A102" s="33">
        <v>34090</v>
      </c>
      <c r="B102" s="3">
        <v>450.19</v>
      </c>
      <c r="C102" s="3">
        <v>440.19</v>
      </c>
      <c r="D102" s="3">
        <v>454.55</v>
      </c>
      <c r="E102" s="3">
        <v>436.86</v>
      </c>
      <c r="F102" s="3">
        <v>450.19</v>
      </c>
      <c r="G102" s="3">
        <v>5108640000</v>
      </c>
      <c r="I102" s="15">
        <f t="shared" si="0"/>
        <v>1.0007552366778472</v>
      </c>
      <c r="J102" s="4">
        <f t="shared" si="1"/>
        <v>1.0140163042271042</v>
      </c>
      <c r="K102" s="4">
        <f t="shared" si="2"/>
        <v>2.4230213909682576</v>
      </c>
      <c r="L102" s="4">
        <f t="shared" si="3"/>
        <v>2.1404073835491682</v>
      </c>
      <c r="M102" s="4">
        <f t="shared" si="4"/>
        <v>3.1106421733046048</v>
      </c>
      <c r="N102" s="4">
        <f t="shared" si="5"/>
        <v>3.622337235389502</v>
      </c>
      <c r="O102" s="4">
        <f t="shared" si="6"/>
        <v>6.0091739043514965</v>
      </c>
      <c r="P102" s="4"/>
      <c r="R102" s="4">
        <f t="shared" si="8"/>
        <v>1.0140163042271042</v>
      </c>
    </row>
    <row r="103" spans="1:18" ht="14.25" customHeight="1">
      <c r="A103" s="33">
        <v>34121</v>
      </c>
      <c r="B103" s="3">
        <v>450.53</v>
      </c>
      <c r="C103" s="3">
        <v>450.23</v>
      </c>
      <c r="D103" s="3">
        <v>455.63</v>
      </c>
      <c r="E103" s="3">
        <v>442.5</v>
      </c>
      <c r="F103" s="3">
        <v>450.53</v>
      </c>
      <c r="G103" s="3">
        <v>5544400000</v>
      </c>
      <c r="I103" s="15">
        <f t="shared" si="0"/>
        <v>0.99467294075866208</v>
      </c>
      <c r="J103" s="4">
        <f t="shared" si="1"/>
        <v>0.98610525381217684</v>
      </c>
      <c r="K103" s="4">
        <f t="shared" si="2"/>
        <v>2.5166803542494396</v>
      </c>
      <c r="L103" s="4">
        <f t="shared" si="3"/>
        <v>2.1630080127849425</v>
      </c>
      <c r="M103" s="4">
        <f t="shared" si="4"/>
        <v>2.8410982620469225</v>
      </c>
      <c r="N103" s="4">
        <f t="shared" si="5"/>
        <v>3.5653119659068211</v>
      </c>
      <c r="O103" s="4">
        <f t="shared" si="6"/>
        <v>6.0337158457816349</v>
      </c>
      <c r="P103" s="4"/>
      <c r="R103" s="4">
        <f t="shared" si="8"/>
        <v>1</v>
      </c>
    </row>
    <row r="104" spans="1:18" ht="14.25" customHeight="1">
      <c r="A104" s="33">
        <v>34151</v>
      </c>
      <c r="B104" s="3">
        <v>448.13</v>
      </c>
      <c r="C104" s="3">
        <v>450.54</v>
      </c>
      <c r="D104" s="3">
        <v>451.15</v>
      </c>
      <c r="E104" s="3">
        <v>441.4</v>
      </c>
      <c r="F104" s="3">
        <v>448.13</v>
      </c>
      <c r="G104" s="3">
        <v>5308530000</v>
      </c>
      <c r="I104" s="15">
        <f t="shared" si="0"/>
        <v>1.0344319728650169</v>
      </c>
      <c r="J104" s="4">
        <f t="shared" si="1"/>
        <v>1.0226050476424251</v>
      </c>
      <c r="K104" s="4">
        <f t="shared" si="2"/>
        <v>2.5007698658871313</v>
      </c>
      <c r="L104" s="4">
        <f t="shared" si="3"/>
        <v>2.2098721353178763</v>
      </c>
      <c r="M104" s="4">
        <f t="shared" si="4"/>
        <v>2.8281525450204184</v>
      </c>
      <c r="N104" s="4">
        <f t="shared" si="5"/>
        <v>3.7616986142414031</v>
      </c>
      <c r="O104" s="4">
        <f t="shared" si="6"/>
        <v>6.2845379688929555</v>
      </c>
      <c r="P104" s="4"/>
      <c r="R104" s="4">
        <f t="shared" si="8"/>
        <v>1.0226050476424251</v>
      </c>
    </row>
    <row r="105" spans="1:18" ht="14.25" customHeight="1">
      <c r="A105" s="33">
        <v>34182</v>
      </c>
      <c r="B105" s="3">
        <v>463.56</v>
      </c>
      <c r="C105" s="3">
        <v>448.13</v>
      </c>
      <c r="D105" s="3">
        <v>463.56</v>
      </c>
      <c r="E105" s="3">
        <v>446.94</v>
      </c>
      <c r="F105" s="3">
        <v>463.56</v>
      </c>
      <c r="G105" s="3">
        <v>5506200000</v>
      </c>
      <c r="I105" s="15">
        <f t="shared" si="0"/>
        <v>0.99001208042108901</v>
      </c>
      <c r="J105" s="4">
        <f t="shared" si="1"/>
        <v>1.0257356113555958</v>
      </c>
      <c r="K105" s="4">
        <f t="shared" si="2"/>
        <v>2.0650616964362758</v>
      </c>
      <c r="L105" s="4">
        <f t="shared" si="3"/>
        <v>2.1744973681939772</v>
      </c>
      <c r="M105" s="4">
        <f t="shared" si="4"/>
        <v>2.7673440331348691</v>
      </c>
      <c r="N105" s="4">
        <f t="shared" si="5"/>
        <v>3.5226723617223228</v>
      </c>
      <c r="O105" s="4">
        <f t="shared" si="6"/>
        <v>6.2592113210803344</v>
      </c>
      <c r="P105" s="4"/>
      <c r="R105" s="4">
        <f t="shared" si="8"/>
        <v>1.0257356113555958</v>
      </c>
    </row>
    <row r="106" spans="1:18" ht="14.25" customHeight="1">
      <c r="A106" s="33">
        <v>34213</v>
      </c>
      <c r="B106" s="3">
        <v>458.93</v>
      </c>
      <c r="C106" s="3">
        <v>463.55</v>
      </c>
      <c r="D106" s="3">
        <v>463.8</v>
      </c>
      <c r="E106" s="3">
        <v>449.64</v>
      </c>
      <c r="F106" s="3">
        <v>458.93</v>
      </c>
      <c r="G106" s="3">
        <v>5552720000</v>
      </c>
      <c r="I106" s="15">
        <f t="shared" si="0"/>
        <v>1.0193929357418343</v>
      </c>
      <c r="J106" s="4">
        <f t="shared" si="1"/>
        <v>1.0082365502364194</v>
      </c>
      <c r="K106" s="4">
        <f t="shared" si="2"/>
        <v>2.2160460200902099</v>
      </c>
      <c r="L106" s="4">
        <f t="shared" si="3"/>
        <v>2.170200248403896</v>
      </c>
      <c r="M106" s="4">
        <f t="shared" si="4"/>
        <v>2.5414769136905409</v>
      </c>
      <c r="N106" s="4">
        <f t="shared" si="5"/>
        <v>3.6640664153574618</v>
      </c>
      <c r="O106" s="4">
        <f t="shared" si="6"/>
        <v>6.3495086396618223</v>
      </c>
      <c r="P106" s="4"/>
      <c r="R106" s="4">
        <f t="shared" si="8"/>
        <v>1.0082365502364194</v>
      </c>
    </row>
    <row r="107" spans="1:18" ht="14.25" customHeight="1">
      <c r="A107" s="33">
        <v>34243</v>
      </c>
      <c r="B107" s="3">
        <v>467.83</v>
      </c>
      <c r="C107" s="3">
        <v>458.93</v>
      </c>
      <c r="D107" s="3">
        <v>471.1</v>
      </c>
      <c r="E107" s="3">
        <v>456.4</v>
      </c>
      <c r="F107" s="3">
        <v>467.83</v>
      </c>
      <c r="G107" s="3">
        <v>5940460000</v>
      </c>
      <c r="I107" s="15">
        <f t="shared" si="0"/>
        <v>0.98708932731975296</v>
      </c>
      <c r="J107" s="4">
        <f t="shared" si="1"/>
        <v>1.009661629224291</v>
      </c>
      <c r="K107" s="4">
        <f t="shared" si="2"/>
        <v>2.3484385353654109</v>
      </c>
      <c r="L107" s="4">
        <f t="shared" si="3"/>
        <v>2.2459226642156342</v>
      </c>
      <c r="M107" s="4">
        <f t="shared" si="4"/>
        <v>2.0707308210247315</v>
      </c>
      <c r="N107" s="4">
        <f t="shared" si="5"/>
        <v>3.7546544685035164</v>
      </c>
      <c r="O107" s="4">
        <f t="shared" si="6"/>
        <v>5.7964217771412692</v>
      </c>
      <c r="P107" s="4"/>
      <c r="R107" s="4">
        <f t="shared" si="8"/>
        <v>1.009661629224291</v>
      </c>
    </row>
    <row r="108" spans="1:18" ht="14.25" customHeight="1">
      <c r="A108" s="33">
        <v>34274</v>
      </c>
      <c r="B108" s="3">
        <v>461.79</v>
      </c>
      <c r="C108" s="3">
        <v>467.83</v>
      </c>
      <c r="D108" s="3">
        <v>469.11</v>
      </c>
      <c r="E108" s="3">
        <v>454.36</v>
      </c>
      <c r="F108" s="3">
        <v>461.79</v>
      </c>
      <c r="G108" s="3">
        <v>5876610000</v>
      </c>
      <c r="I108" s="15">
        <f t="shared" si="0"/>
        <v>1.010091166980662</v>
      </c>
      <c r="J108" s="4">
        <f t="shared" si="1"/>
        <v>0.9824595595400506</v>
      </c>
      <c r="K108" s="4">
        <f t="shared" si="2"/>
        <v>2.5198250286926958</v>
      </c>
      <c r="L108" s="4">
        <f t="shared" si="3"/>
        <v>2.2915177894714049</v>
      </c>
      <c r="M108" s="4">
        <f t="shared" si="4"/>
        <v>1.9407955997314796</v>
      </c>
      <c r="N108" s="4">
        <f t="shared" si="5"/>
        <v>3.9104571341951968</v>
      </c>
      <c r="O108" s="4">
        <f t="shared" si="6"/>
        <v>5.9771108079430046</v>
      </c>
      <c r="P108" s="4"/>
      <c r="R108" s="4">
        <f t="shared" si="8"/>
        <v>1</v>
      </c>
    </row>
    <row r="109" spans="1:18" ht="14.25" customHeight="1">
      <c r="A109" s="33">
        <v>34304</v>
      </c>
      <c r="B109" s="3">
        <v>466.45</v>
      </c>
      <c r="C109" s="3">
        <v>461.93</v>
      </c>
      <c r="D109" s="3">
        <v>471.29</v>
      </c>
      <c r="E109" s="3">
        <v>461.45</v>
      </c>
      <c r="F109" s="3">
        <v>466.45</v>
      </c>
      <c r="G109" s="3">
        <v>5791210000</v>
      </c>
      <c r="I109" s="15">
        <f t="shared" si="0"/>
        <v>1.0325008039446886</v>
      </c>
      <c r="J109" s="4">
        <f t="shared" si="1"/>
        <v>0.98460713902883479</v>
      </c>
      <c r="K109" s="4">
        <f t="shared" si="2"/>
        <v>2.6352878121985208</v>
      </c>
      <c r="L109" s="4">
        <f t="shared" si="3"/>
        <v>2.3837924750777151</v>
      </c>
      <c r="M109" s="4">
        <f t="shared" si="4"/>
        <v>1.9364347732875979</v>
      </c>
      <c r="N109" s="4">
        <f t="shared" si="5"/>
        <v>3.9626112123485902</v>
      </c>
      <c r="O109" s="4">
        <f t="shared" si="6"/>
        <v>5.3743166470146857</v>
      </c>
      <c r="P109" s="4"/>
      <c r="R109" s="4">
        <f t="shared" si="8"/>
        <v>1</v>
      </c>
    </row>
    <row r="110" spans="1:18" ht="14.25" customHeight="1">
      <c r="A110" s="33">
        <v>34335</v>
      </c>
      <c r="B110" s="3">
        <v>481.61</v>
      </c>
      <c r="C110" s="3">
        <v>466.51</v>
      </c>
      <c r="D110" s="3">
        <v>482.85</v>
      </c>
      <c r="E110" s="3">
        <v>464.36</v>
      </c>
      <c r="F110" s="3">
        <v>481.61</v>
      </c>
      <c r="G110" s="3">
        <v>6627390000</v>
      </c>
      <c r="I110" s="15">
        <f t="shared" si="0"/>
        <v>0.96995494279603822</v>
      </c>
      <c r="J110" s="4">
        <f t="shared" si="1"/>
        <v>0.9767654326114491</v>
      </c>
      <c r="K110" s="4">
        <f t="shared" si="2"/>
        <v>2.6570046303025272</v>
      </c>
      <c r="L110" s="4">
        <f t="shared" si="3"/>
        <v>2.3486430929590334</v>
      </c>
      <c r="M110" s="4">
        <f t="shared" si="4"/>
        <v>1.714831502668134</v>
      </c>
      <c r="N110" s="4">
        <f t="shared" si="5"/>
        <v>3.7013143414796201</v>
      </c>
      <c r="O110" s="4">
        <f t="shared" si="6"/>
        <v>5.6147089969062103</v>
      </c>
      <c r="P110" s="4"/>
      <c r="R110" s="4">
        <f t="shared" si="8"/>
        <v>1</v>
      </c>
    </row>
    <row r="111" spans="1:18" ht="14.25" customHeight="1">
      <c r="A111" s="33">
        <v>34366</v>
      </c>
      <c r="B111" s="3">
        <v>467.14</v>
      </c>
      <c r="C111" s="3">
        <v>481.6</v>
      </c>
      <c r="D111" s="3">
        <v>482.23</v>
      </c>
      <c r="E111" s="3">
        <v>464.26</v>
      </c>
      <c r="F111" s="3">
        <v>467.14</v>
      </c>
      <c r="G111" s="3">
        <v>5853100000</v>
      </c>
      <c r="I111" s="15">
        <f t="shared" si="0"/>
        <v>0.95425354283512431</v>
      </c>
      <c r="J111" s="4">
        <f t="shared" si="1"/>
        <v>1.0433488889840306</v>
      </c>
      <c r="K111" s="4">
        <f t="shared" si="2"/>
        <v>2.6508755405231836</v>
      </c>
      <c r="L111" s="4">
        <f t="shared" si="3"/>
        <v>2.4509568865864626</v>
      </c>
      <c r="M111" s="4">
        <f t="shared" si="4"/>
        <v>1.573596780408443</v>
      </c>
      <c r="N111" s="4">
        <f t="shared" si="5"/>
        <v>3.9804983516718759</v>
      </c>
      <c r="O111" s="4">
        <f t="shared" si="6"/>
        <v>5.9607184141799028</v>
      </c>
      <c r="P111" s="4"/>
      <c r="R111" s="4">
        <f t="shared" si="8"/>
        <v>1.0433488889840306</v>
      </c>
    </row>
    <row r="112" spans="1:18" ht="14.25" customHeight="1">
      <c r="A112" s="33">
        <v>34394</v>
      </c>
      <c r="B112" s="3">
        <v>445.77</v>
      </c>
      <c r="C112" s="3">
        <v>467.19</v>
      </c>
      <c r="D112" s="3">
        <v>471.09</v>
      </c>
      <c r="E112" s="3">
        <v>436.16</v>
      </c>
      <c r="F112" s="3">
        <v>445.77</v>
      </c>
      <c r="G112" s="3">
        <v>7225010000</v>
      </c>
      <c r="I112" s="15">
        <f t="shared" si="0"/>
        <v>1.011530609955807</v>
      </c>
      <c r="J112" s="4">
        <f t="shared" si="1"/>
        <v>1.1232474145859972</v>
      </c>
      <c r="K112" s="4">
        <f t="shared" si="2"/>
        <v>2.8857258227336966</v>
      </c>
      <c r="L112" s="4">
        <f t="shared" si="3"/>
        <v>2.5264374004531485</v>
      </c>
      <c r="M112" s="4">
        <f t="shared" si="4"/>
        <v>1.7898692150660656</v>
      </c>
      <c r="N112" s="4">
        <f t="shared" si="5"/>
        <v>4.2002377907889716</v>
      </c>
      <c r="O112" s="4">
        <f t="shared" si="6"/>
        <v>6.358435964735178</v>
      </c>
      <c r="P112" s="4"/>
      <c r="R112" s="4">
        <f t="shared" si="8"/>
        <v>1.1100000000000001</v>
      </c>
    </row>
    <row r="113" spans="1:18" ht="14.25" customHeight="1">
      <c r="A113" s="33">
        <v>34425</v>
      </c>
      <c r="B113" s="3">
        <v>450.91</v>
      </c>
      <c r="C113" s="3">
        <v>445.66</v>
      </c>
      <c r="D113" s="3">
        <v>452.79</v>
      </c>
      <c r="E113" s="3">
        <v>435.86</v>
      </c>
      <c r="F113" s="3">
        <v>450.91</v>
      </c>
      <c r="G113" s="3">
        <v>5735010000</v>
      </c>
      <c r="I113" s="15">
        <f t="shared" si="0"/>
        <v>1.0123971524250959</v>
      </c>
      <c r="J113" s="4">
        <f t="shared" si="1"/>
        <v>1.1414916502184471</v>
      </c>
      <c r="K113" s="4">
        <f t="shared" si="2"/>
        <v>2.9610787075026059</v>
      </c>
      <c r="L113" s="4">
        <f t="shared" si="3"/>
        <v>2.455700694151826</v>
      </c>
      <c r="M113" s="4">
        <f t="shared" si="4"/>
        <v>1.9356634361624268</v>
      </c>
      <c r="N113" s="4">
        <f t="shared" si="5"/>
        <v>4.1781064957530329</v>
      </c>
      <c r="O113" s="4">
        <f t="shared" si="6"/>
        <v>6.5330775542791235</v>
      </c>
      <c r="P113" s="4"/>
      <c r="R113" s="4">
        <f t="shared" si="8"/>
        <v>1.1100000000000001</v>
      </c>
    </row>
    <row r="114" spans="1:18" ht="14.25" customHeight="1">
      <c r="A114" s="33">
        <v>34455</v>
      </c>
      <c r="B114" s="3">
        <v>456.5</v>
      </c>
      <c r="C114" s="3">
        <v>450.91</v>
      </c>
      <c r="D114" s="3">
        <v>457.77</v>
      </c>
      <c r="E114" s="3">
        <v>440.78</v>
      </c>
      <c r="F114" s="3">
        <v>456.5</v>
      </c>
      <c r="G114" s="3">
        <v>5675970000</v>
      </c>
      <c r="I114" s="15">
        <f t="shared" si="0"/>
        <v>0.9732092004381161</v>
      </c>
      <c r="J114" s="4">
        <f t="shared" si="1"/>
        <v>1.1684556407447972</v>
      </c>
      <c r="K114" s="4">
        <f t="shared" si="2"/>
        <v>2.851785323110624</v>
      </c>
      <c r="L114" s="4">
        <f t="shared" si="3"/>
        <v>2.4549397590361446</v>
      </c>
      <c r="M114" s="4">
        <f t="shared" si="4"/>
        <v>2.0134501642935376</v>
      </c>
      <c r="N114" s="4">
        <f t="shared" si="5"/>
        <v>4.2137349397590356</v>
      </c>
      <c r="O114" s="4">
        <f t="shared" si="6"/>
        <v>6.0286089813800654</v>
      </c>
      <c r="P114" s="4"/>
      <c r="R114" s="4">
        <f t="shared" si="8"/>
        <v>1.1100000000000001</v>
      </c>
    </row>
    <row r="115" spans="1:18" ht="14.25" customHeight="1">
      <c r="A115" s="33">
        <v>34486</v>
      </c>
      <c r="B115" s="3">
        <v>444.27</v>
      </c>
      <c r="C115" s="3">
        <v>456.5</v>
      </c>
      <c r="D115" s="3">
        <v>463.23</v>
      </c>
      <c r="E115" s="3">
        <v>439.83</v>
      </c>
      <c r="F115" s="3">
        <v>444.27</v>
      </c>
      <c r="G115" s="3">
        <v>5852670000</v>
      </c>
      <c r="I115" s="15">
        <f t="shared" si="0"/>
        <v>1.0314898597699598</v>
      </c>
      <c r="J115" s="4">
        <f t="shared" si="1"/>
        <v>1.2261687712427127</v>
      </c>
      <c r="K115" s="4">
        <f t="shared" si="2"/>
        <v>3.0898102505233305</v>
      </c>
      <c r="L115" s="4">
        <f t="shared" si="3"/>
        <v>2.5678978999257209</v>
      </c>
      <c r="M115" s="4">
        <f t="shared" si="4"/>
        <v>2.0692821932608552</v>
      </c>
      <c r="N115" s="4">
        <f t="shared" si="5"/>
        <v>4.4122493078533322</v>
      </c>
      <c r="O115" s="4">
        <f t="shared" si="6"/>
        <v>6.6215589618925437</v>
      </c>
      <c r="P115" s="4"/>
      <c r="R115" s="4">
        <f t="shared" si="8"/>
        <v>1.1100000000000001</v>
      </c>
    </row>
    <row r="116" spans="1:18" ht="14.25" customHeight="1">
      <c r="A116" s="33">
        <v>34516</v>
      </c>
      <c r="B116" s="3">
        <v>458.26</v>
      </c>
      <c r="C116" s="3">
        <v>444.27</v>
      </c>
      <c r="D116" s="3">
        <v>459.33</v>
      </c>
      <c r="E116" s="3">
        <v>443.58</v>
      </c>
      <c r="F116" s="3">
        <v>458.26</v>
      </c>
      <c r="G116" s="3">
        <v>4980100000</v>
      </c>
      <c r="I116" s="15">
        <f t="shared" si="0"/>
        <v>1.0375987430716187</v>
      </c>
      <c r="J116" s="4">
        <f t="shared" si="1"/>
        <v>1.2265089687077204</v>
      </c>
      <c r="K116" s="4">
        <f t="shared" si="2"/>
        <v>2.8994893728451099</v>
      </c>
      <c r="L116" s="4">
        <f t="shared" si="3"/>
        <v>2.4041373892550082</v>
      </c>
      <c r="M116" s="4">
        <f t="shared" si="4"/>
        <v>2.1548465936368002</v>
      </c>
      <c r="N116" s="4">
        <f t="shared" si="5"/>
        <v>4.213044996290316</v>
      </c>
      <c r="O116" s="4">
        <f t="shared" si="6"/>
        <v>6.503687862785319</v>
      </c>
      <c r="P116" s="4"/>
      <c r="R116" s="4">
        <f t="shared" si="8"/>
        <v>1.1100000000000001</v>
      </c>
    </row>
    <row r="117" spans="1:18" ht="14.25" customHeight="1">
      <c r="A117" s="33">
        <v>34547</v>
      </c>
      <c r="B117" s="3">
        <v>475.49</v>
      </c>
      <c r="C117" s="3">
        <v>458.28</v>
      </c>
      <c r="D117" s="3">
        <v>477.59</v>
      </c>
      <c r="E117" s="3">
        <v>456.08</v>
      </c>
      <c r="F117" s="3">
        <v>475.49</v>
      </c>
      <c r="G117" s="3">
        <v>6398750000</v>
      </c>
      <c r="I117" s="15">
        <f t="shared" si="0"/>
        <v>0.97312246314328366</v>
      </c>
      <c r="J117" s="4">
        <f t="shared" si="1"/>
        <v>1.1816862604891796</v>
      </c>
      <c r="K117" s="4">
        <f t="shared" si="2"/>
        <v>2.7769458874003661</v>
      </c>
      <c r="L117" s="4">
        <f t="shared" si="3"/>
        <v>2.3223201329155185</v>
      </c>
      <c r="M117" s="4">
        <f t="shared" si="4"/>
        <v>2.1464594418389451</v>
      </c>
      <c r="N117" s="4">
        <f t="shared" si="5"/>
        <v>4.2132747271235989</v>
      </c>
      <c r="O117" s="4">
        <f t="shared" si="6"/>
        <v>6.1546194452038945</v>
      </c>
      <c r="P117" s="4"/>
      <c r="R117" s="4">
        <f t="shared" si="8"/>
        <v>1.1100000000000001</v>
      </c>
    </row>
    <row r="118" spans="1:18" ht="14.25" customHeight="1">
      <c r="A118" s="33">
        <v>34578</v>
      </c>
      <c r="B118" s="3">
        <v>462.71</v>
      </c>
      <c r="C118" s="3">
        <v>475.49</v>
      </c>
      <c r="D118" s="3">
        <v>475.49</v>
      </c>
      <c r="E118" s="3">
        <v>458.47</v>
      </c>
      <c r="F118" s="3">
        <v>462.71</v>
      </c>
      <c r="G118" s="3">
        <v>6152870000</v>
      </c>
      <c r="I118" s="15">
        <f t="shared" si="0"/>
        <v>1.020833783579348</v>
      </c>
      <c r="J118" s="4">
        <f t="shared" si="1"/>
        <v>1.2630157117849192</v>
      </c>
      <c r="K118" s="4">
        <f t="shared" si="2"/>
        <v>2.7721683127660954</v>
      </c>
      <c r="L118" s="4">
        <f t="shared" si="3"/>
        <v>2.4088089732229689</v>
      </c>
      <c r="M118" s="4">
        <f t="shared" si="4"/>
        <v>2.2845410732424196</v>
      </c>
      <c r="N118" s="4">
        <f t="shared" si="5"/>
        <v>4.2624754165676126</v>
      </c>
      <c r="O118" s="4">
        <f t="shared" si="6"/>
        <v>6.4332735406626176</v>
      </c>
      <c r="R118" s="4">
        <f t="shared" si="8"/>
        <v>1.1100000000000001</v>
      </c>
    </row>
    <row r="119" spans="1:18" ht="14.25" customHeight="1">
      <c r="A119" s="33">
        <v>34608</v>
      </c>
      <c r="B119" s="3">
        <v>472.35</v>
      </c>
      <c r="C119" s="3">
        <v>462.69</v>
      </c>
      <c r="D119" s="3">
        <v>474.74</v>
      </c>
      <c r="E119" s="3">
        <v>449.27</v>
      </c>
      <c r="F119" s="3">
        <v>472.35</v>
      </c>
      <c r="G119" s="3">
        <v>6344700000</v>
      </c>
      <c r="I119" s="15">
        <f t="shared" si="0"/>
        <v>0.9604953953636074</v>
      </c>
      <c r="J119" s="4">
        <f t="shared" si="1"/>
        <v>1.2310786493066581</v>
      </c>
      <c r="K119" s="4">
        <f t="shared" si="2"/>
        <v>2.8854239441092409</v>
      </c>
      <c r="L119" s="4">
        <f t="shared" si="3"/>
        <v>2.3927172647401291</v>
      </c>
      <c r="M119" s="4">
        <f t="shared" si="4"/>
        <v>2.1936911188737165</v>
      </c>
      <c r="N119" s="4">
        <f t="shared" si="5"/>
        <v>4.2723615962739494</v>
      </c>
      <c r="O119" s="4">
        <f t="shared" si="6"/>
        <v>6.4307399174341056</v>
      </c>
      <c r="R119" s="4">
        <f t="shared" si="8"/>
        <v>1.1100000000000001</v>
      </c>
    </row>
    <row r="120" spans="1:18" ht="14.25" customHeight="1">
      <c r="A120" s="33">
        <v>34639</v>
      </c>
      <c r="B120" s="3">
        <v>453.69</v>
      </c>
      <c r="C120" s="3">
        <v>472.26</v>
      </c>
      <c r="D120" s="3">
        <v>472.26</v>
      </c>
      <c r="E120" s="3">
        <v>444.18</v>
      </c>
      <c r="F120" s="3">
        <v>453.69</v>
      </c>
      <c r="G120" s="3">
        <v>6251240000</v>
      </c>
      <c r="I120" s="15">
        <f t="shared" si="0"/>
        <v>1.0122991469946439</v>
      </c>
      <c r="J120" s="4">
        <f t="shared" si="1"/>
        <v>1.3343252000264498</v>
      </c>
      <c r="K120" s="4">
        <f t="shared" si="2"/>
        <v>3.0613634860808041</v>
      </c>
      <c r="L120" s="4">
        <f t="shared" si="3"/>
        <v>2.5872732482532124</v>
      </c>
      <c r="M120" s="4">
        <f t="shared" si="4"/>
        <v>2.4149308999537134</v>
      </c>
      <c r="N120" s="4">
        <f t="shared" si="5"/>
        <v>4.5572086667107499</v>
      </c>
      <c r="O120" s="4">
        <f t="shared" si="6"/>
        <v>6.9231854349886488</v>
      </c>
      <c r="R120" s="4">
        <f t="shared" si="8"/>
        <v>1.1100000000000001</v>
      </c>
    </row>
    <row r="121" spans="1:18" ht="14.25" customHeight="1">
      <c r="A121" s="33">
        <v>34669</v>
      </c>
      <c r="B121" s="3">
        <v>459.27</v>
      </c>
      <c r="C121" s="3">
        <v>453.55</v>
      </c>
      <c r="D121" s="3">
        <v>462.73</v>
      </c>
      <c r="E121" s="3">
        <v>442.88</v>
      </c>
      <c r="F121" s="3">
        <v>459.27</v>
      </c>
      <c r="G121" s="3">
        <v>6351530000</v>
      </c>
      <c r="I121" s="15">
        <f t="shared" si="0"/>
        <v>1.0242776580225141</v>
      </c>
      <c r="J121" s="4">
        <f t="shared" si="1"/>
        <v>1.3411065386374028</v>
      </c>
      <c r="K121" s="4">
        <f t="shared" si="2"/>
        <v>3.1990985694689398</v>
      </c>
      <c r="L121" s="4">
        <f t="shared" si="3"/>
        <v>2.6387963507305074</v>
      </c>
      <c r="M121" s="4">
        <f t="shared" si="4"/>
        <v>2.42798353909465</v>
      </c>
      <c r="N121" s="4">
        <f t="shared" si="5"/>
        <v>4.4829838656999152</v>
      </c>
      <c r="O121" s="4">
        <f t="shared" si="6"/>
        <v>7.0345983843926234</v>
      </c>
      <c r="R121" s="4">
        <f t="shared" si="8"/>
        <v>1.1100000000000001</v>
      </c>
    </row>
    <row r="122" spans="1:18" ht="14.25" customHeight="1">
      <c r="A122" s="33">
        <v>34700</v>
      </c>
      <c r="B122" s="3">
        <v>470.42</v>
      </c>
      <c r="C122" s="3">
        <v>459.21</v>
      </c>
      <c r="D122" s="3">
        <v>471.36</v>
      </c>
      <c r="E122" s="3">
        <v>457.2</v>
      </c>
      <c r="F122" s="3">
        <v>470.42</v>
      </c>
      <c r="G122" s="3">
        <v>6852060000</v>
      </c>
      <c r="I122" s="15">
        <f t="shared" si="0"/>
        <v>1.0360741465073764</v>
      </c>
      <c r="J122" s="4">
        <f t="shared" si="1"/>
        <v>1.3520258492411037</v>
      </c>
      <c r="K122" s="4">
        <f t="shared" si="2"/>
        <v>2.9642872326856851</v>
      </c>
      <c r="L122" s="4">
        <f t="shared" si="3"/>
        <v>2.5110964669869476</v>
      </c>
      <c r="M122" s="4">
        <f t="shared" si="4"/>
        <v>2.2827898473704344</v>
      </c>
      <c r="N122" s="4">
        <f t="shared" si="5"/>
        <v>4.2408698609752982</v>
      </c>
      <c r="O122" s="4">
        <f t="shared" si="6"/>
        <v>6.8566812635517191</v>
      </c>
      <c r="R122" s="4">
        <f t="shared" si="8"/>
        <v>1.1100000000000001</v>
      </c>
    </row>
    <row r="123" spans="1:18" ht="14.25" customHeight="1">
      <c r="A123" s="33">
        <v>34731</v>
      </c>
      <c r="B123" s="3">
        <v>487.39</v>
      </c>
      <c r="C123" s="3">
        <v>470.42</v>
      </c>
      <c r="D123" s="3">
        <v>489.19</v>
      </c>
      <c r="E123" s="3">
        <v>469.29</v>
      </c>
      <c r="F123" s="3">
        <v>487.39</v>
      </c>
      <c r="G123" s="3">
        <v>6330100000</v>
      </c>
      <c r="I123" s="15">
        <f t="shared" si="0"/>
        <v>1.027329243521615</v>
      </c>
      <c r="J123" s="4">
        <f t="shared" si="1"/>
        <v>1.3139990561972958</v>
      </c>
      <c r="K123" s="4">
        <f t="shared" si="2"/>
        <v>2.8035454153757775</v>
      </c>
      <c r="L123" s="4">
        <f t="shared" si="3"/>
        <v>2.469480292989187</v>
      </c>
      <c r="M123" s="4">
        <f t="shared" si="4"/>
        <v>2.2661318451342867</v>
      </c>
      <c r="N123" s="4">
        <f t="shared" si="5"/>
        <v>4.3178973717146434</v>
      </c>
      <c r="O123" s="4">
        <f t="shared" si="6"/>
        <v>6.0613061408728122</v>
      </c>
      <c r="R123" s="4">
        <f t="shared" si="8"/>
        <v>1.1100000000000001</v>
      </c>
    </row>
    <row r="124" spans="1:18" ht="14.25" customHeight="1">
      <c r="A124" s="33">
        <v>34759</v>
      </c>
      <c r="B124" s="3">
        <v>500.71</v>
      </c>
      <c r="C124" s="3">
        <v>487.39</v>
      </c>
      <c r="D124" s="3">
        <v>508.15</v>
      </c>
      <c r="E124" s="3">
        <v>479.7</v>
      </c>
      <c r="F124" s="3">
        <v>500.71</v>
      </c>
      <c r="G124" s="3">
        <v>7792400000</v>
      </c>
      <c r="I124" s="15">
        <f t="shared" si="0"/>
        <v>1.0279602963791417</v>
      </c>
      <c r="J124" s="4">
        <f t="shared" si="1"/>
        <v>1.2891693794811367</v>
      </c>
      <c r="K124" s="4">
        <f t="shared" si="2"/>
        <v>2.9929100677038605</v>
      </c>
      <c r="L124" s="4">
        <f t="shared" si="3"/>
        <v>2.3578318787322003</v>
      </c>
      <c r="M124" s="4">
        <f t="shared" si="4"/>
        <v>2.3355435281899704</v>
      </c>
      <c r="N124" s="4">
        <f t="shared" si="5"/>
        <v>4.1299155199616546</v>
      </c>
      <c r="O124" s="4">
        <f t="shared" si="6"/>
        <v>5.161850172754689</v>
      </c>
      <c r="R124" s="4">
        <f t="shared" si="8"/>
        <v>1.1100000000000001</v>
      </c>
    </row>
    <row r="125" spans="1:18" ht="14.25" customHeight="1">
      <c r="A125" s="33">
        <v>34790</v>
      </c>
      <c r="B125" s="3">
        <v>514.71</v>
      </c>
      <c r="C125" s="3">
        <v>500.7</v>
      </c>
      <c r="D125" s="3">
        <v>515.29</v>
      </c>
      <c r="E125" s="3">
        <v>500.2</v>
      </c>
      <c r="F125" s="3">
        <v>514.71</v>
      </c>
      <c r="G125" s="3">
        <v>6307030000</v>
      </c>
      <c r="I125" s="15">
        <f t="shared" si="0"/>
        <v>1.0363117095063239</v>
      </c>
      <c r="J125" s="4">
        <f t="shared" si="1"/>
        <v>1.2709486895533406</v>
      </c>
      <c r="K125" s="4">
        <f t="shared" si="2"/>
        <v>2.8218414252685977</v>
      </c>
      <c r="L125" s="4">
        <f t="shared" si="3"/>
        <v>2.2475763051038444</v>
      </c>
      <c r="M125" s="4">
        <f t="shared" si="4"/>
        <v>2.305550698451555</v>
      </c>
      <c r="N125" s="4">
        <f t="shared" si="5"/>
        <v>4.0518155854753166</v>
      </c>
      <c r="O125" s="4">
        <f t="shared" si="6"/>
        <v>5.6583901614501366</v>
      </c>
      <c r="R125" s="4">
        <f t="shared" si="8"/>
        <v>1.1100000000000001</v>
      </c>
    </row>
    <row r="126" spans="1:18" ht="14.25" customHeight="1">
      <c r="A126" s="33">
        <v>34820</v>
      </c>
      <c r="B126" s="3">
        <v>533.4</v>
      </c>
      <c r="C126" s="3">
        <v>514.76</v>
      </c>
      <c r="D126" s="3">
        <v>533.41</v>
      </c>
      <c r="E126" s="3">
        <v>513.03</v>
      </c>
      <c r="F126" s="3">
        <v>533.4</v>
      </c>
      <c r="G126" s="3">
        <v>7555690000</v>
      </c>
      <c r="I126" s="15">
        <f t="shared" si="0"/>
        <v>1.021278590176228</v>
      </c>
      <c r="J126" s="4">
        <f t="shared" si="1"/>
        <v>1.2544431946006749</v>
      </c>
      <c r="K126" s="4">
        <f t="shared" si="2"/>
        <v>2.6632920884889386</v>
      </c>
      <c r="L126" s="4">
        <f t="shared" si="3"/>
        <v>2.2337832770903638</v>
      </c>
      <c r="M126" s="4">
        <f t="shared" si="4"/>
        <v>2.04238845144357</v>
      </c>
      <c r="N126" s="4">
        <f t="shared" si="5"/>
        <v>3.9508623922009747</v>
      </c>
      <c r="O126" s="4">
        <f t="shared" si="6"/>
        <v>5.7073678290213721</v>
      </c>
      <c r="R126" s="4">
        <f t="shared" si="8"/>
        <v>1.1100000000000001</v>
      </c>
    </row>
    <row r="127" spans="1:18" ht="14.25" customHeight="1">
      <c r="A127" s="33">
        <v>34851</v>
      </c>
      <c r="B127" s="3">
        <v>544.75</v>
      </c>
      <c r="C127" s="3">
        <v>533.4</v>
      </c>
      <c r="D127" s="3">
        <v>551.07000000000005</v>
      </c>
      <c r="E127" s="3">
        <v>526</v>
      </c>
      <c r="F127" s="3">
        <v>544.75</v>
      </c>
      <c r="G127" s="3">
        <v>7555650000</v>
      </c>
      <c r="I127" s="15">
        <f t="shared" si="0"/>
        <v>1.0317760440569068</v>
      </c>
      <c r="J127" s="4">
        <f t="shared" si="1"/>
        <v>1.2310784763653051</v>
      </c>
      <c r="K127" s="4">
        <f t="shared" si="2"/>
        <v>2.6702156952730607</v>
      </c>
      <c r="L127" s="4">
        <f t="shared" si="3"/>
        <v>2.1869297843047266</v>
      </c>
      <c r="M127" s="4">
        <f t="shared" si="4"/>
        <v>1.8920789352914182</v>
      </c>
      <c r="N127" s="4">
        <f t="shared" si="5"/>
        <v>3.7872602111060121</v>
      </c>
      <c r="O127" s="4">
        <f t="shared" si="6"/>
        <v>5.6912161541991741</v>
      </c>
      <c r="R127" s="4">
        <f t="shared" si="8"/>
        <v>1.1100000000000001</v>
      </c>
    </row>
    <row r="128" spans="1:18" ht="14.25" customHeight="1">
      <c r="A128" s="33">
        <v>34881</v>
      </c>
      <c r="B128" s="3">
        <v>562.05999999999995</v>
      </c>
      <c r="C128" s="3">
        <v>544.75</v>
      </c>
      <c r="D128" s="3">
        <v>565.4</v>
      </c>
      <c r="E128" s="3">
        <v>542.51</v>
      </c>
      <c r="F128" s="3">
        <v>562.05999999999995</v>
      </c>
      <c r="G128" s="3">
        <v>7307960000</v>
      </c>
      <c r="I128" s="15">
        <f t="shared" si="0"/>
        <v>0.99967974949293681</v>
      </c>
      <c r="J128" s="4">
        <f t="shared" si="1"/>
        <v>1.1385795110842261</v>
      </c>
      <c r="K128" s="4">
        <f t="shared" si="2"/>
        <v>2.5456890723410313</v>
      </c>
      <c r="L128" s="4">
        <f t="shared" si="3"/>
        <v>2.1958153933743731</v>
      </c>
      <c r="M128" s="4">
        <f t="shared" si="4"/>
        <v>1.9599331032274134</v>
      </c>
      <c r="N128" s="4">
        <f t="shared" si="5"/>
        <v>3.7430879265558845</v>
      </c>
      <c r="O128" s="4">
        <f t="shared" si="6"/>
        <v>5.8198768814717292</v>
      </c>
      <c r="R128" s="4">
        <f t="shared" si="8"/>
        <v>1.1100000000000001</v>
      </c>
    </row>
    <row r="129" spans="1:18" ht="14.25" customHeight="1">
      <c r="A129" s="33">
        <v>34912</v>
      </c>
      <c r="B129" s="3">
        <v>561.88</v>
      </c>
      <c r="C129" s="3">
        <v>562.05999999999995</v>
      </c>
      <c r="D129" s="3">
        <v>565.62</v>
      </c>
      <c r="E129" s="3">
        <v>553.04</v>
      </c>
      <c r="F129" s="3">
        <v>561.88</v>
      </c>
      <c r="G129" s="3">
        <v>7146620000</v>
      </c>
      <c r="I129" s="15">
        <f t="shared" si="0"/>
        <v>1.0400975297216486</v>
      </c>
      <c r="J129" s="4">
        <f t="shared" si="1"/>
        <v>1.1603723214921335</v>
      </c>
      <c r="K129" s="4">
        <f t="shared" si="2"/>
        <v>2.701074962625472</v>
      </c>
      <c r="L129" s="4">
        <f t="shared" si="3"/>
        <v>2.1718694383142307</v>
      </c>
      <c r="M129" s="4">
        <f t="shared" si="4"/>
        <v>1.8675339930234212</v>
      </c>
      <c r="N129" s="4">
        <f t="shared" si="5"/>
        <v>3.5099665408984126</v>
      </c>
      <c r="O129" s="4">
        <f t="shared" si="6"/>
        <v>6.2296397807361004</v>
      </c>
      <c r="R129" s="4">
        <f t="shared" si="8"/>
        <v>1.1100000000000001</v>
      </c>
    </row>
    <row r="130" spans="1:18" ht="14.25" customHeight="1">
      <c r="A130" s="33">
        <v>34943</v>
      </c>
      <c r="B130" s="3">
        <v>584.41</v>
      </c>
      <c r="C130" s="3">
        <v>561.88</v>
      </c>
      <c r="D130" s="3">
        <v>587.61</v>
      </c>
      <c r="E130" s="3">
        <v>561.01</v>
      </c>
      <c r="F130" s="3">
        <v>584.41</v>
      </c>
      <c r="G130" s="3">
        <v>7052830000</v>
      </c>
      <c r="I130" s="15">
        <f t="shared" si="0"/>
        <v>0.99502061908591577</v>
      </c>
      <c r="J130" s="4">
        <f t="shared" si="1"/>
        <v>1.1761092383771667</v>
      </c>
      <c r="K130" s="4">
        <f t="shared" si="2"/>
        <v>2.4580517102718984</v>
      </c>
      <c r="L130" s="4">
        <f t="shared" si="3"/>
        <v>2.1026505364384591</v>
      </c>
      <c r="M130" s="4">
        <f t="shared" si="4"/>
        <v>1.9527386595027465</v>
      </c>
      <c r="N130" s="4">
        <f t="shared" si="5"/>
        <v>3.2854160606423575</v>
      </c>
      <c r="O130" s="4">
        <f t="shared" si="6"/>
        <v>5.7545216543180304</v>
      </c>
      <c r="R130" s="4">
        <f t="shared" si="8"/>
        <v>1.1100000000000001</v>
      </c>
    </row>
    <row r="131" spans="1:18" ht="14.25" customHeight="1">
      <c r="A131" s="33">
        <v>34973</v>
      </c>
      <c r="B131" s="3">
        <v>581.5</v>
      </c>
      <c r="C131" s="3">
        <v>584.41</v>
      </c>
      <c r="D131" s="3">
        <v>590.66</v>
      </c>
      <c r="E131" s="3">
        <v>571.54999999999995</v>
      </c>
      <c r="F131" s="3">
        <v>581.5</v>
      </c>
      <c r="G131" s="3">
        <v>8043320000</v>
      </c>
      <c r="I131" s="15">
        <f t="shared" si="0"/>
        <v>1.041049011177988</v>
      </c>
      <c r="J131" s="4">
        <f t="shared" si="1"/>
        <v>1.2128460877042133</v>
      </c>
      <c r="K131" s="4">
        <f t="shared" si="2"/>
        <v>2.4581255374032676</v>
      </c>
      <c r="L131" s="4">
        <f t="shared" si="3"/>
        <v>2.0756835769561479</v>
      </c>
      <c r="M131" s="4">
        <f t="shared" si="4"/>
        <v>2.0348409286328462</v>
      </c>
      <c r="N131" s="4">
        <f t="shared" si="5"/>
        <v>3.5758555460017201</v>
      </c>
      <c r="O131" s="4">
        <f t="shared" si="6"/>
        <v>5.6233190025795361</v>
      </c>
      <c r="R131" s="4">
        <f t="shared" si="8"/>
        <v>1.1100000000000001</v>
      </c>
    </row>
    <row r="132" spans="1:18" ht="14.25" customHeight="1">
      <c r="A132" s="33">
        <v>35004</v>
      </c>
      <c r="B132" s="3">
        <v>605.37</v>
      </c>
      <c r="C132" s="3">
        <v>581.5</v>
      </c>
      <c r="D132" s="3">
        <v>608.69000000000005</v>
      </c>
      <c r="E132" s="3">
        <v>581.04</v>
      </c>
      <c r="F132" s="3">
        <v>605.37</v>
      </c>
      <c r="G132" s="3">
        <v>7602150000</v>
      </c>
      <c r="I132" s="15">
        <f t="shared" si="0"/>
        <v>1.0174438772981811</v>
      </c>
      <c r="J132" s="4">
        <f t="shared" si="1"/>
        <v>1.2505079538133703</v>
      </c>
      <c r="K132" s="4">
        <f t="shared" si="2"/>
        <v>2.1721426565571469</v>
      </c>
      <c r="L132" s="4">
        <f t="shared" si="3"/>
        <v>2.0639939210730627</v>
      </c>
      <c r="M132" s="4">
        <f t="shared" si="4"/>
        <v>1.9501296727621122</v>
      </c>
      <c r="N132" s="4">
        <f t="shared" si="5"/>
        <v>3.4365924971505026</v>
      </c>
      <c r="O132" s="4">
        <f t="shared" si="6"/>
        <v>5.9825065662322219</v>
      </c>
      <c r="R132" s="4">
        <f t="shared" si="8"/>
        <v>1.1100000000000001</v>
      </c>
    </row>
    <row r="133" spans="1:18" ht="14.25" customHeight="1">
      <c r="A133" s="33">
        <v>35034</v>
      </c>
      <c r="B133" s="3">
        <v>615.92999999999995</v>
      </c>
      <c r="C133" s="3">
        <v>605.37</v>
      </c>
      <c r="D133" s="3">
        <v>622.88</v>
      </c>
      <c r="E133" s="3">
        <v>605.04999999999995</v>
      </c>
      <c r="F133" s="3">
        <v>615.92999999999995</v>
      </c>
      <c r="G133" s="3">
        <v>7697540000</v>
      </c>
      <c r="I133" s="15">
        <f t="shared" si="0"/>
        <v>1.0326173428798728</v>
      </c>
      <c r="J133" s="4">
        <f t="shared" si="1"/>
        <v>1.2026366632571883</v>
      </c>
      <c r="K133" s="4">
        <f t="shared" si="2"/>
        <v>2.1435552741382953</v>
      </c>
      <c r="L133" s="4">
        <f t="shared" si="3"/>
        <v>2.0266751091844855</v>
      </c>
      <c r="M133" s="4">
        <f t="shared" si="4"/>
        <v>2.0418554056467459</v>
      </c>
      <c r="N133" s="4">
        <f t="shared" si="5"/>
        <v>3.3184615134836752</v>
      </c>
      <c r="O133" s="4">
        <f t="shared" si="6"/>
        <v>6.0982092120857896</v>
      </c>
      <c r="R133" s="4">
        <f t="shared" si="8"/>
        <v>1.1100000000000001</v>
      </c>
    </row>
    <row r="134" spans="1:18" ht="14.25" customHeight="1">
      <c r="A134" s="33">
        <v>35065</v>
      </c>
      <c r="B134" s="3">
        <v>636.02</v>
      </c>
      <c r="C134" s="3">
        <v>615.92999999999995</v>
      </c>
      <c r="D134" s="3">
        <v>636.17999999999995</v>
      </c>
      <c r="E134" s="3">
        <v>597.29</v>
      </c>
      <c r="F134" s="3">
        <v>636.02</v>
      </c>
      <c r="G134" s="3">
        <v>9188050000</v>
      </c>
      <c r="I134" s="15">
        <f t="shared" si="0"/>
        <v>1.0069337442218798</v>
      </c>
      <c r="J134" s="4">
        <f t="shared" si="1"/>
        <v>1.2360617590641803</v>
      </c>
      <c r="K134" s="4">
        <f t="shared" si="2"/>
        <v>2.1477469261972892</v>
      </c>
      <c r="L134" s="4">
        <f t="shared" si="3"/>
        <v>2.0126411119147196</v>
      </c>
      <c r="M134" s="4">
        <f t="shared" si="4"/>
        <v>2.0221376686267725</v>
      </c>
      <c r="N134" s="4">
        <f t="shared" si="5"/>
        <v>3.0505958932109056</v>
      </c>
      <c r="O134" s="4">
        <f t="shared" si="6"/>
        <v>5.8398163579761642</v>
      </c>
      <c r="R134" s="4">
        <f t="shared" si="8"/>
        <v>1.1100000000000001</v>
      </c>
    </row>
    <row r="135" spans="1:18" ht="14.25" customHeight="1">
      <c r="A135" s="33">
        <v>35096</v>
      </c>
      <c r="B135" s="3">
        <v>640.42999999999995</v>
      </c>
      <c r="C135" s="3">
        <v>636.02</v>
      </c>
      <c r="D135" s="3">
        <v>664.23</v>
      </c>
      <c r="E135" s="3">
        <v>633.71</v>
      </c>
      <c r="F135" s="3">
        <v>640.42999999999995</v>
      </c>
      <c r="G135" s="3">
        <v>8749960000</v>
      </c>
      <c r="I135" s="15">
        <f t="shared" si="0"/>
        <v>1.0079165560638947</v>
      </c>
      <c r="J135" s="4">
        <f t="shared" si="1"/>
        <v>1.2348266008775355</v>
      </c>
      <c r="K135" s="4">
        <f t="shared" si="2"/>
        <v>1.9361054291647801</v>
      </c>
      <c r="L135" s="4">
        <f t="shared" si="3"/>
        <v>1.999687709819965</v>
      </c>
      <c r="M135" s="4">
        <f t="shared" si="4"/>
        <v>2.0723888637321801</v>
      </c>
      <c r="N135" s="4">
        <f t="shared" si="5"/>
        <v>3.0170822728479307</v>
      </c>
      <c r="O135" s="4">
        <f t="shared" si="6"/>
        <v>5.9509235982074546</v>
      </c>
      <c r="R135" s="4">
        <f t="shared" si="8"/>
        <v>1.1100000000000001</v>
      </c>
    </row>
    <row r="136" spans="1:18" ht="14.25" customHeight="1">
      <c r="A136" s="33">
        <v>35125</v>
      </c>
      <c r="B136" s="3">
        <v>645.5</v>
      </c>
      <c r="C136" s="3">
        <v>640.42999999999995</v>
      </c>
      <c r="D136" s="3">
        <v>656.97</v>
      </c>
      <c r="E136" s="3">
        <v>627.63</v>
      </c>
      <c r="F136" s="3">
        <v>645.5</v>
      </c>
      <c r="G136" s="3">
        <v>8984200000</v>
      </c>
      <c r="I136" s="15">
        <f t="shared" si="0"/>
        <v>1.013431448489543</v>
      </c>
      <c r="J136" s="4">
        <f t="shared" si="1"/>
        <v>1.1729202168861348</v>
      </c>
      <c r="K136" s="4">
        <f t="shared" si="2"/>
        <v>1.7975677769171183</v>
      </c>
      <c r="L136" s="4">
        <f t="shared" si="3"/>
        <v>2.0059953524399687</v>
      </c>
      <c r="M136" s="4">
        <f t="shared" si="4"/>
        <v>2.0539581719597209</v>
      </c>
      <c r="N136" s="4">
        <f t="shared" si="5"/>
        <v>3.1909217660728113</v>
      </c>
      <c r="O136" s="4">
        <f t="shared" si="6"/>
        <v>6.1547482571649885</v>
      </c>
      <c r="R136" s="4">
        <f t="shared" si="8"/>
        <v>1.1100000000000001</v>
      </c>
    </row>
    <row r="137" spans="1:18" ht="14.25" customHeight="1">
      <c r="A137" s="33">
        <v>35156</v>
      </c>
      <c r="B137" s="3">
        <v>654.16999999999996</v>
      </c>
      <c r="C137" s="3">
        <v>645.5</v>
      </c>
      <c r="D137" s="3">
        <v>656.68</v>
      </c>
      <c r="E137" s="3">
        <v>624.14</v>
      </c>
      <c r="F137" s="3">
        <v>654.16999999999996</v>
      </c>
      <c r="G137" s="3">
        <v>8875580000</v>
      </c>
      <c r="I137" s="15">
        <f t="shared" si="0"/>
        <v>1.0228533867343352</v>
      </c>
      <c r="J137" s="4">
        <f t="shared" si="1"/>
        <v>1.2249721020529833</v>
      </c>
      <c r="K137" s="4">
        <f t="shared" si="2"/>
        <v>1.9099928153232342</v>
      </c>
      <c r="L137" s="4">
        <f t="shared" si="3"/>
        <v>2.0034700460125046</v>
      </c>
      <c r="M137" s="4">
        <f t="shared" si="4"/>
        <v>2.0844887414586424</v>
      </c>
      <c r="N137" s="4">
        <f t="shared" si="5"/>
        <v>3.1571304095265762</v>
      </c>
      <c r="O137" s="4">
        <f t="shared" si="6"/>
        <v>6.3915648837458159</v>
      </c>
      <c r="R137" s="4">
        <f t="shared" si="8"/>
        <v>1.1100000000000001</v>
      </c>
    </row>
    <row r="138" spans="1:18" ht="14.25" customHeight="1">
      <c r="A138" s="33">
        <v>35186</v>
      </c>
      <c r="B138" s="3">
        <v>669.12</v>
      </c>
      <c r="C138" s="3">
        <v>654.16999999999996</v>
      </c>
      <c r="D138" s="3">
        <v>681.1</v>
      </c>
      <c r="E138" s="3">
        <v>630.07000000000005</v>
      </c>
      <c r="F138" s="3">
        <v>669.12</v>
      </c>
      <c r="G138" s="3">
        <v>8921140000</v>
      </c>
      <c r="I138" s="15">
        <f t="shared" si="0"/>
        <v>1.0022566953610712</v>
      </c>
      <c r="J138" s="4">
        <f t="shared" si="1"/>
        <v>1.2677546628407461</v>
      </c>
      <c r="K138" s="4">
        <f t="shared" si="2"/>
        <v>1.8768232902917263</v>
      </c>
      <c r="L138" s="4">
        <f t="shared" si="3"/>
        <v>1.8981498087039692</v>
      </c>
      <c r="M138" s="4">
        <f t="shared" si="4"/>
        <v>2.0104017216642753</v>
      </c>
      <c r="N138" s="4">
        <f t="shared" si="5"/>
        <v>3.1338922764227641</v>
      </c>
      <c r="O138" s="4">
        <f t="shared" si="6"/>
        <v>6.2830434002869433</v>
      </c>
      <c r="R138" s="4">
        <f t="shared" si="8"/>
        <v>1.1100000000000001</v>
      </c>
    </row>
    <row r="139" spans="1:18" ht="14.25" customHeight="1">
      <c r="A139" s="33">
        <v>35217</v>
      </c>
      <c r="B139" s="3">
        <v>670.63</v>
      </c>
      <c r="C139" s="3">
        <v>669.12</v>
      </c>
      <c r="D139" s="3">
        <v>680.32</v>
      </c>
      <c r="E139" s="3">
        <v>658.75</v>
      </c>
      <c r="F139" s="3">
        <v>670.63</v>
      </c>
      <c r="G139" s="3">
        <v>7930840000</v>
      </c>
      <c r="I139" s="15">
        <f t="shared" si="0"/>
        <v>0.95425197202630374</v>
      </c>
      <c r="J139" s="4">
        <f t="shared" si="1"/>
        <v>1.3198634120155674</v>
      </c>
      <c r="K139" s="4">
        <f t="shared" si="2"/>
        <v>1.8257161176803902</v>
      </c>
      <c r="L139" s="4">
        <f t="shared" si="3"/>
        <v>1.8940399326006889</v>
      </c>
      <c r="M139" s="4">
        <f t="shared" si="4"/>
        <v>1.9692527921506644</v>
      </c>
      <c r="N139" s="4">
        <f t="shared" si="5"/>
        <v>3.12968402845086</v>
      </c>
      <c r="O139" s="4">
        <f t="shared" si="6"/>
        <v>6.4081535272803185</v>
      </c>
      <c r="R139" s="4">
        <f t="shared" si="8"/>
        <v>1.1100000000000001</v>
      </c>
    </row>
    <row r="140" spans="1:18" ht="14.25" customHeight="1">
      <c r="A140" s="33">
        <v>35247</v>
      </c>
      <c r="B140" s="3">
        <v>639.95000000000005</v>
      </c>
      <c r="C140" s="3">
        <v>670.63</v>
      </c>
      <c r="D140" s="3">
        <v>675.88</v>
      </c>
      <c r="E140" s="3">
        <v>605.88</v>
      </c>
      <c r="F140" s="3">
        <v>639.95000000000005</v>
      </c>
      <c r="G140" s="3">
        <v>8849860000</v>
      </c>
      <c r="I140" s="15">
        <f t="shared" si="0"/>
        <v>1.0188139698413938</v>
      </c>
      <c r="J140" s="4">
        <f t="shared" si="1"/>
        <v>1.4912258770216422</v>
      </c>
      <c r="K140" s="4">
        <f t="shared" si="2"/>
        <v>1.8926947417767013</v>
      </c>
      <c r="L140" s="4">
        <f t="shared" si="3"/>
        <v>1.994937104461286</v>
      </c>
      <c r="M140" s="4">
        <f t="shared" si="4"/>
        <v>2.0193452613485428</v>
      </c>
      <c r="N140" s="4">
        <f t="shared" si="5"/>
        <v>3.3965153527619343</v>
      </c>
      <c r="O140" s="4">
        <f t="shared" si="6"/>
        <v>6.8681303226814592</v>
      </c>
      <c r="R140" s="4">
        <f t="shared" si="8"/>
        <v>1.1100000000000001</v>
      </c>
    </row>
    <row r="141" spans="1:18" ht="14.25" customHeight="1">
      <c r="A141" s="33">
        <v>35278</v>
      </c>
      <c r="B141" s="3">
        <v>651.99</v>
      </c>
      <c r="C141" s="3">
        <v>639.95000000000005</v>
      </c>
      <c r="D141" s="3">
        <v>670.68</v>
      </c>
      <c r="E141" s="3">
        <v>639.49</v>
      </c>
      <c r="F141" s="3">
        <v>651.99</v>
      </c>
      <c r="G141" s="3">
        <v>7380320000</v>
      </c>
      <c r="I141" s="15">
        <f t="shared" si="0"/>
        <v>1.054203285326462</v>
      </c>
      <c r="J141" s="4">
        <f t="shared" si="1"/>
        <v>1.3795763738707649</v>
      </c>
      <c r="K141" s="4">
        <f t="shared" si="2"/>
        <v>1.7386462982561082</v>
      </c>
      <c r="L141" s="4">
        <f t="shared" si="3"/>
        <v>1.9997545974631512</v>
      </c>
      <c r="M141" s="4">
        <f t="shared" si="4"/>
        <v>1.8694918633721378</v>
      </c>
      <c r="N141" s="4">
        <f t="shared" si="5"/>
        <v>3.3297289835733674</v>
      </c>
      <c r="O141" s="4">
        <f t="shared" si="6"/>
        <v>6.936732158468689</v>
      </c>
      <c r="R141" s="4">
        <f t="shared" si="8"/>
        <v>1.1100000000000001</v>
      </c>
    </row>
    <row r="142" spans="1:18" ht="14.25" customHeight="1">
      <c r="A142" s="33">
        <v>35309</v>
      </c>
      <c r="B142" s="3">
        <v>687.33</v>
      </c>
      <c r="C142" s="3">
        <v>651.99</v>
      </c>
      <c r="D142" s="3">
        <v>690.88</v>
      </c>
      <c r="E142" s="3">
        <v>643.97</v>
      </c>
      <c r="F142" s="3">
        <v>687.33</v>
      </c>
      <c r="G142" s="3">
        <v>8064070000</v>
      </c>
      <c r="I142" s="15">
        <f t="shared" si="0"/>
        <v>1.0261009995198811</v>
      </c>
      <c r="J142" s="4">
        <f t="shared" si="1"/>
        <v>1.3782026100999518</v>
      </c>
      <c r="K142" s="4">
        <f t="shared" si="2"/>
        <v>1.5144690323425429</v>
      </c>
      <c r="L142" s="4">
        <f t="shared" si="3"/>
        <v>1.9435351286863658</v>
      </c>
      <c r="M142" s="4">
        <f t="shared" si="4"/>
        <v>1.646108856008031</v>
      </c>
      <c r="N142" s="4">
        <f t="shared" si="5"/>
        <v>3.1546273260297091</v>
      </c>
      <c r="O142" s="4">
        <f t="shared" si="6"/>
        <v>6.2670624008845817</v>
      </c>
      <c r="R142" s="4">
        <f t="shared" si="8"/>
        <v>1.1100000000000001</v>
      </c>
    </row>
    <row r="143" spans="1:18" ht="14.25" customHeight="1">
      <c r="A143" s="33">
        <v>35339</v>
      </c>
      <c r="B143" s="3">
        <v>705.27</v>
      </c>
      <c r="C143" s="3">
        <v>687.31</v>
      </c>
      <c r="D143" s="3">
        <v>714.1</v>
      </c>
      <c r="E143" s="3">
        <v>684.44</v>
      </c>
      <c r="F143" s="3">
        <v>705.27</v>
      </c>
      <c r="G143" s="3">
        <v>9703670000</v>
      </c>
      <c r="I143" s="15">
        <f t="shared" si="0"/>
        <v>1.0733761538134332</v>
      </c>
      <c r="J143" s="4">
        <f t="shared" si="1"/>
        <v>1.2968366724800431</v>
      </c>
      <c r="K143" s="4">
        <f t="shared" si="2"/>
        <v>1.5026585562975883</v>
      </c>
      <c r="L143" s="4">
        <f t="shared" si="3"/>
        <v>1.9537765678392673</v>
      </c>
      <c r="M143" s="4">
        <f t="shared" si="4"/>
        <v>1.777049924142527</v>
      </c>
      <c r="N143" s="4">
        <f t="shared" si="5"/>
        <v>3.0146610517957662</v>
      </c>
      <c r="O143" s="4">
        <f t="shared" si="6"/>
        <v>6.5299530676194939</v>
      </c>
      <c r="R143" s="4">
        <f t="shared" si="8"/>
        <v>1.1100000000000001</v>
      </c>
    </row>
    <row r="144" spans="1:18" ht="14.25" customHeight="1">
      <c r="A144" s="33">
        <v>35370</v>
      </c>
      <c r="B144" s="3">
        <v>757.02</v>
      </c>
      <c r="C144" s="3">
        <v>705.27</v>
      </c>
      <c r="D144" s="3">
        <v>762.12</v>
      </c>
      <c r="E144" s="3">
        <v>701.3</v>
      </c>
      <c r="F144" s="3">
        <v>757.02</v>
      </c>
      <c r="G144" s="3">
        <v>8763850000</v>
      </c>
      <c r="I144" s="15">
        <f t="shared" si="0"/>
        <v>0.978494623655914</v>
      </c>
      <c r="J144" s="4">
        <f t="shared" si="1"/>
        <v>1.262053842699004</v>
      </c>
      <c r="K144" s="4">
        <f t="shared" si="2"/>
        <v>1.505178198726586</v>
      </c>
      <c r="L144" s="4">
        <f t="shared" si="3"/>
        <v>1.8501888985759956</v>
      </c>
      <c r="M144" s="4">
        <f t="shared" si="4"/>
        <v>1.6471955826794538</v>
      </c>
      <c r="N144" s="4">
        <f t="shared" si="5"/>
        <v>2.9045599852051467</v>
      </c>
      <c r="O144" s="4">
        <f t="shared" si="6"/>
        <v>6.0328657102850656</v>
      </c>
      <c r="R144" s="4">
        <f t="shared" si="8"/>
        <v>1.1100000000000001</v>
      </c>
    </row>
    <row r="145" spans="1:18" ht="14.25" customHeight="1">
      <c r="A145" s="33">
        <v>35400</v>
      </c>
      <c r="B145" s="3">
        <v>740.74</v>
      </c>
      <c r="C145" s="3">
        <v>757.02</v>
      </c>
      <c r="D145" s="3">
        <v>761.75</v>
      </c>
      <c r="E145" s="3">
        <v>716.69</v>
      </c>
      <c r="F145" s="3">
        <v>740.74</v>
      </c>
      <c r="G145" s="3">
        <v>9089170000</v>
      </c>
      <c r="I145" s="15">
        <f t="shared" si="0"/>
        <v>1.0613170613170613</v>
      </c>
      <c r="J145" s="4">
        <f t="shared" si="1"/>
        <v>1.3100818100818099</v>
      </c>
      <c r="K145" s="4">
        <f t="shared" si="2"/>
        <v>1.5499095499095499</v>
      </c>
      <c r="L145" s="4">
        <f t="shared" si="3"/>
        <v>1.9147069147069147</v>
      </c>
      <c r="M145" s="4">
        <f t="shared" si="4"/>
        <v>1.6977616977616976</v>
      </c>
      <c r="N145" s="4">
        <f t="shared" si="5"/>
        <v>3.0224235224235221</v>
      </c>
      <c r="O145" s="4">
        <f t="shared" si="6"/>
        <v>6.4343494343494347</v>
      </c>
      <c r="R145" s="4">
        <f t="shared" si="8"/>
        <v>1.1100000000000001</v>
      </c>
    </row>
    <row r="146" spans="1:18" ht="14.25" customHeight="1">
      <c r="A146" s="33">
        <v>35431</v>
      </c>
      <c r="B146" s="3">
        <v>786.16</v>
      </c>
      <c r="C146" s="3">
        <v>740.74</v>
      </c>
      <c r="D146" s="3">
        <v>794.67</v>
      </c>
      <c r="E146" s="3">
        <v>729.55</v>
      </c>
      <c r="F146" s="3">
        <v>786.16</v>
      </c>
      <c r="G146" s="3">
        <v>11635830000</v>
      </c>
      <c r="I146" s="15">
        <f t="shared" si="0"/>
        <v>1.0059275465554087</v>
      </c>
      <c r="J146" s="4">
        <f t="shared" si="1"/>
        <v>1.2469217462094231</v>
      </c>
      <c r="K146" s="4">
        <f t="shared" si="2"/>
        <v>1.4376208405413657</v>
      </c>
      <c r="L146" s="4">
        <f t="shared" si="3"/>
        <v>1.8294494759336524</v>
      </c>
      <c r="M146" s="4">
        <f t="shared" si="4"/>
        <v>1.6693929988806351</v>
      </c>
      <c r="N146" s="4">
        <f t="shared" si="5"/>
        <v>2.8987356263356059</v>
      </c>
      <c r="O146" s="4">
        <f t="shared" si="6"/>
        <v>5.7438053322478888</v>
      </c>
      <c r="R146" s="4">
        <f t="shared" si="8"/>
        <v>1.1100000000000001</v>
      </c>
    </row>
    <row r="147" spans="1:18" ht="14.25" customHeight="1">
      <c r="A147" s="33">
        <v>35462</v>
      </c>
      <c r="B147" s="3">
        <v>790.82</v>
      </c>
      <c r="C147" s="3">
        <v>786.16</v>
      </c>
      <c r="D147" s="3">
        <v>817.68</v>
      </c>
      <c r="E147" s="3">
        <v>773.43</v>
      </c>
      <c r="F147" s="3">
        <v>790.82</v>
      </c>
      <c r="G147" s="3">
        <v>9715930000</v>
      </c>
      <c r="I147" s="15">
        <f t="shared" si="0"/>
        <v>0.95738600440049559</v>
      </c>
      <c r="J147" s="4">
        <f t="shared" si="1"/>
        <v>1.3269011911686601</v>
      </c>
      <c r="K147" s="4">
        <f t="shared" si="2"/>
        <v>1.3994714347133355</v>
      </c>
      <c r="L147" s="4">
        <f t="shared" si="3"/>
        <v>1.7789383171897521</v>
      </c>
      <c r="M147" s="4">
        <f t="shared" si="4"/>
        <v>1.7269163652917225</v>
      </c>
      <c r="N147" s="4">
        <f t="shared" si="5"/>
        <v>2.9888470195493282</v>
      </c>
      <c r="O147" s="4">
        <f t="shared" si="6"/>
        <v>5.5308919855340015</v>
      </c>
      <c r="R147" s="4">
        <f t="shared" si="8"/>
        <v>1.1100000000000001</v>
      </c>
    </row>
    <row r="148" spans="1:18" ht="14.25" customHeight="1">
      <c r="A148" s="33">
        <v>35490</v>
      </c>
      <c r="B148" s="3">
        <v>757.12</v>
      </c>
      <c r="C148" s="3">
        <v>790.82</v>
      </c>
      <c r="D148" s="3">
        <v>814.9</v>
      </c>
      <c r="E148" s="3">
        <v>756.13</v>
      </c>
      <c r="F148" s="3">
        <v>757.12</v>
      </c>
      <c r="G148" s="3">
        <v>10120760000</v>
      </c>
      <c r="I148" s="15">
        <f t="shared" si="0"/>
        <v>1.0584055367709215</v>
      </c>
      <c r="J148" s="4">
        <f t="shared" si="1"/>
        <v>1.4551854395604396</v>
      </c>
      <c r="K148" s="4">
        <f t="shared" si="2"/>
        <v>1.5154665046491971</v>
      </c>
      <c r="L148" s="4">
        <f t="shared" si="3"/>
        <v>1.8766642011834318</v>
      </c>
      <c r="M148" s="4">
        <f t="shared" si="4"/>
        <v>1.8602995562130178</v>
      </c>
      <c r="N148" s="4">
        <f t="shared" si="5"/>
        <v>3.1206677937447167</v>
      </c>
      <c r="O148" s="4">
        <f t="shared" si="6"/>
        <v>5.9837410185967874</v>
      </c>
      <c r="R148" s="4">
        <f t="shared" si="8"/>
        <v>1.1100000000000001</v>
      </c>
    </row>
    <row r="149" spans="1:18" ht="14.25" customHeight="1">
      <c r="A149" s="33">
        <v>35521</v>
      </c>
      <c r="B149" s="3">
        <v>801.34</v>
      </c>
      <c r="C149" s="3">
        <v>757.12</v>
      </c>
      <c r="D149" s="3">
        <v>804.13</v>
      </c>
      <c r="E149" s="3">
        <v>733.54</v>
      </c>
      <c r="F149" s="3">
        <v>801.34</v>
      </c>
      <c r="G149" s="3">
        <v>10454880000</v>
      </c>
      <c r="I149" s="15">
        <f t="shared" si="0"/>
        <v>1.0585768837197693</v>
      </c>
      <c r="J149" s="4">
        <f t="shared" si="1"/>
        <v>1.3873636658596851</v>
      </c>
      <c r="K149" s="4">
        <f t="shared" si="2"/>
        <v>1.3438989692265455</v>
      </c>
      <c r="L149" s="4">
        <f t="shared" si="3"/>
        <v>1.8498639778371226</v>
      </c>
      <c r="M149" s="4">
        <f t="shared" si="4"/>
        <v>1.7444655202535753</v>
      </c>
      <c r="N149" s="4">
        <f t="shared" si="5"/>
        <v>2.975266428731874</v>
      </c>
      <c r="O149" s="4">
        <f t="shared" si="6"/>
        <v>5.1562757381386177</v>
      </c>
      <c r="R149" s="4">
        <f t="shared" si="8"/>
        <v>1.1100000000000001</v>
      </c>
    </row>
    <row r="150" spans="1:18" ht="14.25" customHeight="1">
      <c r="A150" s="33">
        <v>35551</v>
      </c>
      <c r="B150" s="3">
        <v>848.28</v>
      </c>
      <c r="C150" s="3">
        <v>801.34</v>
      </c>
      <c r="D150" s="3">
        <v>851.87</v>
      </c>
      <c r="E150" s="3">
        <v>793.21</v>
      </c>
      <c r="F150" s="3">
        <v>848.28</v>
      </c>
      <c r="G150" s="3">
        <v>10106650000</v>
      </c>
      <c r="I150" s="15">
        <f t="shared" si="0"/>
        <v>1.0434526335643892</v>
      </c>
      <c r="J150" s="4">
        <f t="shared" si="1"/>
        <v>1.285919743480926</v>
      </c>
      <c r="K150" s="4">
        <f t="shared" si="2"/>
        <v>1.2580044324987034</v>
      </c>
      <c r="L150" s="4">
        <f t="shared" si="3"/>
        <v>1.8043806290375819</v>
      </c>
      <c r="M150" s="4">
        <f t="shared" si="4"/>
        <v>1.5446904324043946</v>
      </c>
      <c r="N150" s="4">
        <f t="shared" si="5"/>
        <v>2.8431649926910927</v>
      </c>
      <c r="O150" s="4">
        <f t="shared" si="6"/>
        <v>4.8608242561418402</v>
      </c>
      <c r="R150" s="4">
        <f t="shared" si="8"/>
        <v>1.1100000000000001</v>
      </c>
    </row>
    <row r="151" spans="1:18" ht="14.25" customHeight="1">
      <c r="A151" s="33">
        <v>35582</v>
      </c>
      <c r="B151" s="3">
        <v>885.14</v>
      </c>
      <c r="C151" s="3">
        <v>848.28</v>
      </c>
      <c r="D151" s="3">
        <v>902.09</v>
      </c>
      <c r="E151" s="3">
        <v>838.82</v>
      </c>
      <c r="F151" s="3">
        <v>885.14</v>
      </c>
      <c r="G151" s="3">
        <v>10857950000</v>
      </c>
      <c r="I151" s="15">
        <f t="shared" si="0"/>
        <v>1.0781458300381861</v>
      </c>
      <c r="J151" s="4">
        <f t="shared" si="1"/>
        <v>1.2809725015251825</v>
      </c>
      <c r="K151" s="4">
        <f t="shared" si="2"/>
        <v>1.1182637774815285</v>
      </c>
      <c r="L151" s="4">
        <f t="shared" si="3"/>
        <v>1.6984318864812344</v>
      </c>
      <c r="M151" s="4">
        <f t="shared" si="4"/>
        <v>1.538920396773392</v>
      </c>
      <c r="N151" s="4">
        <f t="shared" si="5"/>
        <v>2.7378832727026232</v>
      </c>
      <c r="O151" s="4">
        <f t="shared" si="6"/>
        <v>4.6584043202205301</v>
      </c>
      <c r="R151" s="4">
        <f t="shared" si="8"/>
        <v>1.1100000000000001</v>
      </c>
    </row>
    <row r="152" spans="1:18" ht="14.25" customHeight="1">
      <c r="A152" s="33">
        <v>35612</v>
      </c>
      <c r="B152" s="3">
        <v>954.31</v>
      </c>
      <c r="C152" s="3">
        <v>885.14</v>
      </c>
      <c r="D152" s="3">
        <v>957.73</v>
      </c>
      <c r="E152" s="3">
        <v>884.54</v>
      </c>
      <c r="F152" s="3">
        <v>954.31</v>
      </c>
      <c r="G152" s="3">
        <v>11958120000</v>
      </c>
      <c r="I152" s="15">
        <f t="shared" si="0"/>
        <v>0.94253439657972782</v>
      </c>
      <c r="J152" s="4">
        <f t="shared" si="1"/>
        <v>1.1743249049051148</v>
      </c>
      <c r="K152" s="4">
        <f t="shared" si="2"/>
        <v>0.95526610849723892</v>
      </c>
      <c r="L152" s="4">
        <f t="shared" si="3"/>
        <v>1.5249447244606051</v>
      </c>
      <c r="M152" s="4">
        <f t="shared" si="4"/>
        <v>1.4453584265071098</v>
      </c>
      <c r="N152" s="4">
        <f t="shared" si="5"/>
        <v>2.5885718477224384</v>
      </c>
      <c r="O152" s="4"/>
      <c r="R152" s="4">
        <f t="shared" si="8"/>
        <v>1.1100000000000001</v>
      </c>
    </row>
    <row r="153" spans="1:18" ht="14.25" customHeight="1">
      <c r="A153" s="33">
        <v>35643</v>
      </c>
      <c r="B153" s="3">
        <v>899.47</v>
      </c>
      <c r="C153" s="3">
        <v>954.29</v>
      </c>
      <c r="D153" s="3">
        <v>964.17</v>
      </c>
      <c r="E153" s="3">
        <v>893.34</v>
      </c>
      <c r="F153" s="3">
        <v>899.47</v>
      </c>
      <c r="G153" s="3">
        <v>10606100000</v>
      </c>
      <c r="I153" s="15">
        <f t="shared" si="0"/>
        <v>1.0531535237417591</v>
      </c>
      <c r="J153" s="4">
        <f t="shared" si="1"/>
        <v>1.0642711819182407</v>
      </c>
      <c r="K153" s="4">
        <f t="shared" si="2"/>
        <v>1.0184553125729596</v>
      </c>
      <c r="L153" s="4">
        <f t="shared" si="3"/>
        <v>1.6387316975552269</v>
      </c>
      <c r="M153" s="4">
        <f t="shared" si="4"/>
        <v>1.5637875637875636</v>
      </c>
      <c r="N153" s="4">
        <f t="shared" si="5"/>
        <v>2.7478959831901006</v>
      </c>
      <c r="O153" s="4"/>
      <c r="R153" s="4">
        <f t="shared" si="8"/>
        <v>1.0642711819182407</v>
      </c>
    </row>
    <row r="154" spans="1:18" ht="14.25" customHeight="1">
      <c r="A154" s="33">
        <v>35674</v>
      </c>
      <c r="B154" s="3">
        <v>947.28</v>
      </c>
      <c r="C154" s="3">
        <v>899.47</v>
      </c>
      <c r="D154" s="3">
        <v>960.59</v>
      </c>
      <c r="E154" s="3">
        <v>899.47</v>
      </c>
      <c r="F154" s="3">
        <v>947.28</v>
      </c>
      <c r="G154" s="3">
        <v>11383000000</v>
      </c>
      <c r="I154" s="15">
        <f t="shared" si="0"/>
        <v>0.96552233764040207</v>
      </c>
      <c r="J154" s="4">
        <f t="shared" si="1"/>
        <v>1.0736107592264168</v>
      </c>
      <c r="K154" s="4">
        <f t="shared" si="2"/>
        <v>0.86065366100836083</v>
      </c>
      <c r="L154" s="4">
        <f t="shared" si="3"/>
        <v>1.6117198716324634</v>
      </c>
      <c r="M154" s="4">
        <f t="shared" si="4"/>
        <v>1.5208491681445826</v>
      </c>
      <c r="N154" s="4">
        <f t="shared" si="5"/>
        <v>2.6595726712270924</v>
      </c>
      <c r="O154" s="4"/>
      <c r="R154" s="4">
        <f t="shared" si="8"/>
        <v>1.0736107592264168</v>
      </c>
    </row>
    <row r="155" spans="1:18" ht="14.25" customHeight="1">
      <c r="A155" s="33">
        <v>35704</v>
      </c>
      <c r="B155" s="3">
        <v>914.62</v>
      </c>
      <c r="C155" s="3">
        <v>947.28</v>
      </c>
      <c r="D155" s="3">
        <v>983.12</v>
      </c>
      <c r="E155" s="3">
        <v>855.27</v>
      </c>
      <c r="F155" s="3">
        <v>914.62</v>
      </c>
      <c r="G155" s="3">
        <v>14017260000</v>
      </c>
      <c r="I155" s="15">
        <f t="shared" si="0"/>
        <v>1.0445868229428614</v>
      </c>
      <c r="J155" s="4">
        <f t="shared" si="1"/>
        <v>1.2012311123745381</v>
      </c>
      <c r="K155" s="4">
        <f t="shared" si="2"/>
        <v>0.96844591196343832</v>
      </c>
      <c r="L155" s="4">
        <f t="shared" si="3"/>
        <v>1.6940150007653454</v>
      </c>
      <c r="M155" s="4">
        <f t="shared" si="4"/>
        <v>1.5439854803087623</v>
      </c>
      <c r="N155" s="4">
        <f t="shared" si="5"/>
        <v>2.8156611488924366</v>
      </c>
      <c r="O155" s="4"/>
      <c r="R155" s="4">
        <f t="shared" si="8"/>
        <v>1.1100000000000001</v>
      </c>
    </row>
    <row r="156" spans="1:18" ht="14.25" customHeight="1">
      <c r="A156" s="33">
        <v>35735</v>
      </c>
      <c r="B156" s="3">
        <v>955.4</v>
      </c>
      <c r="C156" s="3">
        <v>914.62</v>
      </c>
      <c r="D156" s="3">
        <v>964.55</v>
      </c>
      <c r="E156" s="3">
        <v>900.61</v>
      </c>
      <c r="F156" s="3">
        <v>955.4</v>
      </c>
      <c r="G156" s="3">
        <v>10173620000</v>
      </c>
      <c r="I156" s="15">
        <f t="shared" si="0"/>
        <v>1.0157316307305839</v>
      </c>
      <c r="J156" s="4">
        <f t="shared" si="1"/>
        <v>1.2179505966087505</v>
      </c>
      <c r="K156" s="4">
        <f t="shared" si="2"/>
        <v>0.98001884027632402</v>
      </c>
      <c r="L156" s="4">
        <f t="shared" si="3"/>
        <v>1.550282604144861</v>
      </c>
      <c r="M156" s="4">
        <f t="shared" si="4"/>
        <v>1.4822901402553905</v>
      </c>
      <c r="N156" s="4">
        <f t="shared" si="5"/>
        <v>2.7711743772241992</v>
      </c>
      <c r="O156" s="4"/>
      <c r="R156" s="4">
        <f t="shared" si="8"/>
        <v>1.1100000000000001</v>
      </c>
    </row>
    <row r="157" spans="1:18" ht="14.25" customHeight="1">
      <c r="A157" s="33">
        <v>35765</v>
      </c>
      <c r="B157" s="3">
        <v>970.43</v>
      </c>
      <c r="C157" s="3">
        <v>955.4</v>
      </c>
      <c r="D157" s="3">
        <v>986.25</v>
      </c>
      <c r="E157" s="3">
        <v>924.92</v>
      </c>
      <c r="F157" s="3">
        <v>970.43</v>
      </c>
      <c r="G157" s="3">
        <v>11958880000</v>
      </c>
      <c r="I157" s="15">
        <f t="shared" si="0"/>
        <v>1.0101501396288244</v>
      </c>
      <c r="J157" s="4">
        <f t="shared" si="1"/>
        <v>1.2666859021258619</v>
      </c>
      <c r="K157" s="4">
        <f t="shared" si="2"/>
        <v>0.90662902012509927</v>
      </c>
      <c r="L157" s="4">
        <f t="shared" si="3"/>
        <v>1.5131024391249239</v>
      </c>
      <c r="M157" s="4">
        <f t="shared" si="4"/>
        <v>1.4696474758612164</v>
      </c>
      <c r="N157" s="4">
        <f t="shared" si="5"/>
        <v>2.755077645991983</v>
      </c>
      <c r="O157" s="4"/>
      <c r="R157" s="4">
        <f t="shared" si="8"/>
        <v>1.1100000000000001</v>
      </c>
    </row>
    <row r="158" spans="1:18" ht="14.25" customHeight="1">
      <c r="A158" s="33">
        <v>35796</v>
      </c>
      <c r="B158" s="3">
        <v>980.28</v>
      </c>
      <c r="C158" s="3">
        <v>970.43</v>
      </c>
      <c r="D158" s="3">
        <v>992.65</v>
      </c>
      <c r="E158" s="3">
        <v>912.83</v>
      </c>
      <c r="F158" s="3">
        <v>980.28</v>
      </c>
      <c r="G158" s="3">
        <v>12733830000</v>
      </c>
      <c r="I158" s="15">
        <f t="shared" si="0"/>
        <v>1.0704492593952748</v>
      </c>
      <c r="J158" s="4">
        <f t="shared" si="1"/>
        <v>1.305382135716326</v>
      </c>
      <c r="K158" s="4">
        <f t="shared" si="2"/>
        <v>0.87291386134573801</v>
      </c>
      <c r="L158" s="4">
        <f t="shared" si="3"/>
        <v>1.4062818786469171</v>
      </c>
      <c r="M158" s="4">
        <f t="shared" si="4"/>
        <v>1.5282470314603991</v>
      </c>
      <c r="N158" s="4">
        <f t="shared" si="5"/>
        <v>2.8806157424409351</v>
      </c>
      <c r="O158" s="4"/>
      <c r="R158" s="4">
        <f t="shared" si="8"/>
        <v>1.1100000000000001</v>
      </c>
    </row>
    <row r="159" spans="1:18" ht="14.25" customHeight="1">
      <c r="A159" s="33">
        <v>35827</v>
      </c>
      <c r="B159" s="3">
        <v>1049.3399999999999</v>
      </c>
      <c r="C159" s="3">
        <v>980.28</v>
      </c>
      <c r="D159" s="3">
        <v>1051.6600000000001</v>
      </c>
      <c r="E159" s="3">
        <v>980.28</v>
      </c>
      <c r="F159" s="3">
        <v>1049.3399999999999</v>
      </c>
      <c r="G159" s="3">
        <v>11656550000</v>
      </c>
      <c r="I159" s="15">
        <f t="shared" si="0"/>
        <v>1.0499456801418035</v>
      </c>
      <c r="J159" s="4">
        <f t="shared" si="1"/>
        <v>1.1801036842205577</v>
      </c>
      <c r="K159" s="4">
        <f t="shared" si="2"/>
        <v>0.80159910038690996</v>
      </c>
      <c r="L159" s="4">
        <f t="shared" si="3"/>
        <v>1.2680637353002842</v>
      </c>
      <c r="M159" s="4">
        <f t="shared" si="4"/>
        <v>1.4434596984771382</v>
      </c>
      <c r="N159" s="4">
        <f t="shared" si="5"/>
        <v>2.5862256275373094</v>
      </c>
      <c r="O159" s="4"/>
      <c r="R159" s="4">
        <f t="shared" si="8"/>
        <v>1.1100000000000001</v>
      </c>
    </row>
    <row r="160" spans="1:18" ht="14.25" customHeight="1">
      <c r="A160" s="33">
        <v>35855</v>
      </c>
      <c r="B160" s="3">
        <v>1101.75</v>
      </c>
      <c r="C160" s="3">
        <v>1049.3399999999999</v>
      </c>
      <c r="D160" s="3">
        <v>1113.07</v>
      </c>
      <c r="E160" s="3">
        <v>1030.8699999999999</v>
      </c>
      <c r="F160" s="3">
        <v>1101.75</v>
      </c>
      <c r="G160" s="3">
        <v>13719590000</v>
      </c>
      <c r="I160" s="15">
        <f t="shared" si="0"/>
        <v>1.0090764692534604</v>
      </c>
      <c r="J160" s="4">
        <f t="shared" si="1"/>
        <v>1.1675697753573859</v>
      </c>
      <c r="K160" s="4">
        <f t="shared" si="2"/>
        <v>0.76984796914000453</v>
      </c>
      <c r="L160" s="4">
        <f t="shared" si="3"/>
        <v>1.2005445881552077</v>
      </c>
      <c r="M160" s="4">
        <f t="shared" si="4"/>
        <v>1.4242704787837532</v>
      </c>
      <c r="N160" s="4">
        <f t="shared" si="5"/>
        <v>2.3969775357385976</v>
      </c>
      <c r="O160" s="4"/>
      <c r="R160" s="4">
        <f t="shared" si="8"/>
        <v>1.1100000000000001</v>
      </c>
    </row>
    <row r="161" spans="1:18" ht="14.25" customHeight="1">
      <c r="A161" s="33">
        <v>35886</v>
      </c>
      <c r="B161" s="3">
        <v>1111.75</v>
      </c>
      <c r="C161" s="3">
        <v>1101.75</v>
      </c>
      <c r="D161" s="3">
        <v>1132.98</v>
      </c>
      <c r="E161" s="3">
        <v>1076.7</v>
      </c>
      <c r="F161" s="3">
        <v>1111.75</v>
      </c>
      <c r="G161" s="3">
        <v>13656060000</v>
      </c>
      <c r="I161" s="15">
        <f t="shared" si="0"/>
        <v>0.9811738250505958</v>
      </c>
      <c r="J161" s="4">
        <f t="shared" si="1"/>
        <v>1.200971441421183</v>
      </c>
      <c r="K161" s="4">
        <f t="shared" si="2"/>
        <v>0.82475376658421407</v>
      </c>
      <c r="L161" s="4">
        <f t="shared" si="3"/>
        <v>1.2463143692376883</v>
      </c>
      <c r="M161" s="4">
        <f t="shared" si="4"/>
        <v>1.4369867326287384</v>
      </c>
      <c r="N161" s="4">
        <f t="shared" si="5"/>
        <v>2.3818754216325613</v>
      </c>
      <c r="O161" s="4"/>
      <c r="R161" s="4">
        <f t="shared" si="8"/>
        <v>1.1100000000000001</v>
      </c>
    </row>
    <row r="162" spans="1:18" ht="14.25" customHeight="1">
      <c r="A162" s="33">
        <v>35916</v>
      </c>
      <c r="B162" s="3">
        <v>1090.82</v>
      </c>
      <c r="C162" s="3">
        <v>1111.75</v>
      </c>
      <c r="D162" s="3">
        <v>1130.52</v>
      </c>
      <c r="E162" s="3">
        <v>1074.3900000000001</v>
      </c>
      <c r="F162" s="3">
        <v>1090.82</v>
      </c>
      <c r="G162" s="3">
        <v>11477140000</v>
      </c>
      <c r="I162" s="15">
        <f t="shared" si="0"/>
        <v>1.0394382207880311</v>
      </c>
      <c r="J162" s="4">
        <f t="shared" si="1"/>
        <v>1.1934507984818761</v>
      </c>
      <c r="K162" s="4">
        <f t="shared" si="2"/>
        <v>0.88336297464292923</v>
      </c>
      <c r="L162" s="4">
        <f t="shared" si="3"/>
        <v>1.2837865092315874</v>
      </c>
      <c r="M162" s="4">
        <f t="shared" si="4"/>
        <v>1.4949670889789333</v>
      </c>
      <c r="N162" s="4">
        <f t="shared" si="5"/>
        <v>2.4800333693918337</v>
      </c>
      <c r="O162" s="4"/>
      <c r="R162" s="4">
        <f t="shared" si="8"/>
        <v>1.1100000000000001</v>
      </c>
    </row>
    <row r="163" spans="1:18" ht="14.25" customHeight="1">
      <c r="A163" s="33">
        <v>35947</v>
      </c>
      <c r="B163" s="3">
        <v>1133.8399999999999</v>
      </c>
      <c r="C163" s="3">
        <v>1090.82</v>
      </c>
      <c r="D163" s="3">
        <v>1145.1500000000001</v>
      </c>
      <c r="E163" s="3">
        <v>1074.67</v>
      </c>
      <c r="F163" s="3">
        <v>1133.8399999999999</v>
      </c>
      <c r="G163" s="3">
        <v>13551970000</v>
      </c>
      <c r="I163" s="15">
        <f t="shared" si="0"/>
        <v>0.98838460452973975</v>
      </c>
      <c r="J163" s="4">
        <f t="shared" si="1"/>
        <v>1.2106734636280252</v>
      </c>
      <c r="K163" s="4">
        <f t="shared" si="2"/>
        <v>0.85946870810696396</v>
      </c>
      <c r="L163" s="4">
        <f t="shared" si="3"/>
        <v>1.1289070768362379</v>
      </c>
      <c r="M163" s="4">
        <f t="shared" si="4"/>
        <v>1.4166725463910252</v>
      </c>
      <c r="N163" s="4">
        <f t="shared" si="5"/>
        <v>2.3974899456713472</v>
      </c>
      <c r="O163" s="4"/>
      <c r="R163" s="4">
        <f t="shared" si="8"/>
        <v>1.1100000000000001</v>
      </c>
    </row>
    <row r="164" spans="1:18" ht="14.25" customHeight="1">
      <c r="A164" s="33">
        <v>35977</v>
      </c>
      <c r="B164" s="3">
        <v>1120.67</v>
      </c>
      <c r="C164" s="3">
        <v>1133.8399999999999</v>
      </c>
      <c r="D164" s="3">
        <v>1190.58</v>
      </c>
      <c r="E164" s="3">
        <v>1114.3</v>
      </c>
      <c r="F164" s="3">
        <v>1120.67</v>
      </c>
      <c r="G164" s="3">
        <v>14194800000</v>
      </c>
      <c r="I164" s="15">
        <f t="shared" si="0"/>
        <v>0.85420328910383958</v>
      </c>
      <c r="J164" s="4">
        <f t="shared" si="1"/>
        <v>1.185647871362667</v>
      </c>
      <c r="K164" s="4">
        <f t="shared" si="2"/>
        <v>0.88367672909955641</v>
      </c>
      <c r="L164" s="4">
        <f t="shared" si="3"/>
        <v>1.1309127575468247</v>
      </c>
      <c r="M164" s="4">
        <f t="shared" si="4"/>
        <v>1.5042162277923028</v>
      </c>
      <c r="N164" s="4">
        <f t="shared" si="5"/>
        <v>2.5130413056475143</v>
      </c>
      <c r="O164" s="4"/>
      <c r="R164" s="4">
        <f t="shared" si="8"/>
        <v>1.1100000000000001</v>
      </c>
    </row>
    <row r="165" spans="1:18" ht="14.25" customHeight="1">
      <c r="A165" s="33">
        <v>36008</v>
      </c>
      <c r="B165" s="3">
        <v>957.28</v>
      </c>
      <c r="C165" s="3">
        <v>1120.67</v>
      </c>
      <c r="D165" s="3">
        <v>1121.79</v>
      </c>
      <c r="E165" s="3">
        <v>957.28</v>
      </c>
      <c r="F165" s="3">
        <v>957.28</v>
      </c>
      <c r="G165" s="3">
        <v>15071550000</v>
      </c>
      <c r="I165" s="15">
        <f t="shared" si="0"/>
        <v>1.0623955373558416</v>
      </c>
      <c r="J165" s="4">
        <f t="shared" si="1"/>
        <v>1.3793351997325758</v>
      </c>
      <c r="K165" s="4">
        <f t="shared" si="2"/>
        <v>1.0529938993815813</v>
      </c>
      <c r="L165" s="4">
        <f t="shared" si="3"/>
        <v>1.3400781380578304</v>
      </c>
      <c r="M165" s="4">
        <f t="shared" si="4"/>
        <v>1.7058436403142236</v>
      </c>
      <c r="N165" s="4">
        <f t="shared" si="5"/>
        <v>3.0310045127862275</v>
      </c>
      <c r="O165" s="4"/>
      <c r="R165" s="4">
        <f t="shared" si="8"/>
        <v>1.1100000000000001</v>
      </c>
    </row>
    <row r="166" spans="1:18" ht="14.25" customHeight="1">
      <c r="A166" s="33">
        <v>36039</v>
      </c>
      <c r="B166" s="3">
        <v>1017.01</v>
      </c>
      <c r="C166" s="3">
        <v>957.28</v>
      </c>
      <c r="D166" s="3">
        <v>1066.1099999999999</v>
      </c>
      <c r="E166" s="3">
        <v>939.98</v>
      </c>
      <c r="F166" s="3">
        <v>1017.01</v>
      </c>
      <c r="G166" s="3">
        <v>16714080000</v>
      </c>
      <c r="I166" s="15">
        <f t="shared" si="0"/>
        <v>1.0802941957306222</v>
      </c>
      <c r="J166" s="4">
        <f t="shared" si="1"/>
        <v>1.2612560348472484</v>
      </c>
      <c r="K166" s="4">
        <f t="shared" si="2"/>
        <v>0.97931190450438055</v>
      </c>
      <c r="L166" s="4">
        <f t="shared" si="3"/>
        <v>1.1468520466858731</v>
      </c>
      <c r="M166" s="4">
        <f t="shared" si="4"/>
        <v>1.653425236723336</v>
      </c>
      <c r="N166" s="4">
        <f t="shared" si="5"/>
        <v>2.865242229673258</v>
      </c>
      <c r="O166" s="4"/>
      <c r="R166" s="4">
        <f t="shared" si="8"/>
        <v>1.1100000000000001</v>
      </c>
    </row>
    <row r="167" spans="1:18" ht="14.25" customHeight="1">
      <c r="A167" s="33">
        <v>36069</v>
      </c>
      <c r="B167" s="3">
        <v>1098.67</v>
      </c>
      <c r="C167" s="3">
        <v>1017.01</v>
      </c>
      <c r="D167" s="3">
        <v>1103.78</v>
      </c>
      <c r="E167" s="3">
        <v>923.32</v>
      </c>
      <c r="F167" s="3">
        <v>1098.67</v>
      </c>
      <c r="G167" s="3">
        <v>18001650000</v>
      </c>
      <c r="I167" s="15">
        <f t="shared" si="0"/>
        <v>1.0591260342049933</v>
      </c>
      <c r="J167" s="4">
        <f t="shared" si="1"/>
        <v>1.2405271828665567</v>
      </c>
      <c r="K167" s="4">
        <f t="shared" si="2"/>
        <v>0.95634721982032822</v>
      </c>
      <c r="L167" s="4">
        <f t="shared" si="3"/>
        <v>0.8817479315900133</v>
      </c>
      <c r="M167" s="4">
        <f t="shared" si="4"/>
        <v>1.5987876250375452</v>
      </c>
      <c r="N167" s="4">
        <f t="shared" si="5"/>
        <v>2.4682024629779638</v>
      </c>
      <c r="O167" s="4"/>
      <c r="R167" s="4">
        <f t="shared" si="8"/>
        <v>1.1100000000000001</v>
      </c>
    </row>
    <row r="168" spans="1:18" ht="14.25" customHeight="1">
      <c r="A168" s="33">
        <v>36100</v>
      </c>
      <c r="B168" s="3">
        <v>1163.6300000000001</v>
      </c>
      <c r="C168" s="3">
        <v>1098.67</v>
      </c>
      <c r="D168" s="3">
        <v>1192.97</v>
      </c>
      <c r="E168" s="3">
        <v>1098.67</v>
      </c>
      <c r="F168" s="3">
        <v>1163.6300000000001</v>
      </c>
      <c r="G168" s="3">
        <v>13451280000</v>
      </c>
      <c r="I168" s="15">
        <f t="shared" si="0"/>
        <v>1.0563753083024672</v>
      </c>
      <c r="J168" s="4">
        <f t="shared" si="1"/>
        <v>1.1936010587557899</v>
      </c>
      <c r="K168" s="4">
        <f t="shared" si="2"/>
        <v>0.90939559825717797</v>
      </c>
      <c r="L168" s="4">
        <f t="shared" si="3"/>
        <v>0.77021046208846444</v>
      </c>
      <c r="M168" s="4">
        <f t="shared" si="4"/>
        <v>1.5518764555743663</v>
      </c>
      <c r="N168" s="4">
        <f t="shared" si="5"/>
        <v>2.3720340658112971</v>
      </c>
      <c r="O168" s="4"/>
      <c r="R168" s="4">
        <f t="shared" si="8"/>
        <v>1.1100000000000001</v>
      </c>
    </row>
    <row r="169" spans="1:18" ht="14.25" customHeight="1">
      <c r="A169" s="33">
        <v>36130</v>
      </c>
      <c r="B169" s="3">
        <v>1229.23</v>
      </c>
      <c r="C169" s="3">
        <v>1163.6300000000001</v>
      </c>
      <c r="D169" s="3">
        <v>1244.93</v>
      </c>
      <c r="E169" s="3">
        <v>1136.8900000000001</v>
      </c>
      <c r="F169" s="3">
        <v>1229.23</v>
      </c>
      <c r="G169" s="3">
        <v>15181450000</v>
      </c>
      <c r="I169" s="15">
        <f t="shared" si="0"/>
        <v>1.0410094123963782</v>
      </c>
      <c r="J169" s="4">
        <f t="shared" si="1"/>
        <v>1.1952604475972763</v>
      </c>
      <c r="K169" s="4">
        <f t="shared" si="2"/>
        <v>0.90456627319541505</v>
      </c>
      <c r="L169" s="4">
        <f t="shared" si="3"/>
        <v>0.73480959625131181</v>
      </c>
      <c r="M169" s="4">
        <f t="shared" si="4"/>
        <v>1.5036730310844999</v>
      </c>
      <c r="N169" s="4">
        <f t="shared" si="5"/>
        <v>2.0393661072378642</v>
      </c>
      <c r="O169" s="4"/>
      <c r="R169" s="4">
        <f t="shared" si="8"/>
        <v>1.1100000000000001</v>
      </c>
    </row>
    <row r="170" spans="1:18" ht="14.25" customHeight="1">
      <c r="A170" s="33">
        <v>36161</v>
      </c>
      <c r="B170" s="3">
        <v>1279.6400000000001</v>
      </c>
      <c r="C170" s="3">
        <v>1229.23</v>
      </c>
      <c r="D170" s="3">
        <v>1280.3699999999999</v>
      </c>
      <c r="E170" s="3">
        <v>1205.46</v>
      </c>
      <c r="F170" s="3">
        <v>1279.6400000000001</v>
      </c>
      <c r="G170" s="3">
        <v>16213500000</v>
      </c>
      <c r="I170" s="15">
        <f t="shared" si="0"/>
        <v>0.96771748304210548</v>
      </c>
      <c r="J170" s="4">
        <f t="shared" si="1"/>
        <v>1.0897283611015598</v>
      </c>
      <c r="K170" s="4">
        <f t="shared" si="2"/>
        <v>0.88394392172798597</v>
      </c>
      <c r="L170" s="4">
        <f t="shared" si="3"/>
        <v>0.64540026882560719</v>
      </c>
      <c r="M170" s="4">
        <f t="shared" si="4"/>
        <v>1.3930402300647056</v>
      </c>
      <c r="N170" s="4">
        <f t="shared" si="5"/>
        <v>2.1131724547528989</v>
      </c>
      <c r="O170" s="4"/>
      <c r="R170" s="4">
        <f t="shared" si="8"/>
        <v>1.0897283611015598</v>
      </c>
    </row>
    <row r="171" spans="1:18" ht="14.25" customHeight="1">
      <c r="A171" s="33">
        <v>36192</v>
      </c>
      <c r="B171" s="3">
        <v>1238.33</v>
      </c>
      <c r="C171" s="3">
        <v>1279.6400000000001</v>
      </c>
      <c r="D171" s="3">
        <v>1283.8399999999999</v>
      </c>
      <c r="E171" s="3">
        <v>1211.8900000000001</v>
      </c>
      <c r="F171" s="3">
        <v>1238.33</v>
      </c>
      <c r="G171" s="3">
        <v>14555860000</v>
      </c>
      <c r="I171" s="15">
        <f t="shared" si="0"/>
        <v>1.0387941824877052</v>
      </c>
      <c r="J171" s="4">
        <f t="shared" si="1"/>
        <v>1.1034376943141166</v>
      </c>
      <c r="K171" s="4">
        <f t="shared" si="2"/>
        <v>0.92458391543449658</v>
      </c>
      <c r="L171" s="4">
        <f t="shared" si="3"/>
        <v>0.59361398011838529</v>
      </c>
      <c r="M171" s="4">
        <f t="shared" si="4"/>
        <v>1.5015787391083153</v>
      </c>
      <c r="N171" s="4">
        <f t="shared" si="5"/>
        <v>2.2485847875768172</v>
      </c>
      <c r="O171" s="4"/>
      <c r="R171" s="4">
        <f t="shared" si="8"/>
        <v>1.1034376943141166</v>
      </c>
    </row>
    <row r="172" spans="1:18" ht="14.25" customHeight="1">
      <c r="A172" s="33">
        <v>36220</v>
      </c>
      <c r="B172" s="3">
        <v>1286.3699999999999</v>
      </c>
      <c r="C172" s="3">
        <v>1238.33</v>
      </c>
      <c r="D172" s="3">
        <v>1323.82</v>
      </c>
      <c r="E172" s="3">
        <v>1216.03</v>
      </c>
      <c r="F172" s="3">
        <v>1286.3699999999999</v>
      </c>
      <c r="G172" s="3">
        <v>18002500000</v>
      </c>
      <c r="I172" s="15">
        <f t="shared" si="0"/>
        <v>1.0379439819025631</v>
      </c>
      <c r="J172" s="4">
        <f t="shared" si="1"/>
        <v>1.1649680884970888</v>
      </c>
      <c r="K172" s="4">
        <f t="shared" si="2"/>
        <v>0.87549460886059227</v>
      </c>
      <c r="L172" s="4">
        <f t="shared" si="3"/>
        <v>0.62024922844904662</v>
      </c>
      <c r="M172" s="4">
        <f t="shared" si="4"/>
        <v>1.4555221281590833</v>
      </c>
      <c r="N172" s="4">
        <f t="shared" si="5"/>
        <v>2.2034095944401693</v>
      </c>
      <c r="O172" s="4"/>
      <c r="R172" s="4">
        <f t="shared" si="8"/>
        <v>1.1100000000000001</v>
      </c>
    </row>
    <row r="173" spans="1:18" ht="14.25" customHeight="1">
      <c r="A173" s="33">
        <v>36251</v>
      </c>
      <c r="B173" s="3">
        <v>1335.18</v>
      </c>
      <c r="C173" s="3">
        <v>1286.3699999999999</v>
      </c>
      <c r="D173" s="3">
        <v>1371.56</v>
      </c>
      <c r="E173" s="3">
        <v>1282.56</v>
      </c>
      <c r="F173" s="3">
        <v>1335.18</v>
      </c>
      <c r="G173" s="3">
        <v>18523200000</v>
      </c>
      <c r="I173" s="15">
        <f t="shared" si="0"/>
        <v>0.97502958402612372</v>
      </c>
      <c r="J173" s="4">
        <f t="shared" si="1"/>
        <v>1.0878158750131068</v>
      </c>
      <c r="K173" s="4">
        <f t="shared" si="2"/>
        <v>0.82932638295960093</v>
      </c>
      <c r="L173" s="4">
        <f t="shared" si="3"/>
        <v>0.65370212256025395</v>
      </c>
      <c r="M173" s="4">
        <f t="shared" si="4"/>
        <v>1.4110082535688071</v>
      </c>
      <c r="N173" s="4">
        <f t="shared" si="5"/>
        <v>2.2063167512994499</v>
      </c>
      <c r="O173" s="4"/>
      <c r="R173" s="4">
        <f t="shared" si="8"/>
        <v>1.0878158750131068</v>
      </c>
    </row>
    <row r="174" spans="1:18" ht="14.25" customHeight="1">
      <c r="A174" s="33">
        <v>36281</v>
      </c>
      <c r="B174" s="3">
        <v>1301.8399999999999</v>
      </c>
      <c r="C174" s="3">
        <v>1335.18</v>
      </c>
      <c r="D174" s="3">
        <v>1375.98</v>
      </c>
      <c r="E174" s="3">
        <v>1277.31</v>
      </c>
      <c r="F174" s="3">
        <v>1301.8399999999999</v>
      </c>
      <c r="G174" s="3">
        <v>15880260000</v>
      </c>
      <c r="I174" s="15">
        <f t="shared" si="0"/>
        <v>1.0544383334357526</v>
      </c>
      <c r="J174" s="4">
        <f t="shared" si="1"/>
        <v>1.091224728077183</v>
      </c>
      <c r="K174" s="4">
        <f t="shared" si="2"/>
        <v>0.86084311436121197</v>
      </c>
      <c r="L174" s="4">
        <f t="shared" si="3"/>
        <v>0.70603146315983534</v>
      </c>
      <c r="M174" s="4">
        <f t="shared" si="4"/>
        <v>1.4775778897560377</v>
      </c>
      <c r="N174" s="4">
        <f t="shared" si="5"/>
        <v>2.1139771400479321</v>
      </c>
      <c r="O174" s="4"/>
      <c r="R174" s="4">
        <f t="shared" si="8"/>
        <v>1.091224728077183</v>
      </c>
    </row>
    <row r="175" spans="1:18" ht="14.25" customHeight="1">
      <c r="A175" s="33">
        <v>36312</v>
      </c>
      <c r="B175" s="3">
        <v>1372.71</v>
      </c>
      <c r="C175" s="3">
        <v>1301.8399999999999</v>
      </c>
      <c r="D175" s="3">
        <v>1372.93</v>
      </c>
      <c r="E175" s="3">
        <v>1277.47</v>
      </c>
      <c r="F175" s="3">
        <v>1372.71</v>
      </c>
      <c r="G175" s="3">
        <v>16079170000</v>
      </c>
      <c r="I175" s="15">
        <f t="shared" si="0"/>
        <v>0.96795390140670645</v>
      </c>
      <c r="J175" s="4">
        <f t="shared" si="1"/>
        <v>1.0596557175222734</v>
      </c>
      <c r="K175" s="4">
        <f t="shared" si="2"/>
        <v>0.83108595406167352</v>
      </c>
      <c r="L175" s="4">
        <f t="shared" si="3"/>
        <v>0.66971173809471773</v>
      </c>
      <c r="M175" s="4">
        <f t="shared" si="4"/>
        <v>1.4280000874183185</v>
      </c>
      <c r="N175" s="4">
        <f t="shared" si="5"/>
        <v>2.1430309387998925</v>
      </c>
      <c r="O175" s="4"/>
      <c r="R175" s="4">
        <f t="shared" si="8"/>
        <v>1.0596557175222734</v>
      </c>
    </row>
    <row r="176" spans="1:18" ht="14.25" customHeight="1">
      <c r="A176" s="33">
        <v>36342</v>
      </c>
      <c r="B176" s="3">
        <v>1328.72</v>
      </c>
      <c r="C176" s="3">
        <v>1372.71</v>
      </c>
      <c r="D176" s="3">
        <v>1420.33</v>
      </c>
      <c r="E176" s="3">
        <v>1328.49</v>
      </c>
      <c r="F176" s="3">
        <v>1328.72</v>
      </c>
      <c r="G176" s="3">
        <v>15332930000</v>
      </c>
      <c r="I176" s="15">
        <f t="shared" si="0"/>
        <v>0.99374586067794568</v>
      </c>
      <c r="J176" s="4">
        <f t="shared" si="1"/>
        <v>1.0768483954482508</v>
      </c>
      <c r="K176" s="4">
        <f t="shared" si="2"/>
        <v>0.82915888975856467</v>
      </c>
      <c r="L176" s="4">
        <f t="shared" si="3"/>
        <v>0.74318140767054008</v>
      </c>
      <c r="M176" s="4">
        <f t="shared" si="4"/>
        <v>1.4530299837437535</v>
      </c>
      <c r="N176" s="4">
        <f t="shared" si="5"/>
        <v>2.2430459389487627</v>
      </c>
      <c r="O176" s="4"/>
      <c r="R176" s="4">
        <f t="shared" si="8"/>
        <v>1.0768483954482508</v>
      </c>
    </row>
    <row r="177" spans="1:18" ht="14.25" customHeight="1">
      <c r="A177" s="33">
        <v>36373</v>
      </c>
      <c r="B177" s="3">
        <v>1320.41</v>
      </c>
      <c r="C177" s="3">
        <v>1328.72</v>
      </c>
      <c r="D177" s="3">
        <v>1382.84</v>
      </c>
      <c r="E177" s="3">
        <v>1267.73</v>
      </c>
      <c r="F177" s="3">
        <v>1320.41</v>
      </c>
      <c r="G177" s="3">
        <v>15818550000</v>
      </c>
      <c r="I177" s="15">
        <f t="shared" si="0"/>
        <v>0.97144826228216985</v>
      </c>
      <c r="J177" s="4">
        <f t="shared" si="1"/>
        <v>1.1494005649760302</v>
      </c>
      <c r="K177" s="4">
        <f t="shared" si="2"/>
        <v>0.83628569913890383</v>
      </c>
      <c r="L177" s="4">
        <f t="shared" si="3"/>
        <v>0.77295688460402445</v>
      </c>
      <c r="M177" s="4">
        <f t="shared" si="4"/>
        <v>1.5172332836013054</v>
      </c>
      <c r="N177" s="4">
        <f t="shared" si="5"/>
        <v>2.2163267469952515</v>
      </c>
      <c r="O177" s="4"/>
      <c r="R177" s="4">
        <f t="shared" si="8"/>
        <v>1.1100000000000001</v>
      </c>
    </row>
    <row r="178" spans="1:18" ht="14.25" customHeight="1">
      <c r="A178" s="33">
        <v>36404</v>
      </c>
      <c r="B178" s="3">
        <v>1282.71</v>
      </c>
      <c r="C178" s="3">
        <v>1320.41</v>
      </c>
      <c r="D178" s="3">
        <v>1361.39</v>
      </c>
      <c r="E178" s="3">
        <v>1256.26</v>
      </c>
      <c r="F178" s="3">
        <v>1282.71</v>
      </c>
      <c r="G178" s="3">
        <v>16438700000</v>
      </c>
      <c r="I178" s="15">
        <f t="shared" si="0"/>
        <v>1.0625394672217414</v>
      </c>
      <c r="J178" s="4">
        <f t="shared" si="1"/>
        <v>1.1199023941498858</v>
      </c>
      <c r="K178" s="4">
        <f t="shared" si="2"/>
        <v>0.86892594584902272</v>
      </c>
      <c r="L178" s="4">
        <f t="shared" si="3"/>
        <v>0.82409897794513176</v>
      </c>
      <c r="M178" s="4">
        <f t="shared" si="4"/>
        <v>1.5375961830811329</v>
      </c>
      <c r="N178" s="4">
        <f t="shared" si="5"/>
        <v>2.3206648424039726</v>
      </c>
      <c r="R178" s="4">
        <f t="shared" si="8"/>
        <v>1.1100000000000001</v>
      </c>
    </row>
    <row r="179" spans="1:18" ht="14.25" customHeight="1">
      <c r="A179" s="33">
        <v>36434</v>
      </c>
      <c r="B179" s="3">
        <v>1362.93</v>
      </c>
      <c r="C179" s="3">
        <v>1282.71</v>
      </c>
      <c r="D179" s="3">
        <v>1373.17</v>
      </c>
      <c r="E179" s="3">
        <v>1233.7</v>
      </c>
      <c r="F179" s="3">
        <v>1362.93</v>
      </c>
      <c r="G179" s="3">
        <v>18832000000</v>
      </c>
      <c r="I179" s="15">
        <f t="shared" si="0"/>
        <v>1.0190618740507582</v>
      </c>
      <c r="J179" s="4">
        <f t="shared" si="1"/>
        <v>1.0487699294901425</v>
      </c>
      <c r="K179" s="4">
        <f t="shared" si="2"/>
        <v>0.82924288114576683</v>
      </c>
      <c r="L179" s="4">
        <f t="shared" si="3"/>
        <v>0.76026648470574421</v>
      </c>
      <c r="M179" s="4">
        <f t="shared" si="4"/>
        <v>1.480670320559383</v>
      </c>
      <c r="N179" s="4">
        <f t="shared" si="5"/>
        <v>2.2286984658052869</v>
      </c>
      <c r="R179" s="4">
        <f t="shared" si="8"/>
        <v>1.0487699294901425</v>
      </c>
    </row>
    <row r="180" spans="1:18" ht="14.25" customHeight="1">
      <c r="A180" s="33">
        <v>36465</v>
      </c>
      <c r="B180" s="3">
        <v>1388.91</v>
      </c>
      <c r="C180" s="3">
        <v>1362.93</v>
      </c>
      <c r="D180" s="3">
        <v>1425.31</v>
      </c>
      <c r="E180" s="3">
        <v>1346.41</v>
      </c>
      <c r="F180" s="3">
        <v>1388.91</v>
      </c>
      <c r="G180" s="3">
        <v>18384820000</v>
      </c>
      <c r="I180" s="15">
        <f t="shared" si="0"/>
        <v>1.0578439207724042</v>
      </c>
      <c r="J180" s="4">
        <f t="shared" si="1"/>
        <v>0.946749609405937</v>
      </c>
      <c r="K180" s="4">
        <f t="shared" si="2"/>
        <v>0.84513755390918044</v>
      </c>
      <c r="L180" s="4">
        <f t="shared" si="3"/>
        <v>0.78884160960753402</v>
      </c>
      <c r="M180" s="4">
        <f t="shared" si="4"/>
        <v>1.4886205729672908</v>
      </c>
      <c r="N180" s="4">
        <f t="shared" si="5"/>
        <v>2.2614712256373704</v>
      </c>
      <c r="R180" s="4">
        <f t="shared" si="8"/>
        <v>1</v>
      </c>
    </row>
    <row r="181" spans="1:18" ht="14.25" customHeight="1">
      <c r="A181" s="33">
        <v>36495</v>
      </c>
      <c r="B181" s="3">
        <v>1469.25</v>
      </c>
      <c r="C181" s="3">
        <v>1388.91</v>
      </c>
      <c r="D181" s="3">
        <v>1473.1</v>
      </c>
      <c r="E181" s="3">
        <v>1387.38</v>
      </c>
      <c r="F181" s="3">
        <v>1469.25</v>
      </c>
      <c r="G181" s="3">
        <v>19640690000</v>
      </c>
      <c r="I181" s="15">
        <f t="shared" si="0"/>
        <v>0.94909647779479334</v>
      </c>
      <c r="J181" s="4">
        <f t="shared" si="1"/>
        <v>0.89860813340139523</v>
      </c>
      <c r="K181" s="4">
        <f t="shared" si="2"/>
        <v>0.82485621915943519</v>
      </c>
      <c r="L181" s="4">
        <f t="shared" si="3"/>
        <v>0.75895865237366</v>
      </c>
      <c r="M181" s="4">
        <f t="shared" si="4"/>
        <v>1.4013272077590608</v>
      </c>
      <c r="N181" s="4">
        <f t="shared" si="5"/>
        <v>2.1989314275991152</v>
      </c>
      <c r="R181" s="4">
        <f t="shared" si="8"/>
        <v>1</v>
      </c>
    </row>
    <row r="182" spans="1:18" ht="14.25" customHeight="1">
      <c r="A182" s="33">
        <v>36526</v>
      </c>
      <c r="B182" s="3">
        <v>1394.46</v>
      </c>
      <c r="C182" s="3">
        <v>1469.25</v>
      </c>
      <c r="D182" s="3">
        <v>1478</v>
      </c>
      <c r="E182" s="3">
        <v>1350.14</v>
      </c>
      <c r="F182" s="3">
        <v>1394.46</v>
      </c>
      <c r="G182" s="3">
        <v>21494400000</v>
      </c>
      <c r="I182" s="15">
        <f t="shared" si="0"/>
        <v>0.97989185778007259</v>
      </c>
      <c r="J182" s="4">
        <f t="shared" si="1"/>
        <v>0.97959783715560145</v>
      </c>
      <c r="K182" s="4">
        <f t="shared" si="2"/>
        <v>0.84711644650976003</v>
      </c>
      <c r="L182" s="4">
        <f t="shared" si="3"/>
        <v>0.77009738536781258</v>
      </c>
      <c r="M182" s="4">
        <f t="shared" si="4"/>
        <v>1.4306541600332745</v>
      </c>
      <c r="N182" s="4">
        <f t="shared" si="5"/>
        <v>2.3130961088880282</v>
      </c>
      <c r="R182" s="4">
        <f t="shared" si="8"/>
        <v>1</v>
      </c>
    </row>
    <row r="183" spans="1:18" ht="14.25" customHeight="1">
      <c r="A183" s="33">
        <v>36557</v>
      </c>
      <c r="B183" s="3">
        <v>1366.42</v>
      </c>
      <c r="C183" s="3">
        <v>1394.46</v>
      </c>
      <c r="D183" s="3">
        <v>1444.55</v>
      </c>
      <c r="E183" s="3">
        <v>1325.07</v>
      </c>
      <c r="F183" s="3">
        <v>1366.42</v>
      </c>
      <c r="G183" s="3">
        <v>20912000000</v>
      </c>
      <c r="I183" s="15">
        <f t="shared" si="0"/>
        <v>1.0967198957860687</v>
      </c>
      <c r="J183" s="4">
        <f t="shared" si="1"/>
        <v>0.90743695203524533</v>
      </c>
      <c r="K183" s="4">
        <f t="shared" si="2"/>
        <v>0.88084190805169704</v>
      </c>
      <c r="L183" s="4">
        <f t="shared" si="3"/>
        <v>0.80830930460619721</v>
      </c>
      <c r="M183" s="4">
        <f t="shared" si="4"/>
        <v>1.5401560281611801</v>
      </c>
      <c r="N183" s="4">
        <f t="shared" si="5"/>
        <v>2.1620146075145268</v>
      </c>
      <c r="R183" s="4">
        <f t="shared" si="8"/>
        <v>1</v>
      </c>
    </row>
    <row r="184" spans="1:18" ht="14.25" customHeight="1">
      <c r="A184" s="33">
        <v>36586</v>
      </c>
      <c r="B184" s="3">
        <v>1498.58</v>
      </c>
      <c r="C184" s="3">
        <v>1366.42</v>
      </c>
      <c r="D184" s="3">
        <v>1552.87</v>
      </c>
      <c r="E184" s="3">
        <v>1346.62</v>
      </c>
      <c r="F184" s="3">
        <v>1498.58</v>
      </c>
      <c r="G184" s="3">
        <v>26156200000</v>
      </c>
      <c r="I184" s="15">
        <f t="shared" si="0"/>
        <v>0.96920417995702612</v>
      </c>
      <c r="J184" s="4">
        <f t="shared" si="1"/>
        <v>0.77428632438708644</v>
      </c>
      <c r="K184" s="4">
        <f t="shared" si="2"/>
        <v>0.78780578948070834</v>
      </c>
      <c r="L184" s="4">
        <f t="shared" si="3"/>
        <v>0.78035873960682789</v>
      </c>
      <c r="M184" s="4">
        <f t="shared" si="4"/>
        <v>1.3798996383242803</v>
      </c>
      <c r="N184" s="4">
        <f t="shared" si="5"/>
        <v>1.7246927090979463</v>
      </c>
      <c r="R184" s="4">
        <f t="shared" si="8"/>
        <v>1</v>
      </c>
    </row>
    <row r="185" spans="1:18" ht="14.25" customHeight="1">
      <c r="A185" s="33">
        <v>36617</v>
      </c>
      <c r="B185" s="3">
        <v>1452.43</v>
      </c>
      <c r="C185" s="3">
        <v>1498.58</v>
      </c>
      <c r="D185" s="3">
        <v>1527.19</v>
      </c>
      <c r="E185" s="3">
        <v>1339.4</v>
      </c>
      <c r="F185" s="3">
        <v>1452.43</v>
      </c>
      <c r="G185" s="3">
        <v>20106460000</v>
      </c>
      <c r="I185" s="15">
        <f t="shared" si="0"/>
        <v>0.97808500237532947</v>
      </c>
      <c r="J185" s="4">
        <f t="shared" si="1"/>
        <v>0.86025488319574783</v>
      </c>
      <c r="K185" s="4">
        <f t="shared" si="2"/>
        <v>0.79649277417844566</v>
      </c>
      <c r="L185" s="4">
        <f t="shared" si="3"/>
        <v>0.81703765413823726</v>
      </c>
      <c r="M185" s="4">
        <f t="shared" si="4"/>
        <v>1.4358764277796521</v>
      </c>
      <c r="N185" s="4">
        <f t="shared" si="5"/>
        <v>2.0052119551372525</v>
      </c>
      <c r="R185" s="4">
        <f t="shared" si="8"/>
        <v>1</v>
      </c>
    </row>
    <row r="186" spans="1:18" ht="14.25" customHeight="1">
      <c r="A186" s="33">
        <v>36647</v>
      </c>
      <c r="B186" s="3">
        <v>1420.6</v>
      </c>
      <c r="C186" s="3">
        <v>1452.43</v>
      </c>
      <c r="D186" s="3">
        <v>1481.51</v>
      </c>
      <c r="E186" s="3">
        <v>1361.09</v>
      </c>
      <c r="F186" s="3">
        <v>1420.6</v>
      </c>
      <c r="G186" s="3">
        <v>19898300000</v>
      </c>
      <c r="I186" s="15">
        <f t="shared" si="0"/>
        <v>1.0239335492045614</v>
      </c>
      <c r="J186" s="4">
        <f t="shared" si="1"/>
        <v>0.88400675770801074</v>
      </c>
      <c r="K186" s="4">
        <f t="shared" si="2"/>
        <v>0.83873011403632269</v>
      </c>
      <c r="L186" s="4">
        <f t="shared" si="3"/>
        <v>0.76686611291003814</v>
      </c>
      <c r="M186" s="4">
        <f t="shared" si="4"/>
        <v>1.4834506546529636</v>
      </c>
      <c r="N186" s="4">
        <f t="shared" si="5"/>
        <v>2.1429747993805437</v>
      </c>
      <c r="R186" s="4">
        <f t="shared" si="8"/>
        <v>1</v>
      </c>
    </row>
    <row r="187" spans="1:18" ht="14.25" customHeight="1">
      <c r="A187" s="33">
        <v>36678</v>
      </c>
      <c r="B187" s="3">
        <v>1454.6</v>
      </c>
      <c r="C187" s="3">
        <v>1420.6</v>
      </c>
      <c r="D187" s="3">
        <v>1488.93</v>
      </c>
      <c r="E187" s="3">
        <v>1420.6</v>
      </c>
      <c r="F187" s="3">
        <v>1454.6</v>
      </c>
      <c r="G187" s="3">
        <v>21738300000</v>
      </c>
      <c r="I187" s="15">
        <f t="shared" si="0"/>
        <v>0.98365873779733259</v>
      </c>
      <c r="J187" s="4">
        <f t="shared" si="1"/>
        <v>0.84172968513680746</v>
      </c>
      <c r="K187" s="4">
        <f t="shared" si="2"/>
        <v>0.81900866217516843</v>
      </c>
      <c r="L187" s="4">
        <f t="shared" si="3"/>
        <v>0.70858655300426243</v>
      </c>
      <c r="M187" s="4">
        <f t="shared" si="4"/>
        <v>1.4183349374398462</v>
      </c>
      <c r="N187" s="4">
        <f t="shared" si="5"/>
        <v>2.131369448645676</v>
      </c>
      <c r="R187" s="4">
        <f t="shared" si="8"/>
        <v>1</v>
      </c>
    </row>
    <row r="188" spans="1:18" ht="14.25" customHeight="1">
      <c r="A188" s="33">
        <v>36708</v>
      </c>
      <c r="B188" s="3">
        <v>1430.83</v>
      </c>
      <c r="C188" s="3">
        <v>1454.6</v>
      </c>
      <c r="D188" s="3">
        <v>1517.32</v>
      </c>
      <c r="E188" s="3">
        <v>1413.89</v>
      </c>
      <c r="F188" s="3">
        <v>1430.83</v>
      </c>
      <c r="G188" s="3">
        <v>19089100000</v>
      </c>
      <c r="I188" s="15">
        <f t="shared" si="0"/>
        <v>1.0606990348259402</v>
      </c>
      <c r="J188" s="4">
        <f t="shared" si="1"/>
        <v>0.84652264769399588</v>
      </c>
      <c r="K188" s="4">
        <f t="shared" si="2"/>
        <v>0.8625622890210578</v>
      </c>
      <c r="L188" s="4">
        <f t="shared" si="3"/>
        <v>0.76990278369897192</v>
      </c>
      <c r="M188" s="4">
        <f t="shared" si="4"/>
        <v>1.4703633555348996</v>
      </c>
      <c r="N188" s="4">
        <f t="shared" si="5"/>
        <v>2.2861695659162864</v>
      </c>
      <c r="R188" s="4">
        <f t="shared" si="8"/>
        <v>1</v>
      </c>
    </row>
    <row r="189" spans="1:18" ht="14.25" customHeight="1">
      <c r="A189" s="33">
        <v>36739</v>
      </c>
      <c r="B189" s="3">
        <v>1517.68</v>
      </c>
      <c r="C189" s="3">
        <v>1430.83</v>
      </c>
      <c r="D189" s="3">
        <v>1525.21</v>
      </c>
      <c r="E189" s="3">
        <v>1425.43</v>
      </c>
      <c r="F189" s="3">
        <v>1517.68</v>
      </c>
      <c r="G189" s="3">
        <v>20363700000</v>
      </c>
      <c r="I189" s="15">
        <f t="shared" si="0"/>
        <v>0.94651705234304984</v>
      </c>
      <c r="J189" s="4">
        <f t="shared" si="1"/>
        <v>0.74691634600179213</v>
      </c>
      <c r="K189" s="4">
        <f t="shared" si="2"/>
        <v>0.80407595804122078</v>
      </c>
      <c r="L189" s="4">
        <f t="shared" si="3"/>
        <v>0.69140398502978218</v>
      </c>
      <c r="M189" s="4">
        <f t="shared" si="4"/>
        <v>1.2994702440567181</v>
      </c>
      <c r="N189" s="4">
        <f t="shared" si="5"/>
        <v>2.306355753518528</v>
      </c>
      <c r="R189" s="4">
        <f t="shared" si="8"/>
        <v>1</v>
      </c>
    </row>
    <row r="190" spans="1:18" ht="14.25" customHeight="1">
      <c r="A190" s="33">
        <v>36770</v>
      </c>
      <c r="B190" s="3">
        <v>1436.51</v>
      </c>
      <c r="C190" s="3">
        <v>1517.68</v>
      </c>
      <c r="D190" s="3">
        <v>1530.09</v>
      </c>
      <c r="E190" s="3">
        <v>1419.44</v>
      </c>
      <c r="F190" s="3">
        <v>1436.51</v>
      </c>
      <c r="G190" s="3">
        <v>20838300000</v>
      </c>
      <c r="I190" s="15">
        <f t="shared" si="0"/>
        <v>0.99505050434734188</v>
      </c>
      <c r="J190" s="4">
        <f t="shared" si="1"/>
        <v>0.72463122428663918</v>
      </c>
      <c r="K190" s="4">
        <f t="shared" si="2"/>
        <v>0.85541346736187007</v>
      </c>
      <c r="L190" s="4">
        <f t="shared" si="3"/>
        <v>0.7944253781734899</v>
      </c>
      <c r="M190" s="4">
        <f t="shared" si="4"/>
        <v>1.3365935496446248</v>
      </c>
      <c r="N190" s="4">
        <f t="shared" si="5"/>
        <v>2.3410905597594169</v>
      </c>
      <c r="R190" s="4">
        <f t="shared" si="8"/>
        <v>1</v>
      </c>
    </row>
    <row r="191" spans="1:18" ht="14.25" customHeight="1">
      <c r="A191" s="33">
        <v>36800</v>
      </c>
      <c r="B191" s="3">
        <v>1429.4</v>
      </c>
      <c r="C191" s="3">
        <v>1436.52</v>
      </c>
      <c r="D191" s="3">
        <v>1454.82</v>
      </c>
      <c r="E191" s="3">
        <v>1305.79</v>
      </c>
      <c r="F191" s="3">
        <v>1429.4</v>
      </c>
      <c r="G191" s="3">
        <v>25951400000</v>
      </c>
      <c r="I191" s="15">
        <f t="shared" si="0"/>
        <v>0.9199314397649363</v>
      </c>
      <c r="J191" s="4">
        <f t="shared" si="1"/>
        <v>0.74141597873233522</v>
      </c>
      <c r="K191" s="4">
        <f t="shared" si="2"/>
        <v>0.84441723800195878</v>
      </c>
      <c r="L191" s="4">
        <f t="shared" si="3"/>
        <v>0.82780187491255064</v>
      </c>
      <c r="M191" s="4">
        <f t="shared" si="4"/>
        <v>1.4547082692038618</v>
      </c>
      <c r="N191" s="4">
        <f t="shared" si="5"/>
        <v>2.2876451658038337</v>
      </c>
      <c r="R191" s="4">
        <f t="shared" si="8"/>
        <v>1</v>
      </c>
    </row>
    <row r="192" spans="1:18" ht="14.25" customHeight="1">
      <c r="A192" s="33">
        <v>36831</v>
      </c>
      <c r="B192" s="3">
        <v>1314.95</v>
      </c>
      <c r="C192" s="3">
        <v>1429.4</v>
      </c>
      <c r="D192" s="3">
        <v>1438.46</v>
      </c>
      <c r="E192" s="3">
        <v>1294.9000000000001</v>
      </c>
      <c r="F192" s="3">
        <v>1314.95</v>
      </c>
      <c r="G192" s="3">
        <v>20532300000</v>
      </c>
      <c r="I192" s="15">
        <f t="shared" si="0"/>
        <v>1.0040533860603065</v>
      </c>
      <c r="J192" s="4">
        <f t="shared" si="1"/>
        <v>0.86653484923381119</v>
      </c>
      <c r="K192" s="4">
        <f t="shared" si="2"/>
        <v>0.95021103464010037</v>
      </c>
      <c r="L192" s="4">
        <f t="shared" si="3"/>
        <v>0.89779079052435451</v>
      </c>
      <c r="M192" s="4">
        <f t="shared" si="4"/>
        <v>1.5821209931936573</v>
      </c>
      <c r="N192" s="4">
        <f t="shared" si="5"/>
        <v>2.7541959770333473</v>
      </c>
      <c r="R192" s="4">
        <f t="shared" si="8"/>
        <v>1</v>
      </c>
    </row>
    <row r="193" spans="1:18" ht="14.25" customHeight="1">
      <c r="A193" s="33">
        <v>36861</v>
      </c>
      <c r="B193" s="3">
        <v>1320.28</v>
      </c>
      <c r="C193" s="3">
        <v>1314.95</v>
      </c>
      <c r="D193" s="3">
        <v>1389.05</v>
      </c>
      <c r="E193" s="3">
        <v>1254.07</v>
      </c>
      <c r="F193" s="3">
        <v>1320.28</v>
      </c>
      <c r="G193" s="3">
        <v>23610800000</v>
      </c>
      <c r="I193" s="15">
        <f t="shared" si="0"/>
        <v>1.0346365922380101</v>
      </c>
      <c r="J193" s="4">
        <f t="shared" si="1"/>
        <v>0.8695731208531523</v>
      </c>
      <c r="K193" s="4">
        <f t="shared" si="2"/>
        <v>0.94547368739964244</v>
      </c>
      <c r="L193" s="4">
        <f t="shared" si="3"/>
        <v>0.95255551852637332</v>
      </c>
      <c r="M193" s="4">
        <f t="shared" si="4"/>
        <v>1.5481110067561428</v>
      </c>
      <c r="N193" s="4">
        <f t="shared" si="5"/>
        <v>2.8449041112491291</v>
      </c>
      <c r="R193" s="4">
        <f t="shared" si="8"/>
        <v>1</v>
      </c>
    </row>
    <row r="194" spans="1:18" ht="14.25" customHeight="1">
      <c r="A194" s="33">
        <v>36892</v>
      </c>
      <c r="B194" s="3">
        <v>1366.01</v>
      </c>
      <c r="C194" s="3">
        <v>1320.28</v>
      </c>
      <c r="D194" s="3">
        <v>1383.37</v>
      </c>
      <c r="E194" s="3">
        <v>1274.6199999999999</v>
      </c>
      <c r="F194" s="3">
        <v>1366.01</v>
      </c>
      <c r="G194" s="3">
        <v>27829800000</v>
      </c>
      <c r="I194" s="15">
        <f t="shared" si="0"/>
        <v>0.90770931398745258</v>
      </c>
      <c r="J194" s="4">
        <f t="shared" si="1"/>
        <v>0.82737315246594101</v>
      </c>
      <c r="K194" s="4">
        <f t="shared" si="2"/>
        <v>0.93709416475721252</v>
      </c>
      <c r="L194" s="4">
        <f t="shared" si="3"/>
        <v>0.94151580149486458</v>
      </c>
      <c r="M194" s="4">
        <f t="shared" si="4"/>
        <v>1.4203702754738252</v>
      </c>
      <c r="N194" s="4">
        <f t="shared" si="5"/>
        <v>2.719043052393467</v>
      </c>
      <c r="R194" s="4">
        <f t="shared" si="8"/>
        <v>1</v>
      </c>
    </row>
    <row r="195" spans="1:18" ht="14.25" customHeight="1">
      <c r="A195" s="33">
        <v>36923</v>
      </c>
      <c r="B195" s="3">
        <v>1239.94</v>
      </c>
      <c r="C195" s="3">
        <v>1366.01</v>
      </c>
      <c r="D195" s="3">
        <v>1376.38</v>
      </c>
      <c r="E195" s="3">
        <v>1215.44</v>
      </c>
      <c r="F195" s="3">
        <v>1239.94</v>
      </c>
      <c r="G195" s="3">
        <v>21644400000</v>
      </c>
      <c r="I195" s="15">
        <f t="shared" si="0"/>
        <v>0.93579528041679427</v>
      </c>
      <c r="J195" s="4">
        <f t="shared" si="1"/>
        <v>0.8925673822926915</v>
      </c>
      <c r="K195" s="4">
        <f t="shared" si="2"/>
        <v>1.0328402987241319</v>
      </c>
      <c r="L195" s="4">
        <f t="shared" si="3"/>
        <v>1.0703905027662628</v>
      </c>
      <c r="M195" s="4">
        <f t="shared" si="4"/>
        <v>1.558325402842073</v>
      </c>
      <c r="N195" s="4">
        <f t="shared" si="5"/>
        <v>3.0736567898446698</v>
      </c>
      <c r="R195" s="4">
        <f t="shared" si="8"/>
        <v>1</v>
      </c>
    </row>
    <row r="196" spans="1:18" ht="14.25" customHeight="1">
      <c r="A196" s="33">
        <v>36951</v>
      </c>
      <c r="B196" s="3">
        <v>1160.33</v>
      </c>
      <c r="C196" s="3">
        <v>1239.94</v>
      </c>
      <c r="D196" s="3">
        <v>1267.42</v>
      </c>
      <c r="E196" s="3">
        <v>1081.19</v>
      </c>
      <c r="F196" s="3">
        <v>1160.33</v>
      </c>
      <c r="G196" s="3">
        <v>27806610000</v>
      </c>
      <c r="I196" s="15">
        <f t="shared" si="0"/>
        <v>1.0768143545370714</v>
      </c>
      <c r="J196" s="4">
        <f t="shared" si="1"/>
        <v>0.98884800013789198</v>
      </c>
      <c r="K196" s="4">
        <f t="shared" si="2"/>
        <v>1.115949772909431</v>
      </c>
      <c r="L196" s="4">
        <f t="shared" si="3"/>
        <v>1.1426318374945059</v>
      </c>
      <c r="M196" s="4">
        <f t="shared" si="4"/>
        <v>1.77513293631984</v>
      </c>
      <c r="N196" s="4">
        <f t="shared" si="5"/>
        <v>3.4239311230425828</v>
      </c>
      <c r="R196" s="4">
        <f t="shared" si="8"/>
        <v>1</v>
      </c>
    </row>
    <row r="197" spans="1:18" ht="14.25" customHeight="1">
      <c r="A197" s="33">
        <v>36982</v>
      </c>
      <c r="B197" s="3">
        <v>1249.46</v>
      </c>
      <c r="C197" s="3">
        <v>1160.33</v>
      </c>
      <c r="D197" s="3">
        <v>1269.3</v>
      </c>
      <c r="E197" s="3">
        <v>1091.99</v>
      </c>
      <c r="F197" s="3">
        <v>1249.46</v>
      </c>
      <c r="G197" s="3">
        <v>25409990000</v>
      </c>
      <c r="I197" s="15">
        <f t="shared" si="0"/>
        <v>1.0050901989659533</v>
      </c>
      <c r="J197" s="4">
        <f t="shared" si="1"/>
        <v>0.86190834440478292</v>
      </c>
      <c r="K197" s="4">
        <f t="shared" si="2"/>
        <v>1.0489411425735917</v>
      </c>
      <c r="L197" s="4">
        <f t="shared" si="3"/>
        <v>1.0913594672898692</v>
      </c>
      <c r="M197" s="4">
        <f t="shared" si="4"/>
        <v>1.6529540761609016</v>
      </c>
      <c r="N197" s="4">
        <f t="shared" si="5"/>
        <v>3.3463816368671266</v>
      </c>
      <c r="R197" s="4">
        <f t="shared" si="8"/>
        <v>1</v>
      </c>
    </row>
    <row r="198" spans="1:18" ht="14.25" customHeight="1">
      <c r="A198" s="33">
        <v>37012</v>
      </c>
      <c r="B198" s="3">
        <v>1255.82</v>
      </c>
      <c r="C198" s="3">
        <v>1249.46</v>
      </c>
      <c r="D198" s="3">
        <v>1315.93</v>
      </c>
      <c r="E198" s="3">
        <v>1232</v>
      </c>
      <c r="F198" s="3">
        <v>1255.82</v>
      </c>
      <c r="G198" s="3">
        <v>24525900000</v>
      </c>
      <c r="I198" s="15">
        <f t="shared" si="0"/>
        <v>0.97496456498542794</v>
      </c>
      <c r="J198" s="4">
        <f t="shared" si="1"/>
        <v>0.84975553821407535</v>
      </c>
      <c r="K198" s="4">
        <f t="shared" si="2"/>
        <v>1.0113630934369575</v>
      </c>
      <c r="L198" s="4">
        <f t="shared" si="3"/>
        <v>1.0711726202799765</v>
      </c>
      <c r="M198" s="4">
        <f t="shared" si="4"/>
        <v>1.6697854788106574</v>
      </c>
      <c r="N198" s="4">
        <f t="shared" si="5"/>
        <v>3.3477011036613527</v>
      </c>
      <c r="R198" s="4">
        <f t="shared" si="8"/>
        <v>1</v>
      </c>
    </row>
    <row r="199" spans="1:18" ht="14.25" customHeight="1">
      <c r="A199" s="33">
        <v>37043</v>
      </c>
      <c r="B199" s="3">
        <v>1224.3800000000001</v>
      </c>
      <c r="C199" s="3">
        <v>1255.82</v>
      </c>
      <c r="D199" s="3">
        <v>1286.6199999999999</v>
      </c>
      <c r="E199" s="3">
        <v>1203.03</v>
      </c>
      <c r="F199" s="3">
        <v>1224.3800000000001</v>
      </c>
      <c r="G199" s="3">
        <v>24748030000</v>
      </c>
      <c r="I199" s="15">
        <f t="shared" si="0"/>
        <v>0.98925987030170359</v>
      </c>
      <c r="J199" s="4">
        <f t="shared" si="1"/>
        <v>0.8084254888188307</v>
      </c>
      <c r="K199" s="4">
        <f t="shared" si="2"/>
        <v>1.0374230222643297</v>
      </c>
      <c r="L199" s="4">
        <f t="shared" si="3"/>
        <v>1.0786193828713309</v>
      </c>
      <c r="M199" s="4">
        <f t="shared" si="4"/>
        <v>1.7142227086362076</v>
      </c>
      <c r="N199" s="4">
        <f t="shared" si="5"/>
        <v>3.5099397245953052</v>
      </c>
      <c r="R199" s="4">
        <f t="shared" si="8"/>
        <v>1</v>
      </c>
    </row>
    <row r="200" spans="1:18" ht="14.25" customHeight="1">
      <c r="A200" s="33">
        <v>37073</v>
      </c>
      <c r="B200" s="3">
        <v>1211.23</v>
      </c>
      <c r="C200" s="3">
        <v>1224.42</v>
      </c>
      <c r="D200" s="3">
        <v>1239.78</v>
      </c>
      <c r="E200" s="3">
        <v>1165.54</v>
      </c>
      <c r="F200" s="3">
        <v>1211.23</v>
      </c>
      <c r="G200" s="3">
        <v>23793710000</v>
      </c>
      <c r="I200" s="15">
        <f t="shared" si="0"/>
        <v>0.93589161430942092</v>
      </c>
      <c r="J200" s="4">
        <f t="shared" si="1"/>
        <v>0.75263987847064551</v>
      </c>
      <c r="K200" s="4">
        <f t="shared" si="2"/>
        <v>1.05401946781371</v>
      </c>
      <c r="L200" s="4">
        <f t="shared" si="3"/>
        <v>1.0669154495843067</v>
      </c>
      <c r="M200" s="4">
        <f t="shared" si="4"/>
        <v>1.7945394351196717</v>
      </c>
      <c r="N200" s="4">
        <f t="shared" si="5"/>
        <v>3.6287575439842144</v>
      </c>
      <c r="R200" s="4">
        <f t="shared" si="8"/>
        <v>1</v>
      </c>
    </row>
    <row r="201" spans="1:18" ht="14.25" customHeight="1">
      <c r="A201" s="33">
        <v>37104</v>
      </c>
      <c r="B201" s="3">
        <v>1133.58</v>
      </c>
      <c r="C201" s="3">
        <v>1211.23</v>
      </c>
      <c r="D201" s="3">
        <v>1226.27</v>
      </c>
      <c r="E201" s="3">
        <v>1124.8699999999999</v>
      </c>
      <c r="F201" s="3">
        <v>1133.58</v>
      </c>
      <c r="G201" s="3">
        <v>23359200000</v>
      </c>
      <c r="I201" s="15">
        <f t="shared" si="0"/>
        <v>0.91827661038479869</v>
      </c>
      <c r="J201" s="4">
        <f t="shared" si="1"/>
        <v>0.8081211736269166</v>
      </c>
      <c r="K201" s="4">
        <f t="shared" si="2"/>
        <v>1.1501790786711128</v>
      </c>
      <c r="L201" s="4">
        <f t="shared" si="3"/>
        <v>1.0752571499144306</v>
      </c>
      <c r="M201" s="4">
        <f t="shared" si="4"/>
        <v>1.9151272958238501</v>
      </c>
      <c r="N201" s="4">
        <f t="shared" si="5"/>
        <v>3.9897316466416139</v>
      </c>
      <c r="R201" s="4">
        <f t="shared" si="8"/>
        <v>1</v>
      </c>
    </row>
    <row r="202" spans="1:18" ht="14.25" customHeight="1">
      <c r="A202" s="33">
        <v>37135</v>
      </c>
      <c r="B202" s="3">
        <v>1040.94</v>
      </c>
      <c r="C202" s="3">
        <v>1133.58</v>
      </c>
      <c r="D202" s="3">
        <v>1155.4000000000001</v>
      </c>
      <c r="E202" s="3">
        <v>944.75</v>
      </c>
      <c r="F202" s="3">
        <v>1040.94</v>
      </c>
      <c r="G202" s="3">
        <v>25025290000</v>
      </c>
      <c r="I202" s="15">
        <f t="shared" si="0"/>
        <v>1.0180990258804541</v>
      </c>
      <c r="J202" s="4">
        <f t="shared" si="1"/>
        <v>0.78321517090322201</v>
      </c>
      <c r="K202" s="4">
        <f t="shared" si="2"/>
        <v>1.2833112379195726</v>
      </c>
      <c r="L202" s="4">
        <f t="shared" si="3"/>
        <v>1.0869214363940285</v>
      </c>
      <c r="M202" s="4">
        <f t="shared" si="4"/>
        <v>2.0829922954252886</v>
      </c>
      <c r="N202" s="4">
        <f t="shared" si="5"/>
        <v>4.1381251561089014</v>
      </c>
      <c r="R202" s="4">
        <f t="shared" si="8"/>
        <v>1</v>
      </c>
    </row>
    <row r="203" spans="1:18" ht="14.25" customHeight="1">
      <c r="A203" s="33">
        <v>37165</v>
      </c>
      <c r="B203" s="3">
        <v>1059.78</v>
      </c>
      <c r="C203" s="3">
        <v>1040.94</v>
      </c>
      <c r="D203" s="3">
        <v>1110.6099999999999</v>
      </c>
      <c r="E203" s="3">
        <v>1026.76</v>
      </c>
      <c r="F203" s="3">
        <v>1059.78</v>
      </c>
      <c r="G203" s="3">
        <v>29951280000</v>
      </c>
      <c r="I203" s="15">
        <f t="shared" si="0"/>
        <v>1.0751759799203608</v>
      </c>
      <c r="J203" s="4">
        <f t="shared" si="1"/>
        <v>0.8357961086263187</v>
      </c>
      <c r="K203" s="4">
        <f t="shared" si="2"/>
        <v>1.3002132518069789</v>
      </c>
      <c r="L203" s="4">
        <f t="shared" si="3"/>
        <v>1.1826039366661005</v>
      </c>
      <c r="M203" s="4">
        <f t="shared" si="4"/>
        <v>2.0062182717167714</v>
      </c>
      <c r="N203" s="4">
        <f t="shared" si="5"/>
        <v>4.3456000301949462</v>
      </c>
      <c r="R203" s="4">
        <f t="shared" si="8"/>
        <v>1</v>
      </c>
    </row>
    <row r="204" spans="1:18" ht="14.25" customHeight="1">
      <c r="A204" s="33">
        <v>37196</v>
      </c>
      <c r="B204" s="3">
        <v>1139.45</v>
      </c>
      <c r="C204" s="3">
        <v>1059.78</v>
      </c>
      <c r="D204" s="3">
        <v>1163.3800000000001</v>
      </c>
      <c r="E204" s="3">
        <v>1054.31</v>
      </c>
      <c r="F204" s="3">
        <v>1139.45</v>
      </c>
      <c r="G204" s="3">
        <v>26330000000</v>
      </c>
      <c r="I204" s="15">
        <f t="shared" si="0"/>
        <v>1.0075738294791345</v>
      </c>
      <c r="J204" s="4">
        <f t="shared" si="1"/>
        <v>0.82172100574838725</v>
      </c>
      <c r="K204" s="4">
        <f t="shared" si="2"/>
        <v>1.2292158497520733</v>
      </c>
      <c r="L204" s="4">
        <f t="shared" si="3"/>
        <v>1.0943525385054194</v>
      </c>
      <c r="M204" s="4">
        <f t="shared" si="4"/>
        <v>1.9297117030146123</v>
      </c>
      <c r="N204" s="4">
        <f t="shared" si="5"/>
        <v>4.0080740708236426</v>
      </c>
      <c r="R204" s="4">
        <f t="shared" si="8"/>
        <v>1</v>
      </c>
    </row>
    <row r="205" spans="1:18" ht="14.25" customHeight="1">
      <c r="A205" s="33">
        <v>37226</v>
      </c>
      <c r="B205" s="3">
        <v>1148.08</v>
      </c>
      <c r="C205" s="3">
        <v>1139.45</v>
      </c>
      <c r="D205" s="3">
        <v>1173.6199999999999</v>
      </c>
      <c r="E205" s="3">
        <v>1114.53</v>
      </c>
      <c r="F205" s="3">
        <v>1148.08</v>
      </c>
      <c r="G205" s="3">
        <v>25128570000</v>
      </c>
      <c r="I205" s="15">
        <f t="shared" si="0"/>
        <v>0.9844261723921679</v>
      </c>
      <c r="J205" s="4">
        <f t="shared" si="1"/>
        <v>0.76634032471604774</v>
      </c>
      <c r="K205" s="4">
        <f t="shared" si="2"/>
        <v>1.2353668733886141</v>
      </c>
      <c r="L205" s="4">
        <f t="shared" si="3"/>
        <v>1.0953940491951781</v>
      </c>
      <c r="M205" s="4">
        <f t="shared" si="4"/>
        <v>1.9500644554386455</v>
      </c>
      <c r="N205" s="4">
        <f t="shared" si="5"/>
        <v>4.1514354400390223</v>
      </c>
      <c r="R205" s="4">
        <f t="shared" si="8"/>
        <v>1</v>
      </c>
    </row>
    <row r="206" spans="1:18" ht="14.25" customHeight="1">
      <c r="A206" s="33">
        <v>37257</v>
      </c>
      <c r="B206" s="3">
        <v>1130.2</v>
      </c>
      <c r="C206" s="3">
        <v>1148.08</v>
      </c>
      <c r="D206" s="3">
        <v>1176.97</v>
      </c>
      <c r="E206" s="3">
        <v>1081.6600000000001</v>
      </c>
      <c r="F206" s="3">
        <v>1130.2</v>
      </c>
      <c r="G206" s="3">
        <v>29746200000</v>
      </c>
      <c r="I206" s="15">
        <f t="shared" si="0"/>
        <v>0.97923376393558659</v>
      </c>
      <c r="J206" s="4">
        <f t="shared" si="1"/>
        <v>0.75712263316227213</v>
      </c>
      <c r="K206" s="4">
        <f t="shared" si="2"/>
        <v>1.2725535303486109</v>
      </c>
      <c r="L206" s="4">
        <f t="shared" si="3"/>
        <v>1.1612192532295169</v>
      </c>
      <c r="M206" s="4">
        <f t="shared" si="4"/>
        <v>2.0163422403114493</v>
      </c>
      <c r="N206" s="4">
        <f t="shared" si="5"/>
        <v>3.9953548044593878</v>
      </c>
      <c r="R206" s="4">
        <f t="shared" si="8"/>
        <v>1</v>
      </c>
    </row>
    <row r="207" spans="1:18" ht="14.25" customHeight="1">
      <c r="A207" s="33">
        <v>37288</v>
      </c>
      <c r="B207" s="3">
        <v>1106.73</v>
      </c>
      <c r="C207" s="3">
        <v>1130.2</v>
      </c>
      <c r="D207" s="3">
        <v>1130.2</v>
      </c>
      <c r="E207" s="3">
        <v>1074.3599999999999</v>
      </c>
      <c r="F207" s="3">
        <v>1106.73</v>
      </c>
      <c r="G207" s="3">
        <v>26047600000</v>
      </c>
      <c r="I207" s="15">
        <f t="shared" si="0"/>
        <v>1.0367388613302251</v>
      </c>
      <c r="J207" s="4">
        <f t="shared" si="1"/>
        <v>0.76003180540872661</v>
      </c>
      <c r="K207" s="4">
        <f t="shared" si="2"/>
        <v>1.271150145021821</v>
      </c>
      <c r="L207" s="4">
        <f t="shared" si="3"/>
        <v>1.2339775735725969</v>
      </c>
      <c r="M207" s="4">
        <f t="shared" si="4"/>
        <v>2.1356970534818789</v>
      </c>
      <c r="N207" s="4">
        <f t="shared" si="5"/>
        <v>3.9521292456154615</v>
      </c>
      <c r="R207" s="4">
        <f t="shared" si="8"/>
        <v>1</v>
      </c>
    </row>
    <row r="208" spans="1:18" ht="14.25" customHeight="1">
      <c r="A208" s="33">
        <v>37316</v>
      </c>
      <c r="B208" s="3">
        <v>1147.3900000000001</v>
      </c>
      <c r="C208" s="3">
        <v>1106.73</v>
      </c>
      <c r="D208" s="3">
        <v>1173.94</v>
      </c>
      <c r="E208" s="3">
        <v>1106.73</v>
      </c>
      <c r="F208" s="3">
        <v>1147.3900000000001</v>
      </c>
      <c r="G208" s="3">
        <v>26563200000</v>
      </c>
      <c r="I208" s="15">
        <f t="shared" si="0"/>
        <v>0.93858234776318428</v>
      </c>
      <c r="J208" s="4">
        <f t="shared" si="1"/>
        <v>0.73922554667549822</v>
      </c>
      <c r="K208" s="4">
        <f t="shared" si="2"/>
        <v>1.2383409302852559</v>
      </c>
      <c r="L208" s="4">
        <f t="shared" si="3"/>
        <v>1.2275425095216099</v>
      </c>
      <c r="M208" s="4">
        <f t="shared" si="4"/>
        <v>2.0592126478355222</v>
      </c>
      <c r="N208" s="4">
        <f t="shared" si="5"/>
        <v>3.9484482172582989</v>
      </c>
      <c r="R208" s="4">
        <f t="shared" si="8"/>
        <v>1</v>
      </c>
    </row>
    <row r="209" spans="1:18" ht="14.25" customHeight="1">
      <c r="A209" s="33">
        <v>37347</v>
      </c>
      <c r="B209" s="3">
        <v>1076.92</v>
      </c>
      <c r="C209" s="3">
        <v>1147.3900000000001</v>
      </c>
      <c r="D209" s="3">
        <v>1147.8399999999999</v>
      </c>
      <c r="E209" s="3">
        <v>1063.46</v>
      </c>
      <c r="F209" s="3">
        <v>1076.92</v>
      </c>
      <c r="G209" s="3">
        <v>28568900000</v>
      </c>
      <c r="I209" s="15">
        <f t="shared" si="0"/>
        <v>0.99091854548155855</v>
      </c>
      <c r="J209" s="4">
        <f t="shared" si="1"/>
        <v>0.85142814693756264</v>
      </c>
      <c r="K209" s="4">
        <f t="shared" si="2"/>
        <v>1.3764903614010324</v>
      </c>
      <c r="L209" s="4">
        <f t="shared" si="3"/>
        <v>1.2980629944656985</v>
      </c>
      <c r="M209" s="4">
        <f t="shared" si="4"/>
        <v>2.213906325446644</v>
      </c>
      <c r="N209" s="4">
        <f t="shared" si="5"/>
        <v>3.8368031051517288</v>
      </c>
      <c r="R209" s="4">
        <f t="shared" si="8"/>
        <v>1</v>
      </c>
    </row>
    <row r="210" spans="1:18" ht="14.25" customHeight="1">
      <c r="A210" s="33">
        <v>37377</v>
      </c>
      <c r="B210" s="3">
        <v>1067.1400000000001</v>
      </c>
      <c r="C210" s="3">
        <v>1076.92</v>
      </c>
      <c r="D210" s="3">
        <v>1106.5899999999999</v>
      </c>
      <c r="E210" s="3">
        <v>1048.96</v>
      </c>
      <c r="F210" s="3">
        <v>1067.1400000000001</v>
      </c>
      <c r="G210" s="3">
        <v>26905500000</v>
      </c>
      <c r="I210" s="15">
        <f t="shared" si="0"/>
        <v>0.92754465206064807</v>
      </c>
      <c r="J210" s="4">
        <f t="shared" si="1"/>
        <v>0.9029649343103997</v>
      </c>
      <c r="K210" s="4">
        <f t="shared" si="2"/>
        <v>1.4343197706017952</v>
      </c>
      <c r="L210" s="4">
        <f t="shared" si="3"/>
        <v>1.227889499034803</v>
      </c>
      <c r="M210" s="4">
        <f t="shared" si="4"/>
        <v>2.2600595985531422</v>
      </c>
      <c r="N210" s="4">
        <f t="shared" si="5"/>
        <v>3.8639166369923346</v>
      </c>
      <c r="R210" s="4">
        <f t="shared" si="8"/>
        <v>1</v>
      </c>
    </row>
    <row r="211" spans="1:18" ht="14.25" customHeight="1">
      <c r="A211" s="33">
        <v>37408</v>
      </c>
      <c r="B211" s="3">
        <v>989.82</v>
      </c>
      <c r="C211" s="3">
        <v>1067.1400000000001</v>
      </c>
      <c r="D211" s="3">
        <v>1070.74</v>
      </c>
      <c r="E211" s="3">
        <v>952.92</v>
      </c>
      <c r="F211" s="3">
        <v>989.82</v>
      </c>
      <c r="G211" s="3">
        <v>29981510000</v>
      </c>
      <c r="I211" s="15">
        <f t="shared" si="0"/>
        <v>0.92099573659857348</v>
      </c>
      <c r="J211" s="4">
        <f t="shared" si="1"/>
        <v>0.98452243842314757</v>
      </c>
      <c r="K211" s="4">
        <f t="shared" si="2"/>
        <v>1.5188115010810044</v>
      </c>
      <c r="L211" s="4">
        <f t="shared" si="3"/>
        <v>1.3761694045381989</v>
      </c>
      <c r="M211" s="4">
        <f t="shared" si="4"/>
        <v>2.4483340405326217</v>
      </c>
      <c r="N211" s="4">
        <f t="shared" si="5"/>
        <v>4.1657473075912792</v>
      </c>
      <c r="R211" s="4">
        <f t="shared" si="8"/>
        <v>1</v>
      </c>
    </row>
    <row r="212" spans="1:18" ht="14.25" customHeight="1">
      <c r="A212" s="33">
        <v>37438</v>
      </c>
      <c r="B212" s="3">
        <v>911.62</v>
      </c>
      <c r="C212" s="3">
        <v>989.82</v>
      </c>
      <c r="D212" s="3">
        <v>994.46</v>
      </c>
      <c r="E212" s="3">
        <v>775.68</v>
      </c>
      <c r="F212" s="3">
        <v>911.62</v>
      </c>
      <c r="G212" s="3">
        <v>42228720000</v>
      </c>
      <c r="I212" s="15">
        <f t="shared" si="0"/>
        <v>1.0048814198898663</v>
      </c>
      <c r="J212" s="4">
        <f t="shared" si="1"/>
        <v>1.0863188609288958</v>
      </c>
      <c r="K212" s="4">
        <f t="shared" si="2"/>
        <v>1.596355937781093</v>
      </c>
      <c r="L212" s="4">
        <f t="shared" si="3"/>
        <v>1.513042715166407</v>
      </c>
      <c r="M212" s="4">
        <f t="shared" si="4"/>
        <v>2.7097913604352692</v>
      </c>
      <c r="N212" s="4"/>
      <c r="R212" s="4">
        <f t="shared" si="8"/>
        <v>1.0863188609288958</v>
      </c>
    </row>
    <row r="213" spans="1:18" ht="14.25" customHeight="1">
      <c r="A213" s="33">
        <v>37469</v>
      </c>
      <c r="B213" s="3">
        <v>916.07</v>
      </c>
      <c r="C213" s="3">
        <v>911.62</v>
      </c>
      <c r="D213" s="3">
        <v>965</v>
      </c>
      <c r="E213" s="3">
        <v>833.44</v>
      </c>
      <c r="F213" s="3">
        <v>916.07</v>
      </c>
      <c r="G213" s="3">
        <v>29298400000</v>
      </c>
      <c r="I213" s="15">
        <f t="shared" si="0"/>
        <v>0.88997565688211588</v>
      </c>
      <c r="J213" s="4">
        <f t="shared" si="1"/>
        <v>1.100363509338806</v>
      </c>
      <c r="K213" s="4">
        <f t="shared" si="2"/>
        <v>1.609036427347255</v>
      </c>
      <c r="L213" s="4">
        <f t="shared" si="3"/>
        <v>1.5354503476808539</v>
      </c>
      <c r="M213" s="4">
        <f t="shared" si="4"/>
        <v>2.6981016734529022</v>
      </c>
      <c r="N213" s="4"/>
      <c r="R213" s="4">
        <f t="shared" si="8"/>
        <v>1.100363509338806</v>
      </c>
    </row>
    <row r="214" spans="1:18" ht="14.25" customHeight="1">
      <c r="A214" s="33">
        <v>37500</v>
      </c>
      <c r="B214" s="3">
        <v>815.28</v>
      </c>
      <c r="C214" s="3">
        <v>916.07</v>
      </c>
      <c r="D214" s="3">
        <v>924.02</v>
      </c>
      <c r="E214" s="3">
        <v>800.2</v>
      </c>
      <c r="F214" s="3">
        <v>815.28</v>
      </c>
      <c r="G214" s="3">
        <v>27723710000</v>
      </c>
      <c r="I214" s="15">
        <f t="shared" si="0"/>
        <v>1.0864488273967225</v>
      </c>
      <c r="J214" s="4">
        <f t="shared" si="1"/>
        <v>1.2216293788637034</v>
      </c>
      <c r="K214" s="4">
        <f t="shared" si="2"/>
        <v>1.8726695123147876</v>
      </c>
      <c r="L214" s="4">
        <f t="shared" si="3"/>
        <v>1.7670861544500052</v>
      </c>
      <c r="M214" s="4">
        <f t="shared" si="4"/>
        <v>3.0901776076930627</v>
      </c>
      <c r="N214" s="4"/>
      <c r="R214" s="4">
        <f t="shared" si="8"/>
        <v>1.1100000000000001</v>
      </c>
    </row>
    <row r="215" spans="1:18" ht="14.25" customHeight="1">
      <c r="A215" s="33">
        <v>37530</v>
      </c>
      <c r="B215" s="3">
        <v>885.76</v>
      </c>
      <c r="C215" s="3">
        <v>815.28</v>
      </c>
      <c r="D215" s="3">
        <v>907.44</v>
      </c>
      <c r="E215" s="3">
        <v>768.63</v>
      </c>
      <c r="F215" s="3">
        <v>885.76</v>
      </c>
      <c r="G215" s="3">
        <v>37856310000</v>
      </c>
      <c r="I215" s="15">
        <f t="shared" si="0"/>
        <v>1.0570696351156068</v>
      </c>
      <c r="J215" s="4">
        <f t="shared" si="1"/>
        <v>1.1862242593930636</v>
      </c>
      <c r="K215" s="4">
        <f t="shared" si="2"/>
        <v>1.7492097182080926</v>
      </c>
      <c r="L215" s="4">
        <f t="shared" si="3"/>
        <v>1.594291907514451</v>
      </c>
      <c r="M215" s="4">
        <f t="shared" si="4"/>
        <v>2.9074015534682083</v>
      </c>
      <c r="N215" s="4"/>
      <c r="R215" s="4">
        <f t="shared" si="8"/>
        <v>1.1100000000000001</v>
      </c>
    </row>
    <row r="216" spans="1:18" ht="14.25" customHeight="1">
      <c r="A216" s="33">
        <v>37561</v>
      </c>
      <c r="B216" s="3">
        <v>936.31</v>
      </c>
      <c r="C216" s="3">
        <v>885.76</v>
      </c>
      <c r="D216" s="3">
        <v>941.82</v>
      </c>
      <c r="E216" s="3">
        <v>872.05</v>
      </c>
      <c r="F216" s="3">
        <v>936.31</v>
      </c>
      <c r="G216" s="3">
        <v>29200960000</v>
      </c>
      <c r="I216" s="15">
        <f t="shared" si="0"/>
        <v>0.93966741784238139</v>
      </c>
      <c r="J216" s="4">
        <f t="shared" si="1"/>
        <v>1.1301812433916119</v>
      </c>
      <c r="K216" s="4">
        <f t="shared" si="2"/>
        <v>1.5818906131516273</v>
      </c>
      <c r="L216" s="4">
        <f t="shared" si="3"/>
        <v>1.5125118817485663</v>
      </c>
      <c r="M216" s="4">
        <f t="shared" si="4"/>
        <v>2.8276745949525264</v>
      </c>
      <c r="N216" s="4"/>
      <c r="R216" s="4">
        <f t="shared" si="8"/>
        <v>1.1100000000000001</v>
      </c>
    </row>
    <row r="217" spans="1:18" ht="14.25" customHeight="1">
      <c r="A217" s="33">
        <v>37591</v>
      </c>
      <c r="B217" s="3">
        <v>879.82</v>
      </c>
      <c r="C217" s="3">
        <v>936.31</v>
      </c>
      <c r="D217" s="3">
        <v>954.28</v>
      </c>
      <c r="E217" s="3">
        <v>869.45</v>
      </c>
      <c r="F217" s="3">
        <v>879.82</v>
      </c>
      <c r="G217" s="3">
        <v>25993640000</v>
      </c>
      <c r="I217" s="15">
        <f t="shared" si="0"/>
        <v>0.97258530153895117</v>
      </c>
      <c r="J217" s="4">
        <f t="shared" si="1"/>
        <v>1.2638039599008888</v>
      </c>
      <c r="K217" s="4">
        <f t="shared" si="2"/>
        <v>1.668932281603055</v>
      </c>
      <c r="L217" s="4">
        <f t="shared" si="3"/>
        <v>1.6210020231410971</v>
      </c>
      <c r="M217" s="4">
        <f t="shared" si="4"/>
        <v>3.038814757564047</v>
      </c>
      <c r="N217" s="4"/>
      <c r="R217" s="4">
        <f t="shared" si="8"/>
        <v>1.1100000000000001</v>
      </c>
    </row>
    <row r="218" spans="1:18" ht="14.25" customHeight="1">
      <c r="A218" s="33">
        <v>37622</v>
      </c>
      <c r="B218" s="3">
        <v>855.7</v>
      </c>
      <c r="C218" s="3">
        <v>879.82</v>
      </c>
      <c r="D218" s="3">
        <v>935.05</v>
      </c>
      <c r="E218" s="3">
        <v>840.34</v>
      </c>
      <c r="F218" s="3">
        <v>855.7</v>
      </c>
      <c r="G218" s="3">
        <v>30749580000</v>
      </c>
      <c r="I218" s="15">
        <f t="shared" si="0"/>
        <v>0.98299637723501221</v>
      </c>
      <c r="J218" s="4">
        <f t="shared" si="1"/>
        <v>1.3218768259904172</v>
      </c>
      <c r="K218" s="4">
        <f t="shared" si="2"/>
        <v>1.6110202173658992</v>
      </c>
      <c r="L218" s="4">
        <f t="shared" si="3"/>
        <v>1.7507420825055509</v>
      </c>
      <c r="M218" s="4">
        <f t="shared" si="4"/>
        <v>3.3</v>
      </c>
      <c r="N218" s="4"/>
      <c r="R218" s="4">
        <f t="shared" si="8"/>
        <v>1.1100000000000001</v>
      </c>
    </row>
    <row r="219" spans="1:18" ht="14.25" customHeight="1">
      <c r="A219" s="33">
        <v>37653</v>
      </c>
      <c r="B219" s="3">
        <v>841.15</v>
      </c>
      <c r="C219" s="3">
        <v>855.7</v>
      </c>
      <c r="D219" s="3">
        <v>864.64</v>
      </c>
      <c r="E219" s="3">
        <v>806.29</v>
      </c>
      <c r="F219" s="3">
        <v>841.15</v>
      </c>
      <c r="G219" s="3">
        <v>25235300000</v>
      </c>
      <c r="I219" s="15">
        <f t="shared" si="0"/>
        <v>1.0083576056589194</v>
      </c>
      <c r="J219" s="4">
        <f t="shared" si="1"/>
        <v>1.3611603162337278</v>
      </c>
      <c r="K219" s="4">
        <f t="shared" si="2"/>
        <v>1.5819176127920112</v>
      </c>
      <c r="L219" s="4">
        <f t="shared" si="3"/>
        <v>1.8007251976460799</v>
      </c>
      <c r="M219" s="4">
        <f t="shared" si="4"/>
        <v>3.2263329964928968</v>
      </c>
      <c r="N219" s="4"/>
      <c r="R219" s="4">
        <f t="shared" si="8"/>
        <v>1.1100000000000001</v>
      </c>
    </row>
    <row r="220" spans="1:18" ht="14.25" customHeight="1">
      <c r="A220" s="33">
        <v>37681</v>
      </c>
      <c r="B220" s="3">
        <v>848.18</v>
      </c>
      <c r="C220" s="3">
        <v>841.15</v>
      </c>
      <c r="D220" s="3">
        <v>895.9</v>
      </c>
      <c r="E220" s="3">
        <v>788.9</v>
      </c>
      <c r="F220" s="3">
        <v>848.18</v>
      </c>
      <c r="G220" s="3">
        <v>30080030000</v>
      </c>
      <c r="I220" s="15">
        <f t="shared" si="0"/>
        <v>1.0810441179938222</v>
      </c>
      <c r="J220" s="4">
        <f t="shared" si="1"/>
        <v>1.3277959867009363</v>
      </c>
      <c r="K220" s="4">
        <f t="shared" si="2"/>
        <v>1.5594567190926456</v>
      </c>
      <c r="L220" s="4">
        <f t="shared" si="3"/>
        <v>1.8500672027164047</v>
      </c>
      <c r="M220" s="4">
        <f t="shared" si="4"/>
        <v>3.1135725907236673</v>
      </c>
      <c r="N220" s="4"/>
      <c r="R220" s="4">
        <f t="shared" si="8"/>
        <v>1.1100000000000001</v>
      </c>
    </row>
    <row r="221" spans="1:18" ht="14.25" customHeight="1">
      <c r="A221" s="33">
        <v>37712</v>
      </c>
      <c r="B221" s="3">
        <v>916.92</v>
      </c>
      <c r="C221" s="3">
        <v>848.18</v>
      </c>
      <c r="D221" s="3">
        <v>924.24</v>
      </c>
      <c r="E221" s="3">
        <v>847.85</v>
      </c>
      <c r="F221" s="3">
        <v>916.92</v>
      </c>
      <c r="G221" s="3">
        <v>29669610000</v>
      </c>
      <c r="I221" s="15">
        <f t="shared" si="0"/>
        <v>1.0508986607337609</v>
      </c>
      <c r="J221" s="4">
        <f t="shared" si="1"/>
        <v>1.2076298913754744</v>
      </c>
      <c r="K221" s="4">
        <f t="shared" si="2"/>
        <v>1.5111351044802164</v>
      </c>
      <c r="L221" s="4">
        <f t="shared" si="3"/>
        <v>1.742322121886315</v>
      </c>
      <c r="M221" s="4">
        <f t="shared" si="4"/>
        <v>2.8879836845090088</v>
      </c>
      <c r="N221" s="4"/>
      <c r="R221" s="4">
        <f t="shared" si="8"/>
        <v>1.1100000000000001</v>
      </c>
    </row>
    <row r="222" spans="1:18" ht="14.25" customHeight="1">
      <c r="A222" s="33">
        <v>37742</v>
      </c>
      <c r="B222" s="3">
        <v>963.59</v>
      </c>
      <c r="C222" s="3">
        <v>916.92</v>
      </c>
      <c r="D222" s="3">
        <v>965.38</v>
      </c>
      <c r="E222" s="3">
        <v>902.83</v>
      </c>
      <c r="F222" s="3">
        <v>963.59</v>
      </c>
      <c r="G222" s="3">
        <v>30952100000</v>
      </c>
      <c r="I222" s="15">
        <f t="shared" si="0"/>
        <v>1.0113222428626283</v>
      </c>
      <c r="J222" s="4">
        <f t="shared" si="1"/>
        <v>1.163025768220924</v>
      </c>
      <c r="K222" s="4">
        <f t="shared" si="2"/>
        <v>1.453294450959433</v>
      </c>
      <c r="L222" s="4">
        <f t="shared" si="3"/>
        <v>1.6923587832999512</v>
      </c>
      <c r="M222" s="4">
        <f t="shared" si="4"/>
        <v>2.8074907377619112</v>
      </c>
      <c r="N222" s="4"/>
      <c r="R222" s="4">
        <f t="shared" si="8"/>
        <v>1.1100000000000001</v>
      </c>
    </row>
    <row r="223" spans="1:18" ht="14.25" customHeight="1">
      <c r="A223" s="33">
        <v>37773</v>
      </c>
      <c r="B223" s="3">
        <v>974.5</v>
      </c>
      <c r="C223" s="3">
        <v>963.59</v>
      </c>
      <c r="D223" s="3">
        <v>1015.33</v>
      </c>
      <c r="E223" s="3">
        <v>963.59</v>
      </c>
      <c r="F223" s="3">
        <v>974.5</v>
      </c>
      <c r="G223" s="3">
        <v>31219400000</v>
      </c>
      <c r="I223" s="15">
        <f t="shared" si="0"/>
        <v>1.0162237044638276</v>
      </c>
      <c r="J223" s="4">
        <f t="shared" si="1"/>
        <v>1.1706926629040533</v>
      </c>
      <c r="K223" s="4">
        <f t="shared" si="2"/>
        <v>1.3134940995382247</v>
      </c>
      <c r="L223" s="4">
        <f t="shared" si="3"/>
        <v>1.6483119548486402</v>
      </c>
      <c r="M223" s="4">
        <f t="shared" si="4"/>
        <v>2.7895023088763469</v>
      </c>
      <c r="N223" s="4"/>
      <c r="R223" s="4">
        <f t="shared" si="8"/>
        <v>1.1100000000000001</v>
      </c>
    </row>
    <row r="224" spans="1:18" ht="14.25" customHeight="1">
      <c r="A224" s="33">
        <v>37803</v>
      </c>
      <c r="B224" s="3">
        <v>990.31</v>
      </c>
      <c r="C224" s="3">
        <v>974.5</v>
      </c>
      <c r="D224" s="3">
        <v>1015.41</v>
      </c>
      <c r="E224" s="3">
        <v>962.1</v>
      </c>
      <c r="F224" s="3">
        <v>990.31</v>
      </c>
      <c r="G224" s="3">
        <v>31553200000</v>
      </c>
      <c r="I224" s="15">
        <f t="shared" si="0"/>
        <v>1.0178731912229504</v>
      </c>
      <c r="J224" s="4">
        <f t="shared" si="1"/>
        <v>1.112500126223102</v>
      </c>
      <c r="K224" s="4">
        <f t="shared" si="2"/>
        <v>1.2797810786521393</v>
      </c>
      <c r="L224" s="4">
        <f t="shared" si="3"/>
        <v>1.7022245559471278</v>
      </c>
      <c r="M224" s="4">
        <f t="shared" si="4"/>
        <v>2.8438468762306752</v>
      </c>
      <c r="N224" s="4"/>
      <c r="R224" s="4">
        <f t="shared" si="8"/>
        <v>1.1100000000000001</v>
      </c>
    </row>
    <row r="225" spans="1:18" ht="14.25" customHeight="1">
      <c r="A225" s="33">
        <v>37834</v>
      </c>
      <c r="B225" s="3">
        <v>1008.01</v>
      </c>
      <c r="C225" s="3">
        <v>990.31</v>
      </c>
      <c r="D225" s="3">
        <v>1011.01</v>
      </c>
      <c r="E225" s="3">
        <v>960.84</v>
      </c>
      <c r="F225" s="3">
        <v>1008.01</v>
      </c>
      <c r="G225" s="3">
        <v>24881470000</v>
      </c>
      <c r="I225" s="15">
        <f t="shared" si="0"/>
        <v>0.98805567405085271</v>
      </c>
      <c r="J225" s="4">
        <f t="shared" si="1"/>
        <v>1.0954653227646551</v>
      </c>
      <c r="K225" s="4">
        <f t="shared" si="2"/>
        <v>1.2726361841648395</v>
      </c>
      <c r="L225" s="4">
        <f t="shared" si="3"/>
        <v>1.6199938492673684</v>
      </c>
      <c r="M225" s="4">
        <f t="shared" si="4"/>
        <v>2.878463507306475</v>
      </c>
      <c r="N225" s="4"/>
      <c r="R225" s="4">
        <f t="shared" si="8"/>
        <v>1.0954653227646551</v>
      </c>
    </row>
    <row r="226" spans="1:18" ht="14.25" customHeight="1">
      <c r="A226" s="33">
        <v>37865</v>
      </c>
      <c r="B226" s="3">
        <v>995.97</v>
      </c>
      <c r="C226" s="3">
        <v>1008.01</v>
      </c>
      <c r="D226" s="3">
        <v>1040.29</v>
      </c>
      <c r="E226" s="3">
        <v>990.36</v>
      </c>
      <c r="F226" s="3">
        <v>995.97</v>
      </c>
      <c r="G226" s="3">
        <v>29940110000</v>
      </c>
      <c r="I226" s="15">
        <f t="shared" si="0"/>
        <v>1.0549614948241413</v>
      </c>
      <c r="J226" s="4">
        <f t="shared" si="1"/>
        <v>1.1190899324276835</v>
      </c>
      <c r="K226" s="4">
        <f t="shared" si="2"/>
        <v>1.1710794501842423</v>
      </c>
      <c r="L226" s="4">
        <f t="shared" si="3"/>
        <v>1.6883540668895649</v>
      </c>
      <c r="M226" s="4">
        <f t="shared" si="4"/>
        <v>2.9257708565519041</v>
      </c>
      <c r="N226" s="4"/>
      <c r="R226" s="4">
        <f t="shared" si="8"/>
        <v>1.1100000000000001</v>
      </c>
    </row>
    <row r="227" spans="1:18" ht="14.25" customHeight="1">
      <c r="A227" s="33">
        <v>37895</v>
      </c>
      <c r="B227" s="3">
        <v>1050.71</v>
      </c>
      <c r="C227" s="3">
        <v>995.97</v>
      </c>
      <c r="D227" s="3">
        <v>1053.79</v>
      </c>
      <c r="E227" s="3">
        <v>995.97</v>
      </c>
      <c r="F227" s="3">
        <v>1050.71</v>
      </c>
      <c r="G227" s="3">
        <v>32298500000</v>
      </c>
      <c r="I227" s="15">
        <f t="shared" si="0"/>
        <v>1.0071285131006653</v>
      </c>
      <c r="J227" s="4">
        <f t="shared" si="1"/>
        <v>1.0756536056571271</v>
      </c>
      <c r="K227" s="4">
        <f t="shared" si="2"/>
        <v>0.92199560297322758</v>
      </c>
      <c r="L227" s="4">
        <f t="shared" si="3"/>
        <v>1.6717648066545479</v>
      </c>
      <c r="M227" s="4">
        <f t="shared" si="4"/>
        <v>2.5808643679036076</v>
      </c>
      <c r="N227" s="4"/>
      <c r="R227" s="4">
        <f t="shared" si="8"/>
        <v>1.0756536056571271</v>
      </c>
    </row>
    <row r="228" spans="1:18" ht="14.25" customHeight="1">
      <c r="A228" s="33">
        <v>37926</v>
      </c>
      <c r="B228" s="3">
        <v>1058.2</v>
      </c>
      <c r="C228" s="3">
        <v>1050.71</v>
      </c>
      <c r="D228" s="3">
        <v>1063.6500000000001</v>
      </c>
      <c r="E228" s="3">
        <v>1031.2</v>
      </c>
      <c r="F228" s="3">
        <v>1058.2</v>
      </c>
      <c r="G228" s="3">
        <v>24463220000</v>
      </c>
      <c r="I228" s="15">
        <f t="shared" si="0"/>
        <v>1.0507654507654507</v>
      </c>
      <c r="J228" s="4">
        <f t="shared" si="1"/>
        <v>1.1092610092610091</v>
      </c>
      <c r="K228" s="4">
        <f t="shared" si="2"/>
        <v>0.8469476469476469</v>
      </c>
      <c r="L228" s="4">
        <f t="shared" si="3"/>
        <v>1.7064921564921565</v>
      </c>
      <c r="M228" s="4">
        <f t="shared" si="4"/>
        <v>2.6083632583632581</v>
      </c>
      <c r="N228" s="4"/>
      <c r="R228" s="4">
        <f t="shared" si="8"/>
        <v>1.1092610092610091</v>
      </c>
    </row>
    <row r="229" spans="1:18" ht="14.25" customHeight="1">
      <c r="A229" s="33">
        <v>37956</v>
      </c>
      <c r="B229" s="3">
        <v>1111.92</v>
      </c>
      <c r="C229" s="3">
        <v>1058.2</v>
      </c>
      <c r="D229" s="3">
        <v>1112.56</v>
      </c>
      <c r="E229" s="3">
        <v>1053.4100000000001</v>
      </c>
      <c r="F229" s="3">
        <v>1111.92</v>
      </c>
      <c r="G229" s="3">
        <v>27839130000</v>
      </c>
      <c r="I229" s="15">
        <f t="shared" si="0"/>
        <v>1.0172764227642277</v>
      </c>
      <c r="J229" s="4">
        <f t="shared" si="1"/>
        <v>1.0899345276638608</v>
      </c>
      <c r="K229" s="4">
        <f t="shared" si="2"/>
        <v>0.81233362112382179</v>
      </c>
      <c r="L229" s="4">
        <f t="shared" si="3"/>
        <v>1.6623138355277356</v>
      </c>
      <c r="M229" s="4">
        <f t="shared" si="4"/>
        <v>2.2545237067414918</v>
      </c>
      <c r="N229" s="4"/>
      <c r="R229" s="4">
        <f t="shared" si="8"/>
        <v>1.0899345276638608</v>
      </c>
    </row>
    <row r="230" spans="1:18" ht="14.25" customHeight="1">
      <c r="A230" s="33">
        <v>37987</v>
      </c>
      <c r="B230" s="3">
        <v>1131.1300000000001</v>
      </c>
      <c r="C230" s="3">
        <v>1111.92</v>
      </c>
      <c r="D230" s="3">
        <v>1155.3800000000001</v>
      </c>
      <c r="E230" s="3">
        <v>1105.08</v>
      </c>
      <c r="F230" s="3">
        <v>1131.1300000000001</v>
      </c>
      <c r="G230" s="3">
        <v>32820000000</v>
      </c>
      <c r="I230" s="15">
        <f t="shared" si="0"/>
        <v>1.012209029908145</v>
      </c>
      <c r="J230" s="4">
        <f t="shared" si="1"/>
        <v>1.0443273540618672</v>
      </c>
      <c r="K230" s="4">
        <f t="shared" si="2"/>
        <v>0.73013711951765037</v>
      </c>
      <c r="L230" s="4">
        <f t="shared" si="3"/>
        <v>1.5759373369992837</v>
      </c>
      <c r="M230" s="4">
        <f t="shared" si="4"/>
        <v>2.3906182313261954</v>
      </c>
      <c r="N230" s="4"/>
      <c r="R230" s="4">
        <f t="shared" si="8"/>
        <v>1.0443273540618672</v>
      </c>
    </row>
    <row r="231" spans="1:18" ht="14.25" customHeight="1">
      <c r="A231" s="33">
        <v>38018</v>
      </c>
      <c r="B231" s="3">
        <v>1144.94</v>
      </c>
      <c r="C231" s="3">
        <v>1131.1300000000001</v>
      </c>
      <c r="D231" s="3">
        <v>1158.98</v>
      </c>
      <c r="E231" s="3">
        <v>1124.44</v>
      </c>
      <c r="F231" s="3">
        <v>1144.94</v>
      </c>
      <c r="G231" s="3">
        <v>27985600000</v>
      </c>
      <c r="I231" s="15">
        <f t="shared" si="0"/>
        <v>0.9836410641605674</v>
      </c>
      <c r="J231" s="4">
        <f t="shared" si="1"/>
        <v>1.051234125805719</v>
      </c>
      <c r="K231" s="4">
        <f t="shared" si="2"/>
        <v>0.6420336436843852</v>
      </c>
      <c r="L231" s="4">
        <f t="shared" si="3"/>
        <v>1.6240589026499206</v>
      </c>
      <c r="M231" s="4">
        <f t="shared" si="4"/>
        <v>2.4319964364944884</v>
      </c>
      <c r="N231" s="4"/>
      <c r="R231" s="4">
        <f t="shared" si="8"/>
        <v>1.051234125805719</v>
      </c>
    </row>
    <row r="232" spans="1:18" ht="14.25" customHeight="1">
      <c r="A232" s="33">
        <v>38047</v>
      </c>
      <c r="B232" s="3">
        <v>1126.21</v>
      </c>
      <c r="C232" s="3">
        <v>1144.94</v>
      </c>
      <c r="D232" s="3">
        <v>1163.23</v>
      </c>
      <c r="E232" s="3">
        <v>1087.1600000000001</v>
      </c>
      <c r="F232" s="3">
        <v>1126.21</v>
      </c>
      <c r="G232" s="3">
        <v>33597900000</v>
      </c>
      <c r="I232" s="15">
        <f t="shared" si="0"/>
        <v>0.98320917058097501</v>
      </c>
      <c r="J232" s="4">
        <f t="shared" si="1"/>
        <v>1.0482858436703633</v>
      </c>
      <c r="K232" s="4">
        <f t="shared" si="2"/>
        <v>0.70845579421244709</v>
      </c>
      <c r="L232" s="4">
        <f t="shared" si="3"/>
        <v>1.6625140959501334</v>
      </c>
      <c r="M232" s="4">
        <f t="shared" si="4"/>
        <v>2.5167597517336908</v>
      </c>
      <c r="N232" s="4"/>
      <c r="R232" s="4">
        <f t="shared" si="8"/>
        <v>1.0482858436703633</v>
      </c>
    </row>
    <row r="233" spans="1:18" ht="14.25" customHeight="1">
      <c r="A233" s="33">
        <v>38078</v>
      </c>
      <c r="B233" s="3">
        <v>1107.3</v>
      </c>
      <c r="C233" s="3">
        <v>1126.21</v>
      </c>
      <c r="D233" s="3">
        <v>1150.57</v>
      </c>
      <c r="E233" s="3">
        <v>1107.23</v>
      </c>
      <c r="F233" s="3">
        <v>1107.3</v>
      </c>
      <c r="G233" s="3">
        <v>31611900000</v>
      </c>
      <c r="I233" s="15">
        <f t="shared" si="0"/>
        <v>1.0120834462205366</v>
      </c>
      <c r="J233" s="4">
        <f t="shared" si="1"/>
        <v>1.0447484873114783</v>
      </c>
      <c r="K233" s="4">
        <f t="shared" si="2"/>
        <v>0.78823263794816223</v>
      </c>
      <c r="L233" s="4">
        <f t="shared" si="3"/>
        <v>1.7013907703422742</v>
      </c>
      <c r="M233" s="4">
        <f t="shared" si="4"/>
        <v>2.6603720762214396</v>
      </c>
      <c r="N233" s="4"/>
      <c r="R233" s="4">
        <f t="shared" si="8"/>
        <v>1.0447484873114783</v>
      </c>
    </row>
    <row r="234" spans="1:18" ht="14.25" customHeight="1">
      <c r="A234" s="33">
        <v>38108</v>
      </c>
      <c r="B234" s="3">
        <v>1120.68</v>
      </c>
      <c r="C234" s="3">
        <v>1107.3</v>
      </c>
      <c r="D234" s="3">
        <v>1127.74</v>
      </c>
      <c r="E234" s="3">
        <v>1076.32</v>
      </c>
      <c r="F234" s="3">
        <v>1120.68</v>
      </c>
      <c r="G234" s="3">
        <v>29326400000</v>
      </c>
      <c r="I234" s="15">
        <f t="shared" si="0"/>
        <v>1.0179890780597494</v>
      </c>
      <c r="J234" s="4">
        <f t="shared" si="1"/>
        <v>1.0631937752079095</v>
      </c>
      <c r="K234" s="4">
        <f t="shared" si="2"/>
        <v>0.82016275832530239</v>
      </c>
      <c r="L234" s="4">
        <f t="shared" si="3"/>
        <v>1.7164310954063602</v>
      </c>
      <c r="M234" s="4">
        <f t="shared" si="4"/>
        <v>2.4557054645393865</v>
      </c>
      <c r="N234" s="4"/>
      <c r="R234" s="4">
        <f t="shared" si="8"/>
        <v>1.0631937752079095</v>
      </c>
    </row>
    <row r="235" spans="1:18" ht="14.25" customHeight="1">
      <c r="A235" s="33">
        <v>38139</v>
      </c>
      <c r="B235" s="3">
        <v>1140.8399999999999</v>
      </c>
      <c r="C235" s="3">
        <v>1120.68</v>
      </c>
      <c r="D235" s="3">
        <v>1146.3399999999999</v>
      </c>
      <c r="E235" s="3">
        <v>1113.32</v>
      </c>
      <c r="F235" s="3">
        <v>1140.8399999999999</v>
      </c>
      <c r="G235" s="3">
        <v>27529500000</v>
      </c>
      <c r="I235" s="15">
        <f t="shared" si="0"/>
        <v>0.96570947722730627</v>
      </c>
      <c r="J235" s="4">
        <f t="shared" si="1"/>
        <v>1.0442568633638372</v>
      </c>
      <c r="K235" s="4">
        <f t="shared" si="2"/>
        <v>0.80582728515830448</v>
      </c>
      <c r="L235" s="4">
        <f t="shared" si="3"/>
        <v>1.7182339328915537</v>
      </c>
      <c r="M235" s="4">
        <f t="shared" si="4"/>
        <v>2.5785912134918134</v>
      </c>
      <c r="N235" s="4"/>
      <c r="R235" s="4">
        <f t="shared" si="8"/>
        <v>1.0442568633638372</v>
      </c>
    </row>
    <row r="236" spans="1:18" ht="14.25" customHeight="1">
      <c r="A236" s="33">
        <v>38169</v>
      </c>
      <c r="B236" s="3">
        <v>1101.72</v>
      </c>
      <c r="C236" s="3">
        <v>1140.8399999999999</v>
      </c>
      <c r="D236" s="3">
        <v>1140.8399999999999</v>
      </c>
      <c r="E236" s="3">
        <v>1078.78</v>
      </c>
      <c r="F236" s="3">
        <v>1101.72</v>
      </c>
      <c r="G236" s="3">
        <v>29285600000</v>
      </c>
      <c r="I236" s="15">
        <f t="shared" si="0"/>
        <v>1.0022873325345822</v>
      </c>
      <c r="J236" s="4">
        <f t="shared" si="1"/>
        <v>1.1202301855280834</v>
      </c>
      <c r="K236" s="4">
        <f t="shared" si="2"/>
        <v>0.89630759176560282</v>
      </c>
      <c r="L236" s="4">
        <f t="shared" si="3"/>
        <v>1.7524144065642813</v>
      </c>
      <c r="M236" s="4">
        <f t="shared" si="4"/>
        <v>2.7052064045310971</v>
      </c>
      <c r="N236" s="4"/>
      <c r="R236" s="4">
        <f t="shared" si="8"/>
        <v>1.1100000000000001</v>
      </c>
    </row>
    <row r="237" spans="1:18" ht="14.25" customHeight="1">
      <c r="A237" s="33">
        <v>38200</v>
      </c>
      <c r="B237" s="3">
        <v>1104.24</v>
      </c>
      <c r="C237" s="3">
        <v>1101.72</v>
      </c>
      <c r="D237" s="3">
        <v>1109.68</v>
      </c>
      <c r="E237" s="3">
        <v>1060.72</v>
      </c>
      <c r="F237" s="3">
        <v>1104.24</v>
      </c>
      <c r="G237" s="3">
        <v>26586800000</v>
      </c>
      <c r="I237" s="15">
        <f t="shared" si="0"/>
        <v>1.00936390639716</v>
      </c>
      <c r="J237" s="4">
        <f t="shared" si="1"/>
        <v>1.1051311309135694</v>
      </c>
      <c r="K237" s="4">
        <f t="shared" si="2"/>
        <v>0.92427370861406943</v>
      </c>
      <c r="L237" s="4">
        <f t="shared" si="3"/>
        <v>1.8142523364485981</v>
      </c>
      <c r="M237" s="4">
        <f t="shared" si="4"/>
        <v>2.6502028544519307</v>
      </c>
      <c r="N237" s="4"/>
      <c r="R237" s="4">
        <f t="shared" si="8"/>
        <v>1.1051311309135694</v>
      </c>
    </row>
    <row r="238" spans="1:18" ht="14.25" customHeight="1">
      <c r="A238" s="33">
        <v>38231</v>
      </c>
      <c r="B238" s="3">
        <v>1114.58</v>
      </c>
      <c r="C238" s="3">
        <v>1104.24</v>
      </c>
      <c r="D238" s="3">
        <v>1131.54</v>
      </c>
      <c r="E238" s="3">
        <v>1099.18</v>
      </c>
      <c r="F238" s="3">
        <v>1114.58</v>
      </c>
      <c r="G238" s="3">
        <v>26829870000</v>
      </c>
      <c r="I238" s="15">
        <f t="shared" si="0"/>
        <v>1.0140142475192451</v>
      </c>
      <c r="J238" s="4">
        <f t="shared" si="1"/>
        <v>1.1024870354752463</v>
      </c>
      <c r="K238" s="4">
        <f t="shared" si="2"/>
        <v>0.9484110606685926</v>
      </c>
      <c r="L238" s="4">
        <f t="shared" si="3"/>
        <v>1.7695365070250679</v>
      </c>
      <c r="M238" s="4">
        <f t="shared" si="4"/>
        <v>2.6707279872238869</v>
      </c>
      <c r="R238" s="4">
        <f t="shared" si="8"/>
        <v>1.1024870354752463</v>
      </c>
    </row>
    <row r="239" spans="1:18" ht="14.25" customHeight="1">
      <c r="A239" s="33">
        <v>38261</v>
      </c>
      <c r="B239" s="3">
        <v>1130.2</v>
      </c>
      <c r="C239" s="3">
        <v>1114.58</v>
      </c>
      <c r="D239" s="3">
        <v>1142.05</v>
      </c>
      <c r="E239" s="3">
        <v>1090.29</v>
      </c>
      <c r="F239" s="3">
        <v>1130.2</v>
      </c>
      <c r="G239" s="3">
        <v>31511000000</v>
      </c>
      <c r="I239" s="15">
        <f t="shared" si="0"/>
        <v>1.0385949389488585</v>
      </c>
      <c r="J239" s="4">
        <f t="shared" si="1"/>
        <v>1.0679614227570342</v>
      </c>
      <c r="K239" s="4">
        <f t="shared" si="2"/>
        <v>0.91682003185276939</v>
      </c>
      <c r="L239" s="4">
        <f t="shared" si="3"/>
        <v>1.785568925853831</v>
      </c>
      <c r="M239" s="4">
        <f t="shared" si="4"/>
        <v>2.6876305078747125</v>
      </c>
      <c r="R239" s="4">
        <f t="shared" si="8"/>
        <v>1.0679614227570342</v>
      </c>
    </row>
    <row r="240" spans="1:18" ht="14.25" customHeight="1">
      <c r="A240" s="33">
        <v>38292</v>
      </c>
      <c r="B240" s="3">
        <v>1173.82</v>
      </c>
      <c r="C240" s="3">
        <v>1130.2</v>
      </c>
      <c r="D240" s="3">
        <v>1188.46</v>
      </c>
      <c r="E240" s="3">
        <v>1127.5999999999999</v>
      </c>
      <c r="F240" s="3">
        <v>1173.82</v>
      </c>
      <c r="G240" s="3">
        <v>30460280000</v>
      </c>
      <c r="I240" s="15">
        <f t="shared" si="0"/>
        <v>1.0324581281627507</v>
      </c>
      <c r="J240" s="4">
        <f t="shared" si="1"/>
        <v>1.0644562198633523</v>
      </c>
      <c r="K240" s="4">
        <f t="shared" si="2"/>
        <v>0.93338842411954148</v>
      </c>
      <c r="L240" s="4">
        <f t="shared" si="3"/>
        <v>1.7613944216319368</v>
      </c>
      <c r="M240" s="4">
        <f t="shared" si="4"/>
        <v>2.6758617164471556</v>
      </c>
      <c r="R240" s="4">
        <f t="shared" si="8"/>
        <v>1.0644562198633523</v>
      </c>
    </row>
    <row r="241" spans="1:18" ht="14.25" customHeight="1">
      <c r="A241" s="33">
        <v>38322</v>
      </c>
      <c r="B241" s="3">
        <v>1211.92</v>
      </c>
      <c r="C241" s="3">
        <v>1173.78</v>
      </c>
      <c r="D241" s="3">
        <v>1217.33</v>
      </c>
      <c r="E241" s="3">
        <v>1173.78</v>
      </c>
      <c r="F241" s="3">
        <v>1211.92</v>
      </c>
      <c r="G241" s="3">
        <v>31102500000</v>
      </c>
      <c r="I241" s="15">
        <f t="shared" si="0"/>
        <v>0.97470955178559637</v>
      </c>
      <c r="J241" s="4">
        <f t="shared" si="1"/>
        <v>1.0300102316984618</v>
      </c>
      <c r="K241" s="4">
        <f t="shared" si="2"/>
        <v>0.92011023829955763</v>
      </c>
      <c r="L241" s="4">
        <f t="shared" si="3"/>
        <v>1.698874513169186</v>
      </c>
      <c r="M241" s="4">
        <f t="shared" si="4"/>
        <v>2.6658360287807774</v>
      </c>
      <c r="R241" s="4">
        <f t="shared" si="8"/>
        <v>1.0300102316984618</v>
      </c>
    </row>
    <row r="242" spans="1:18" ht="14.25" customHeight="1">
      <c r="A242" s="33">
        <v>38353</v>
      </c>
      <c r="B242" s="3">
        <v>1181.27</v>
      </c>
      <c r="C242" s="3">
        <v>1211.92</v>
      </c>
      <c r="D242" s="3">
        <v>1217.8</v>
      </c>
      <c r="E242" s="3">
        <v>1163.75</v>
      </c>
      <c r="F242" s="3">
        <v>1181.27</v>
      </c>
      <c r="G242" s="3">
        <v>31498800000</v>
      </c>
      <c r="I242" s="15">
        <f t="shared" si="0"/>
        <v>1.0189033836464143</v>
      </c>
      <c r="J242" s="4">
        <f t="shared" si="1"/>
        <v>1.0836472609987555</v>
      </c>
      <c r="K242" s="4">
        <f t="shared" si="2"/>
        <v>0.90908090445029499</v>
      </c>
      <c r="L242" s="4">
        <f t="shared" si="3"/>
        <v>1.6888518289637424</v>
      </c>
      <c r="M242" s="4">
        <f t="shared" si="4"/>
        <v>2.7305527102186629</v>
      </c>
      <c r="R242" s="4">
        <f t="shared" si="8"/>
        <v>1.0836472609987555</v>
      </c>
    </row>
    <row r="243" spans="1:18" ht="14.25" customHeight="1">
      <c r="A243" s="33">
        <v>38384</v>
      </c>
      <c r="B243" s="3">
        <v>1203.5999999999999</v>
      </c>
      <c r="C243" s="3">
        <v>1181.27</v>
      </c>
      <c r="D243" s="3">
        <v>1212.44</v>
      </c>
      <c r="E243" s="3">
        <v>1180.95</v>
      </c>
      <c r="F243" s="3">
        <v>1203.5999999999999</v>
      </c>
      <c r="G243" s="3">
        <v>29297410000</v>
      </c>
      <c r="I243" s="15">
        <f t="shared" si="0"/>
        <v>0.98088235294117643</v>
      </c>
      <c r="J243" s="4">
        <f t="shared" si="1"/>
        <v>1.0640245928880028</v>
      </c>
      <c r="K243" s="4">
        <f t="shared" si="2"/>
        <v>0.91765536723163854</v>
      </c>
      <c r="L243" s="4">
        <f t="shared" si="3"/>
        <v>1.7485044865403789</v>
      </c>
      <c r="M243" s="4">
        <f t="shared" si="4"/>
        <v>2.4544865403788636</v>
      </c>
      <c r="R243" s="4">
        <f t="shared" si="8"/>
        <v>1.0640245928880028</v>
      </c>
    </row>
    <row r="244" spans="1:18" ht="14.25" customHeight="1">
      <c r="A244" s="33">
        <v>38412</v>
      </c>
      <c r="B244" s="3">
        <v>1180.5899999999999</v>
      </c>
      <c r="C244" s="3">
        <v>1203.5999999999999</v>
      </c>
      <c r="D244" s="3">
        <v>1229.1099999999999</v>
      </c>
      <c r="E244" s="3">
        <v>1163.69</v>
      </c>
      <c r="F244" s="3">
        <v>1180.5899999999999</v>
      </c>
      <c r="G244" s="3">
        <v>39014150000</v>
      </c>
      <c r="I244" s="15">
        <f t="shared" si="0"/>
        <v>0.97989141022708981</v>
      </c>
      <c r="J244" s="4">
        <f t="shared" si="1"/>
        <v>1.0967990580980695</v>
      </c>
      <c r="K244" s="4">
        <f t="shared" si="2"/>
        <v>0.99054709933169016</v>
      </c>
      <c r="L244" s="4">
        <f t="shared" si="3"/>
        <v>1.7515733658594432</v>
      </c>
      <c r="M244" s="4">
        <f t="shared" si="4"/>
        <v>2.1892358905293121</v>
      </c>
      <c r="R244" s="4">
        <f t="shared" si="8"/>
        <v>1.0967990580980695</v>
      </c>
    </row>
    <row r="245" spans="1:18" ht="14.25" customHeight="1">
      <c r="A245" s="33">
        <v>38443</v>
      </c>
      <c r="B245" s="3">
        <v>1156.8499999999999</v>
      </c>
      <c r="C245" s="3">
        <v>1180.5899999999999</v>
      </c>
      <c r="D245" s="3">
        <v>1191.8800000000001</v>
      </c>
      <c r="E245" s="3">
        <v>1136.1500000000001</v>
      </c>
      <c r="F245" s="3">
        <v>1156.8499999999999</v>
      </c>
      <c r="G245" s="3">
        <v>43424270000</v>
      </c>
      <c r="I245" s="15">
        <f t="shared" si="0"/>
        <v>1.0299520248951897</v>
      </c>
      <c r="J245" s="4">
        <f t="shared" si="1"/>
        <v>1.1329126507325928</v>
      </c>
      <c r="K245" s="4">
        <f t="shared" si="2"/>
        <v>1.0257941824782817</v>
      </c>
      <c r="L245" s="4">
        <f t="shared" si="3"/>
        <v>1.8027488438431951</v>
      </c>
      <c r="M245" s="4">
        <f t="shared" si="4"/>
        <v>2.5175519730302116</v>
      </c>
      <c r="R245" s="4">
        <f t="shared" si="8"/>
        <v>1.1100000000000001</v>
      </c>
    </row>
    <row r="246" spans="1:18" ht="14.25" customHeight="1">
      <c r="A246" s="33">
        <v>38473</v>
      </c>
      <c r="B246" s="3">
        <v>1191.5</v>
      </c>
      <c r="C246" s="3">
        <v>1156.8499999999999</v>
      </c>
      <c r="D246" s="3">
        <v>1199.56</v>
      </c>
      <c r="E246" s="3">
        <v>1146.18</v>
      </c>
      <c r="F246" s="3">
        <v>1191.5</v>
      </c>
      <c r="G246" s="3">
        <v>39321990000</v>
      </c>
      <c r="I246" s="15">
        <f t="shared" si="0"/>
        <v>0.99985732270247585</v>
      </c>
      <c r="J246" s="4">
        <f t="shared" si="1"/>
        <v>1.0659588753671843</v>
      </c>
      <c r="K246" s="4">
        <f t="shared" si="2"/>
        <v>0.91431808644565682</v>
      </c>
      <c r="L246" s="4">
        <f t="shared" si="3"/>
        <v>1.7686865295845571</v>
      </c>
      <c r="M246" s="4">
        <f t="shared" si="4"/>
        <v>2.55502308015107</v>
      </c>
      <c r="R246" s="4">
        <f t="shared" si="8"/>
        <v>1.0659588753671843</v>
      </c>
    </row>
    <row r="247" spans="1:18" ht="14.25" customHeight="1">
      <c r="A247" s="33">
        <v>38504</v>
      </c>
      <c r="B247" s="3">
        <v>1191.33</v>
      </c>
      <c r="C247" s="3">
        <v>1191.5</v>
      </c>
      <c r="D247" s="3">
        <v>1219.5899999999999</v>
      </c>
      <c r="E247" s="3">
        <v>1188.3</v>
      </c>
      <c r="F247" s="3">
        <v>1191.33</v>
      </c>
      <c r="G247" s="3">
        <v>40334040000</v>
      </c>
      <c r="I247" s="15">
        <f t="shared" si="0"/>
        <v>1.0359682036043751</v>
      </c>
      <c r="J247" s="4">
        <f t="shared" si="1"/>
        <v>1.0662033189796278</v>
      </c>
      <c r="K247" s="4">
        <f t="shared" si="2"/>
        <v>0.86517589584749821</v>
      </c>
      <c r="L247" s="4">
        <f t="shared" si="3"/>
        <v>1.7317703742875612</v>
      </c>
      <c r="M247" s="4">
        <f t="shared" si="4"/>
        <v>2.6023771750900258</v>
      </c>
      <c r="R247" s="4">
        <f t="shared" si="8"/>
        <v>1.0662033189796278</v>
      </c>
    </row>
    <row r="248" spans="1:18" ht="14.25" customHeight="1">
      <c r="A248" s="33">
        <v>38534</v>
      </c>
      <c r="B248" s="3">
        <v>1234.18</v>
      </c>
      <c r="C248" s="3">
        <v>1191.33</v>
      </c>
      <c r="D248" s="3">
        <v>1245.1500000000001</v>
      </c>
      <c r="E248" s="3">
        <v>1183.55</v>
      </c>
      <c r="F248" s="3">
        <v>1234.18</v>
      </c>
      <c r="G248" s="3">
        <v>37464670000</v>
      </c>
      <c r="I248" s="15">
        <f t="shared" si="0"/>
        <v>0.98877797403944312</v>
      </c>
      <c r="J248" s="4">
        <f t="shared" si="1"/>
        <v>1.0344196146429208</v>
      </c>
      <c r="K248" s="4">
        <f t="shared" si="2"/>
        <v>0.89257644751981058</v>
      </c>
      <c r="L248" s="4">
        <f t="shared" si="3"/>
        <v>1.7046459997731287</v>
      </c>
      <c r="M248" s="4">
        <f t="shared" si="4"/>
        <v>2.65043996823802</v>
      </c>
      <c r="R248" s="4">
        <f t="shared" si="8"/>
        <v>1.0344196146429208</v>
      </c>
    </row>
    <row r="249" spans="1:18" ht="14.25" customHeight="1">
      <c r="A249" s="33">
        <v>38565</v>
      </c>
      <c r="B249" s="3">
        <v>1220.33</v>
      </c>
      <c r="C249" s="3">
        <v>1234.18</v>
      </c>
      <c r="D249" s="3">
        <v>1245.8599999999999</v>
      </c>
      <c r="E249" s="3">
        <v>1201.07</v>
      </c>
      <c r="F249" s="3">
        <v>1220.33</v>
      </c>
      <c r="G249" s="3">
        <v>42030090000</v>
      </c>
      <c r="I249" s="15">
        <f t="shared" si="0"/>
        <v>1.0069489400408087</v>
      </c>
      <c r="J249" s="4">
        <f t="shared" si="1"/>
        <v>1.0684159202838577</v>
      </c>
      <c r="K249" s="4">
        <f t="shared" si="2"/>
        <v>0.85987396851671272</v>
      </c>
      <c r="L249" s="4">
        <f t="shared" si="3"/>
        <v>1.6161038407643835</v>
      </c>
      <c r="M249" s="4">
        <f t="shared" si="4"/>
        <v>2.8683306974343008</v>
      </c>
      <c r="R249" s="4">
        <f t="shared" si="8"/>
        <v>1.0684159202838577</v>
      </c>
    </row>
    <row r="250" spans="1:18" ht="14.25" customHeight="1">
      <c r="A250" s="33">
        <v>38596</v>
      </c>
      <c r="B250" s="3">
        <v>1228.81</v>
      </c>
      <c r="C250" s="3">
        <v>1220.33</v>
      </c>
      <c r="D250" s="3">
        <v>1243.1300000000001</v>
      </c>
      <c r="E250" s="3">
        <v>1205.3499999999999</v>
      </c>
      <c r="F250" s="3">
        <v>1228.81</v>
      </c>
      <c r="G250" s="3">
        <v>44777510000</v>
      </c>
      <c r="I250" s="15">
        <f t="shared" si="0"/>
        <v>0.9822592589578536</v>
      </c>
      <c r="J250" s="4">
        <f t="shared" si="1"/>
        <v>1.0871086661078604</v>
      </c>
      <c r="K250" s="4">
        <f t="shared" si="2"/>
        <v>0.92870337969254813</v>
      </c>
      <c r="L250" s="4">
        <f t="shared" si="3"/>
        <v>1.5625116983097469</v>
      </c>
      <c r="M250" s="4">
        <f t="shared" si="4"/>
        <v>2.7367941341623196</v>
      </c>
      <c r="R250" s="4">
        <f t="shared" si="8"/>
        <v>1.0871086661078604</v>
      </c>
    </row>
    <row r="251" spans="1:18" ht="14.25" customHeight="1">
      <c r="A251" s="33">
        <v>38626</v>
      </c>
      <c r="B251" s="3">
        <v>1207.01</v>
      </c>
      <c r="C251" s="3">
        <v>1228.81</v>
      </c>
      <c r="D251" s="3">
        <v>1233.3399999999999</v>
      </c>
      <c r="E251" s="3">
        <v>1168.2</v>
      </c>
      <c r="F251" s="3">
        <v>1207.01</v>
      </c>
      <c r="G251" s="3">
        <v>49793790000</v>
      </c>
      <c r="I251" s="15">
        <f t="shared" si="0"/>
        <v>1.0351861210760473</v>
      </c>
      <c r="J251" s="4">
        <f t="shared" si="1"/>
        <v>1.1416144025318764</v>
      </c>
      <c r="K251" s="4">
        <f t="shared" si="2"/>
        <v>0.98032327818327936</v>
      </c>
      <c r="L251" s="4">
        <f t="shared" si="3"/>
        <v>1.7227363484975271</v>
      </c>
      <c r="M251" s="4">
        <f t="shared" si="4"/>
        <v>2.7091407693391107</v>
      </c>
      <c r="R251" s="4">
        <f t="shared" si="8"/>
        <v>1.1100000000000001</v>
      </c>
    </row>
    <row r="252" spans="1:18" ht="14.25" customHeight="1">
      <c r="A252" s="33">
        <v>38657</v>
      </c>
      <c r="B252" s="3">
        <v>1249.48</v>
      </c>
      <c r="C252" s="3">
        <v>1207.01</v>
      </c>
      <c r="D252" s="3">
        <v>1270.6400000000001</v>
      </c>
      <c r="E252" s="3">
        <v>1201.07</v>
      </c>
      <c r="F252" s="3">
        <v>1249.48</v>
      </c>
      <c r="G252" s="3">
        <v>45102870000</v>
      </c>
      <c r="I252" s="15">
        <f t="shared" si="0"/>
        <v>0.99904760380318203</v>
      </c>
      <c r="J252" s="4">
        <f t="shared" si="1"/>
        <v>1.1209703236546404</v>
      </c>
      <c r="K252" s="4">
        <f t="shared" si="2"/>
        <v>0.94483305054902833</v>
      </c>
      <c r="L252" s="4">
        <f t="shared" si="3"/>
        <v>1.6650206485898131</v>
      </c>
      <c r="M252" s="4">
        <f t="shared" si="4"/>
        <v>2.8985097800685087</v>
      </c>
      <c r="R252" s="4">
        <f t="shared" si="8"/>
        <v>1.1100000000000001</v>
      </c>
    </row>
    <row r="253" spans="1:18" ht="14.25" customHeight="1">
      <c r="A253" s="33">
        <v>38687</v>
      </c>
      <c r="B253" s="3">
        <v>1248.29</v>
      </c>
      <c r="C253" s="3">
        <v>1249.48</v>
      </c>
      <c r="D253" s="3">
        <v>1275.8</v>
      </c>
      <c r="E253" s="3">
        <v>1246.5899999999999</v>
      </c>
      <c r="F253" s="3">
        <v>1248.29</v>
      </c>
      <c r="G253" s="3">
        <v>41756130000</v>
      </c>
      <c r="I253" s="15">
        <f t="shared" si="0"/>
        <v>1.025466838635253</v>
      </c>
      <c r="J253" s="4">
        <f t="shared" si="1"/>
        <v>1.1361943138213075</v>
      </c>
      <c r="K253" s="4">
        <f t="shared" si="2"/>
        <v>1.0074902466574274</v>
      </c>
      <c r="L253" s="4">
        <f t="shared" si="3"/>
        <v>1.6373919521905969</v>
      </c>
      <c r="M253" s="4">
        <f t="shared" si="4"/>
        <v>3.008972274070929</v>
      </c>
      <c r="R253" s="4">
        <f t="shared" si="8"/>
        <v>1.1100000000000001</v>
      </c>
    </row>
    <row r="254" spans="1:18" ht="14.25" customHeight="1">
      <c r="A254" s="33">
        <v>38718</v>
      </c>
      <c r="B254" s="3">
        <v>1280.08</v>
      </c>
      <c r="C254" s="3">
        <v>1248.29</v>
      </c>
      <c r="D254" s="3">
        <v>1294.9000000000001</v>
      </c>
      <c r="E254" s="3">
        <v>1245.74</v>
      </c>
      <c r="F254" s="3">
        <v>1280.08</v>
      </c>
      <c r="G254" s="3">
        <v>49211650000</v>
      </c>
      <c r="I254" s="15">
        <f t="shared" si="0"/>
        <v>1.0004530966814575</v>
      </c>
      <c r="J254" s="4">
        <f t="shared" si="1"/>
        <v>1.1235547778263859</v>
      </c>
      <c r="K254" s="4">
        <f t="shared" si="2"/>
        <v>1.0047184550965564</v>
      </c>
      <c r="L254" s="4">
        <f t="shared" si="3"/>
        <v>1.5157177676395226</v>
      </c>
      <c r="M254" s="4">
        <f t="shared" si="4"/>
        <v>2.9015686519592525</v>
      </c>
      <c r="R254" s="4">
        <f t="shared" si="8"/>
        <v>1.1100000000000001</v>
      </c>
    </row>
    <row r="255" spans="1:18" ht="14.25" customHeight="1">
      <c r="A255" s="33">
        <v>38749</v>
      </c>
      <c r="B255" s="3">
        <v>1280.6600000000001</v>
      </c>
      <c r="C255" s="3">
        <v>1280.08</v>
      </c>
      <c r="D255" s="3">
        <v>1297.57</v>
      </c>
      <c r="E255" s="3">
        <v>1253.6099999999999</v>
      </c>
      <c r="F255" s="3">
        <v>1280.6600000000001</v>
      </c>
      <c r="G255" s="3">
        <v>42859940000</v>
      </c>
      <c r="I255" s="15">
        <f t="shared" si="0"/>
        <v>1.0110958412068776</v>
      </c>
      <c r="J255" s="4">
        <f t="shared" si="1"/>
        <v>1.0985117049021598</v>
      </c>
      <c r="K255" s="4">
        <f t="shared" si="2"/>
        <v>1.0363562538066309</v>
      </c>
      <c r="L255" s="4">
        <f t="shared" si="3"/>
        <v>1.508776724501429</v>
      </c>
      <c r="M255" s="4">
        <f t="shared" si="4"/>
        <v>2.9759264754111161</v>
      </c>
      <c r="R255" s="4">
        <f t="shared" si="8"/>
        <v>1.0985117049021598</v>
      </c>
    </row>
    <row r="256" spans="1:18" ht="14.25" customHeight="1">
      <c r="A256" s="33">
        <v>38777</v>
      </c>
      <c r="B256" s="3">
        <v>1294.8699999999999</v>
      </c>
      <c r="C256" s="3">
        <v>1280.6600000000001</v>
      </c>
      <c r="D256" s="3">
        <v>1310.88</v>
      </c>
      <c r="E256" s="3">
        <v>1268.42</v>
      </c>
      <c r="F256" s="3">
        <v>1294.8699999999999</v>
      </c>
      <c r="G256" s="3">
        <v>50905040000</v>
      </c>
      <c r="I256" s="15">
        <f t="shared" si="0"/>
        <v>1.0121556604137867</v>
      </c>
      <c r="J256" s="4">
        <f t="shared" si="1"/>
        <v>1.0972993427911681</v>
      </c>
      <c r="K256" s="4">
        <f t="shared" si="2"/>
        <v>1.0239097361125056</v>
      </c>
      <c r="L256" s="4">
        <f t="shared" si="3"/>
        <v>1.5906925019500027</v>
      </c>
      <c r="M256" s="4">
        <f t="shared" si="4"/>
        <v>3.0681767281657621</v>
      </c>
      <c r="R256" s="4">
        <f t="shared" si="8"/>
        <v>1.0972993427911681</v>
      </c>
    </row>
    <row r="257" spans="1:18" ht="14.25" customHeight="1">
      <c r="A257" s="33">
        <v>38808</v>
      </c>
      <c r="B257" s="3">
        <v>1310.6099999999999</v>
      </c>
      <c r="C257" s="3">
        <v>1302.8800000000001</v>
      </c>
      <c r="D257" s="3">
        <v>1318.16</v>
      </c>
      <c r="E257" s="3">
        <v>1280.74</v>
      </c>
      <c r="F257" s="3">
        <v>1310.6099999999999</v>
      </c>
      <c r="G257" s="3">
        <v>43308430000</v>
      </c>
      <c r="I257" s="15">
        <f t="shared" ref="I257:I450" si="9">B258/B257</f>
        <v>0.96908309870976117</v>
      </c>
      <c r="J257" s="4">
        <f t="shared" ref="J257:J439" si="10">B269/B257</f>
        <v>1.1310534789143987</v>
      </c>
      <c r="K257" s="4">
        <f t="shared" ref="K257:K391" si="11">B317/B257</f>
        <v>1.0404391848070746</v>
      </c>
      <c r="L257" s="4">
        <f t="shared" ref="L257:L331" si="12">B377/B257</f>
        <v>1.5758311015481343</v>
      </c>
      <c r="M257" s="4">
        <f t="shared" ref="M257:M271" si="13">B437/B257</f>
        <v>3.190247289430113</v>
      </c>
      <c r="R257" s="4">
        <f t="shared" ref="R257:R439" si="14">IF( IF(J257&gt;$R$1,$R$1,J257)&lt;1,1,  IF(J257&gt;$R$1,$R$1,J257))</f>
        <v>1.1100000000000001</v>
      </c>
    </row>
    <row r="258" spans="1:18" ht="14.25" customHeight="1">
      <c r="A258" s="33">
        <v>38838</v>
      </c>
      <c r="B258" s="3">
        <v>1270.0899999999999</v>
      </c>
      <c r="C258" s="3">
        <v>1310.6099999999999</v>
      </c>
      <c r="D258" s="3">
        <v>1326.7</v>
      </c>
      <c r="E258" s="3">
        <v>1245.3399999999999</v>
      </c>
      <c r="F258" s="3">
        <v>1270.0899999999999</v>
      </c>
      <c r="G258" s="3">
        <v>54312830000</v>
      </c>
      <c r="I258" s="15">
        <f t="shared" si="9"/>
        <v>1.0000866080356512</v>
      </c>
      <c r="J258" s="4">
        <f t="shared" si="10"/>
        <v>1.2051271957105403</v>
      </c>
      <c r="K258" s="4">
        <f t="shared" si="11"/>
        <v>1.0591375414340718</v>
      </c>
      <c r="L258" s="4">
        <f t="shared" si="12"/>
        <v>1.6510247305309071</v>
      </c>
      <c r="M258" s="4">
        <f t="shared" si="13"/>
        <v>3.3100882614617859</v>
      </c>
      <c r="R258" s="4">
        <f t="shared" si="14"/>
        <v>1.1100000000000001</v>
      </c>
    </row>
    <row r="259" spans="1:18" ht="14.25" customHeight="1">
      <c r="A259" s="33">
        <v>38869</v>
      </c>
      <c r="B259" s="3">
        <v>1270.2</v>
      </c>
      <c r="C259" s="3">
        <v>1270.05</v>
      </c>
      <c r="D259" s="3">
        <v>1290.68</v>
      </c>
      <c r="E259" s="3">
        <v>1219.29</v>
      </c>
      <c r="F259" s="3">
        <v>1270.2</v>
      </c>
      <c r="G259" s="3">
        <v>54873260000</v>
      </c>
      <c r="I259" s="15">
        <f t="shared" si="9"/>
        <v>1.0050858132577547</v>
      </c>
      <c r="J259" s="4">
        <f t="shared" si="10"/>
        <v>1.1835537710596755</v>
      </c>
      <c r="K259" s="4">
        <f t="shared" si="11"/>
        <v>1.0397102818453787</v>
      </c>
      <c r="L259" s="4">
        <f t="shared" si="12"/>
        <v>1.6523854511100615</v>
      </c>
      <c r="M259" s="4">
        <f t="shared" si="13"/>
        <v>3.3833254605573924</v>
      </c>
      <c r="R259" s="4">
        <f t="shared" si="14"/>
        <v>1.1100000000000001</v>
      </c>
    </row>
    <row r="260" spans="1:18" ht="14.25" customHeight="1">
      <c r="A260" s="33">
        <v>38899</v>
      </c>
      <c r="B260" s="3">
        <v>1276.6600000000001</v>
      </c>
      <c r="C260" s="3">
        <v>1270.06</v>
      </c>
      <c r="D260" s="3">
        <v>1280.42</v>
      </c>
      <c r="E260" s="3">
        <v>1224.54</v>
      </c>
      <c r="F260" s="3">
        <v>1276.6600000000001</v>
      </c>
      <c r="G260" s="3">
        <v>46348220000</v>
      </c>
      <c r="I260" s="15">
        <f t="shared" si="9"/>
        <v>1.0212742625287858</v>
      </c>
      <c r="J260" s="4">
        <f t="shared" si="10"/>
        <v>1.1399041248257171</v>
      </c>
      <c r="K260" s="4">
        <f t="shared" si="11"/>
        <v>1.0122350508357745</v>
      </c>
      <c r="L260" s="4">
        <f t="shared" si="12"/>
        <v>1.7025676374289158</v>
      </c>
      <c r="M260" s="4">
        <f t="shared" si="13"/>
        <v>3.4427803800542041</v>
      </c>
      <c r="R260" s="4">
        <f t="shared" si="14"/>
        <v>1.1100000000000001</v>
      </c>
    </row>
    <row r="261" spans="1:18" ht="14.25" customHeight="1">
      <c r="A261" s="33">
        <v>38930</v>
      </c>
      <c r="B261" s="3">
        <v>1303.82</v>
      </c>
      <c r="C261" s="3">
        <v>1278.53</v>
      </c>
      <c r="D261" s="3">
        <v>1306.74</v>
      </c>
      <c r="E261" s="3">
        <v>1261.3</v>
      </c>
      <c r="F261" s="3">
        <v>1303.82</v>
      </c>
      <c r="G261" s="3">
        <v>50485620000</v>
      </c>
      <c r="I261" s="15">
        <f t="shared" si="9"/>
        <v>1.0245662744857418</v>
      </c>
      <c r="J261" s="4">
        <f t="shared" si="10"/>
        <v>1.1305164823365188</v>
      </c>
      <c r="K261" s="4">
        <f t="shared" si="11"/>
        <v>0.93486064027243032</v>
      </c>
      <c r="L261" s="4">
        <f t="shared" si="12"/>
        <v>1.6650687978401926</v>
      </c>
      <c r="M261" s="4">
        <f t="shared" si="13"/>
        <v>3.4687917043763714</v>
      </c>
      <c r="R261" s="4">
        <f t="shared" si="14"/>
        <v>1.1100000000000001</v>
      </c>
    </row>
    <row r="262" spans="1:18" ht="14.25" customHeight="1">
      <c r="A262" s="33">
        <v>38961</v>
      </c>
      <c r="B262" s="3">
        <v>1335.85</v>
      </c>
      <c r="C262" s="3">
        <v>1303.8</v>
      </c>
      <c r="D262" s="3">
        <v>1340.28</v>
      </c>
      <c r="E262" s="3">
        <v>1290.93</v>
      </c>
      <c r="F262" s="3">
        <v>1335.85</v>
      </c>
      <c r="G262" s="3">
        <v>49001440000</v>
      </c>
      <c r="I262" s="15">
        <f t="shared" si="9"/>
        <v>1.0315080285960252</v>
      </c>
      <c r="J262" s="4">
        <f t="shared" si="10"/>
        <v>1.1429052663098402</v>
      </c>
      <c r="K262" s="4">
        <f t="shared" si="11"/>
        <v>0.84696635101246409</v>
      </c>
      <c r="L262" s="4">
        <f t="shared" si="12"/>
        <v>1.6231388254669312</v>
      </c>
      <c r="M262" s="4">
        <f t="shared" si="13"/>
        <v>3.2245686267170717</v>
      </c>
      <c r="R262" s="4">
        <f t="shared" si="14"/>
        <v>1.1100000000000001</v>
      </c>
    </row>
    <row r="263" spans="1:18" ht="14.25" customHeight="1">
      <c r="A263" s="33">
        <v>38991</v>
      </c>
      <c r="B263" s="3">
        <v>1377.94</v>
      </c>
      <c r="C263" s="3">
        <v>1335.82</v>
      </c>
      <c r="D263" s="3">
        <v>1389.45</v>
      </c>
      <c r="E263" s="3">
        <v>1327.1</v>
      </c>
      <c r="F263" s="3">
        <v>1377.94</v>
      </c>
      <c r="G263" s="3">
        <v>56793620000</v>
      </c>
      <c r="I263" s="15">
        <f t="shared" si="9"/>
        <v>1.0164666095766144</v>
      </c>
      <c r="J263" s="4">
        <f t="shared" si="10"/>
        <v>1.1244176088944366</v>
      </c>
      <c r="K263" s="4">
        <f t="shared" si="11"/>
        <v>0.90954613408421259</v>
      </c>
      <c r="L263" s="4">
        <f t="shared" si="12"/>
        <v>1.5429917122661365</v>
      </c>
      <c r="M263" s="4">
        <f t="shared" si="13"/>
        <v>3.3422209965600822</v>
      </c>
      <c r="R263" s="4">
        <f t="shared" si="14"/>
        <v>1.1100000000000001</v>
      </c>
    </row>
    <row r="264" spans="1:18" ht="14.25" customHeight="1">
      <c r="A264" s="33">
        <v>39022</v>
      </c>
      <c r="B264" s="3">
        <v>1400.63</v>
      </c>
      <c r="C264" s="3">
        <v>1377.76</v>
      </c>
      <c r="D264" s="3">
        <v>1407.89</v>
      </c>
      <c r="E264" s="3">
        <v>1360.98</v>
      </c>
      <c r="F264" s="3">
        <v>1400.63</v>
      </c>
      <c r="G264" s="3">
        <v>55343930000</v>
      </c>
      <c r="I264" s="15">
        <f t="shared" si="9"/>
        <v>1.012615751483261</v>
      </c>
      <c r="J264" s="4">
        <f t="shared" si="10"/>
        <v>1.0574812762828156</v>
      </c>
      <c r="K264" s="4">
        <f t="shared" si="11"/>
        <v>0.89028508599701561</v>
      </c>
      <c r="L264" s="4">
        <f t="shared" si="12"/>
        <v>1.5698721289705346</v>
      </c>
      <c r="M264" s="4">
        <f t="shared" si="13"/>
        <v>3.2606755531439422</v>
      </c>
      <c r="R264" s="4">
        <f t="shared" si="14"/>
        <v>1.0574812762828156</v>
      </c>
    </row>
    <row r="265" spans="1:18" ht="14.25" customHeight="1">
      <c r="A265" s="33">
        <v>39052</v>
      </c>
      <c r="B265" s="3">
        <v>1418.3</v>
      </c>
      <c r="C265" s="3">
        <v>1400.63</v>
      </c>
      <c r="D265" s="3">
        <v>1431.81</v>
      </c>
      <c r="E265" s="3">
        <v>1385.93</v>
      </c>
      <c r="F265" s="3">
        <v>1418.3</v>
      </c>
      <c r="G265" s="3">
        <v>47578780000</v>
      </c>
      <c r="I265" s="15">
        <f t="shared" si="9"/>
        <v>1.0140590848198547</v>
      </c>
      <c r="J265" s="4">
        <f t="shared" si="10"/>
        <v>1.0352957766339985</v>
      </c>
      <c r="K265" s="4">
        <f t="shared" si="11"/>
        <v>0.88669533949093982</v>
      </c>
      <c r="L265" s="4">
        <f t="shared" si="12"/>
        <v>1.5785306352675739</v>
      </c>
      <c r="M265" s="4">
        <f t="shared" si="13"/>
        <v>3.360487908058944</v>
      </c>
      <c r="R265" s="4">
        <f t="shared" si="14"/>
        <v>1.0352957766339985</v>
      </c>
    </row>
    <row r="266" spans="1:18" ht="14.25" customHeight="1">
      <c r="A266" s="33">
        <v>39083</v>
      </c>
      <c r="B266" s="3">
        <v>1438.24</v>
      </c>
      <c r="C266" s="3">
        <v>1418.03</v>
      </c>
      <c r="D266" s="3">
        <v>1441.61</v>
      </c>
      <c r="E266" s="3">
        <v>1403.97</v>
      </c>
      <c r="F266" s="3">
        <v>1438.24</v>
      </c>
      <c r="G266" s="3">
        <v>56686200000</v>
      </c>
      <c r="I266" s="15">
        <f t="shared" si="9"/>
        <v>0.97815385471131377</v>
      </c>
      <c r="J266" s="4">
        <f t="shared" si="10"/>
        <v>0.95849788630548449</v>
      </c>
      <c r="K266" s="4">
        <f t="shared" si="11"/>
        <v>0.91251112470797646</v>
      </c>
      <c r="L266" s="4">
        <f t="shared" si="12"/>
        <v>1.5844852041383912</v>
      </c>
      <c r="M266" s="4">
        <f t="shared" si="13"/>
        <v>3.1396359439314718</v>
      </c>
      <c r="R266" s="4">
        <f t="shared" si="14"/>
        <v>1</v>
      </c>
    </row>
    <row r="267" spans="1:18" ht="14.25" customHeight="1">
      <c r="A267" s="33">
        <v>39114</v>
      </c>
      <c r="B267" s="3">
        <v>1406.82</v>
      </c>
      <c r="C267" s="3">
        <v>1437.9</v>
      </c>
      <c r="D267" s="3">
        <v>1461.57</v>
      </c>
      <c r="E267" s="3">
        <v>1389.42</v>
      </c>
      <c r="F267" s="3">
        <v>1406.82</v>
      </c>
      <c r="G267" s="3">
        <v>51844990000</v>
      </c>
      <c r="I267" s="15">
        <f t="shared" si="9"/>
        <v>1.0099799547916577</v>
      </c>
      <c r="J267" s="4">
        <f t="shared" si="10"/>
        <v>0.94584239632646694</v>
      </c>
      <c r="K267" s="4">
        <f t="shared" si="11"/>
        <v>0.97075674215606833</v>
      </c>
      <c r="L267" s="4">
        <f t="shared" si="12"/>
        <v>1.6801296541135327</v>
      </c>
      <c r="M267" s="4">
        <f t="shared" si="13"/>
        <v>3.1090971126370111</v>
      </c>
      <c r="R267" s="4">
        <f t="shared" si="14"/>
        <v>1</v>
      </c>
    </row>
    <row r="268" spans="1:18" ht="14.25" customHeight="1">
      <c r="A268" s="33">
        <v>39142</v>
      </c>
      <c r="B268" s="3">
        <v>1420.86</v>
      </c>
      <c r="C268" s="3">
        <v>1406.8</v>
      </c>
      <c r="D268" s="3">
        <v>1438.89</v>
      </c>
      <c r="E268" s="3">
        <v>1363.98</v>
      </c>
      <c r="F268" s="3">
        <v>1420.86</v>
      </c>
      <c r="G268" s="3">
        <v>67622250000</v>
      </c>
      <c r="I268" s="15">
        <f t="shared" si="9"/>
        <v>1.0432906831074138</v>
      </c>
      <c r="J268" s="4">
        <f t="shared" si="10"/>
        <v>0.93091507959967912</v>
      </c>
      <c r="K268" s="4">
        <f t="shared" si="11"/>
        <v>0.99127992905705009</v>
      </c>
      <c r="L268" s="4">
        <f t="shared" si="12"/>
        <v>1.6628802274678716</v>
      </c>
      <c r="M268" s="4">
        <f t="shared" si="13"/>
        <v>3.1884985149838831</v>
      </c>
      <c r="R268" s="4">
        <f t="shared" si="14"/>
        <v>1</v>
      </c>
    </row>
    <row r="269" spans="1:18" ht="14.25" customHeight="1">
      <c r="A269" s="33">
        <v>39173</v>
      </c>
      <c r="B269" s="3">
        <v>1482.37</v>
      </c>
      <c r="C269" s="3">
        <v>1420.83</v>
      </c>
      <c r="D269" s="3">
        <v>1498.02</v>
      </c>
      <c r="E269" s="3">
        <v>1416.37</v>
      </c>
      <c r="F269" s="3">
        <v>1482.37</v>
      </c>
      <c r="G269" s="3">
        <v>57032470000</v>
      </c>
      <c r="I269" s="15">
        <f t="shared" si="9"/>
        <v>1.032549228600147</v>
      </c>
      <c r="J269" s="4">
        <f t="shared" si="10"/>
        <v>0.93471265608451337</v>
      </c>
      <c r="K269" s="4">
        <f t="shared" si="11"/>
        <v>0.94302367155298628</v>
      </c>
      <c r="L269" s="4">
        <f t="shared" si="12"/>
        <v>1.6083703798646762</v>
      </c>
      <c r="M269" s="4">
        <f t="shared" si="13"/>
        <v>2.7873810182343144</v>
      </c>
      <c r="R269" s="4">
        <f t="shared" si="14"/>
        <v>1</v>
      </c>
    </row>
    <row r="270" spans="1:18" ht="14.25" customHeight="1">
      <c r="A270" s="33">
        <v>39203</v>
      </c>
      <c r="B270" s="3">
        <v>1530.62</v>
      </c>
      <c r="C270" s="3">
        <v>1482.37</v>
      </c>
      <c r="D270" s="3">
        <v>1535.56</v>
      </c>
      <c r="E270" s="3">
        <v>1476.7</v>
      </c>
      <c r="F270" s="3">
        <v>1530.62</v>
      </c>
      <c r="G270" s="3">
        <v>64958050000</v>
      </c>
      <c r="I270" s="15">
        <f t="shared" si="9"/>
        <v>0.98218369026930263</v>
      </c>
      <c r="J270" s="4">
        <f t="shared" si="10"/>
        <v>0.91491029778782473</v>
      </c>
      <c r="K270" s="4">
        <f t="shared" si="11"/>
        <v>0.85607792920515868</v>
      </c>
      <c r="L270" s="4">
        <f t="shared" si="12"/>
        <v>1.575701349779828</v>
      </c>
      <c r="M270" s="4">
        <f t="shared" si="13"/>
        <v>2.6939018175641247</v>
      </c>
      <c r="R270" s="4">
        <f t="shared" si="14"/>
        <v>1</v>
      </c>
    </row>
    <row r="271" spans="1:18" ht="14.25" customHeight="1">
      <c r="A271" s="33">
        <v>39234</v>
      </c>
      <c r="B271" s="3">
        <v>1503.35</v>
      </c>
      <c r="C271" s="3">
        <v>1530.62</v>
      </c>
      <c r="D271" s="3">
        <v>1540.56</v>
      </c>
      <c r="E271" s="3">
        <v>1484.18</v>
      </c>
      <c r="F271" s="3">
        <v>1503.35</v>
      </c>
      <c r="G271" s="3">
        <v>65322800000</v>
      </c>
      <c r="I271" s="15">
        <f t="shared" si="9"/>
        <v>0.9680180929257991</v>
      </c>
      <c r="J271" s="4">
        <f t="shared" si="10"/>
        <v>0.8514318023081785</v>
      </c>
      <c r="K271" s="4">
        <f t="shared" si="11"/>
        <v>0.90608308111883473</v>
      </c>
      <c r="L271" s="4">
        <f t="shared" si="12"/>
        <v>1.6120065187747363</v>
      </c>
      <c r="M271" s="4">
        <f t="shared" si="13"/>
        <v>2.7427678185385975</v>
      </c>
      <c r="R271" s="4">
        <f t="shared" si="14"/>
        <v>1</v>
      </c>
    </row>
    <row r="272" spans="1:18" ht="14.25" customHeight="1">
      <c r="A272" s="33">
        <v>39264</v>
      </c>
      <c r="B272" s="3">
        <v>1455.27</v>
      </c>
      <c r="C272" s="3">
        <v>1504.66</v>
      </c>
      <c r="D272" s="3">
        <v>1555.9</v>
      </c>
      <c r="E272" s="3">
        <v>1454.25</v>
      </c>
      <c r="F272" s="3">
        <v>1455.27</v>
      </c>
      <c r="G272" s="3">
        <v>70337430000</v>
      </c>
      <c r="I272" s="15">
        <f t="shared" si="9"/>
        <v>1.012863592323074</v>
      </c>
      <c r="J272" s="4">
        <f t="shared" si="10"/>
        <v>0.87088993794965897</v>
      </c>
      <c r="K272" s="4">
        <f t="shared" si="11"/>
        <v>0.94781037195846818</v>
      </c>
      <c r="L272" s="4">
        <f t="shared" si="12"/>
        <v>1.6974856899406985</v>
      </c>
      <c r="M272" s="4"/>
      <c r="R272" s="4">
        <f t="shared" si="14"/>
        <v>1</v>
      </c>
    </row>
    <row r="273" spans="1:18" ht="14.25" customHeight="1">
      <c r="A273" s="33">
        <v>39295</v>
      </c>
      <c r="B273" s="3">
        <v>1473.99</v>
      </c>
      <c r="C273" s="3">
        <v>1455.18</v>
      </c>
      <c r="D273" s="3">
        <v>1503.89</v>
      </c>
      <c r="E273" s="3">
        <v>1370.6</v>
      </c>
      <c r="F273" s="3">
        <v>1473.99</v>
      </c>
      <c r="G273" s="3">
        <v>91381760000</v>
      </c>
      <c r="I273" s="15">
        <f t="shared" si="9"/>
        <v>1.0357940013161555</v>
      </c>
      <c r="J273" s="4">
        <f t="shared" si="10"/>
        <v>0.87031119614108643</v>
      </c>
      <c r="K273" s="4">
        <f t="shared" si="11"/>
        <v>0.95426698959965806</v>
      </c>
      <c r="L273" s="4">
        <f t="shared" si="12"/>
        <v>1.6768431264798269</v>
      </c>
      <c r="M273" s="4"/>
      <c r="R273" s="4">
        <f t="shared" si="14"/>
        <v>1</v>
      </c>
    </row>
    <row r="274" spans="1:18" ht="14.25" customHeight="1">
      <c r="A274" s="33">
        <v>39326</v>
      </c>
      <c r="B274" s="3">
        <v>1526.75</v>
      </c>
      <c r="C274" s="3">
        <v>1473.96</v>
      </c>
      <c r="D274" s="3">
        <v>1538.74</v>
      </c>
      <c r="E274" s="3">
        <v>1439.29</v>
      </c>
      <c r="F274" s="3">
        <v>1526.75</v>
      </c>
      <c r="G274" s="3">
        <v>57809700000</v>
      </c>
      <c r="I274" s="15">
        <f t="shared" si="9"/>
        <v>1.0148223350253809</v>
      </c>
      <c r="J274" s="4">
        <f t="shared" si="10"/>
        <v>0.76394956607172093</v>
      </c>
      <c r="K274" s="4">
        <f t="shared" si="11"/>
        <v>0.94361879810054039</v>
      </c>
      <c r="L274" s="4">
        <f t="shared" si="12"/>
        <v>1.650145734403144</v>
      </c>
      <c r="M274" s="4"/>
      <c r="R274" s="4">
        <f t="shared" si="14"/>
        <v>1</v>
      </c>
    </row>
    <row r="275" spans="1:18" ht="14.25" customHeight="1">
      <c r="A275" s="33">
        <v>39356</v>
      </c>
      <c r="B275" s="3">
        <v>1549.38</v>
      </c>
      <c r="C275" s="3">
        <v>1527.29</v>
      </c>
      <c r="D275" s="3">
        <v>1576.09</v>
      </c>
      <c r="E275" s="3">
        <v>1489.56</v>
      </c>
      <c r="F275" s="3">
        <v>1549.38</v>
      </c>
      <c r="G275" s="3">
        <v>76022580000</v>
      </c>
      <c r="I275" s="15">
        <f t="shared" si="9"/>
        <v>0.95595657617885865</v>
      </c>
      <c r="J275" s="4">
        <f t="shared" si="10"/>
        <v>0.62525010004001591</v>
      </c>
      <c r="K275" s="4">
        <f t="shared" si="11"/>
        <v>0.91143554195871901</v>
      </c>
      <c r="L275" s="4">
        <f t="shared" si="12"/>
        <v>1.6621229136816016</v>
      </c>
      <c r="M275" s="4"/>
      <c r="R275" s="4">
        <f t="shared" si="14"/>
        <v>1</v>
      </c>
    </row>
    <row r="276" spans="1:18" ht="14.25" customHeight="1">
      <c r="A276" s="33">
        <v>39387</v>
      </c>
      <c r="B276" s="3">
        <v>1481.14</v>
      </c>
      <c r="C276" s="3">
        <v>1545.79</v>
      </c>
      <c r="D276" s="3">
        <v>1545.79</v>
      </c>
      <c r="E276" s="3">
        <v>1406.1</v>
      </c>
      <c r="F276" s="3">
        <v>1481.14</v>
      </c>
      <c r="G276" s="3">
        <v>86246950000</v>
      </c>
      <c r="I276" s="15">
        <f t="shared" si="9"/>
        <v>0.99137151113331612</v>
      </c>
      <c r="J276" s="4">
        <f t="shared" si="10"/>
        <v>0.6051014758901927</v>
      </c>
      <c r="K276" s="4">
        <f t="shared" si="11"/>
        <v>0.95614189070580768</v>
      </c>
      <c r="L276" s="4">
        <f t="shared" si="12"/>
        <v>1.7875285253250872</v>
      </c>
      <c r="M276" s="4"/>
      <c r="R276" s="4">
        <f t="shared" si="14"/>
        <v>1</v>
      </c>
    </row>
    <row r="277" spans="1:18" ht="14.25" customHeight="1">
      <c r="A277" s="33">
        <v>39417</v>
      </c>
      <c r="B277" s="3">
        <v>1468.36</v>
      </c>
      <c r="C277" s="3">
        <v>1479.63</v>
      </c>
      <c r="D277" s="3">
        <v>1523.57</v>
      </c>
      <c r="E277" s="3">
        <v>1435.65</v>
      </c>
      <c r="F277" s="3">
        <v>1468.36</v>
      </c>
      <c r="G277" s="3">
        <v>64821670000</v>
      </c>
      <c r="I277" s="15">
        <f t="shared" si="9"/>
        <v>0.93883652510283588</v>
      </c>
      <c r="J277" s="4">
        <f t="shared" si="10"/>
        <v>0.61514206325424292</v>
      </c>
      <c r="K277" s="4">
        <f t="shared" si="11"/>
        <v>0.97128088479664398</v>
      </c>
      <c r="L277" s="4">
        <f t="shared" si="12"/>
        <v>1.8208136969135635</v>
      </c>
      <c r="M277" s="4"/>
      <c r="R277" s="4">
        <f t="shared" si="14"/>
        <v>1</v>
      </c>
    </row>
    <row r="278" spans="1:18" ht="14.25" customHeight="1">
      <c r="A278" s="33">
        <v>39448</v>
      </c>
      <c r="B278" s="3">
        <v>1378.55</v>
      </c>
      <c r="C278" s="3">
        <v>1467.97</v>
      </c>
      <c r="D278" s="3">
        <v>1471.77</v>
      </c>
      <c r="E278" s="3">
        <v>1270.05</v>
      </c>
      <c r="F278" s="3">
        <v>1378.55</v>
      </c>
      <c r="G278" s="3">
        <v>98475340000</v>
      </c>
      <c r="I278" s="15">
        <f t="shared" si="9"/>
        <v>0.96523883790939768</v>
      </c>
      <c r="J278" s="4">
        <f t="shared" si="10"/>
        <v>0.59909325015414749</v>
      </c>
      <c r="K278" s="4">
        <f t="shared" si="11"/>
        <v>1.0867288092561025</v>
      </c>
      <c r="L278" s="4">
        <f t="shared" si="12"/>
        <v>2.0483914257734575</v>
      </c>
      <c r="M278" s="4"/>
      <c r="R278" s="4">
        <f t="shared" si="14"/>
        <v>1</v>
      </c>
    </row>
    <row r="279" spans="1:18" ht="14.25" customHeight="1">
      <c r="A279" s="33">
        <v>39479</v>
      </c>
      <c r="B279" s="3">
        <v>1330.63</v>
      </c>
      <c r="C279" s="3">
        <v>1378.6</v>
      </c>
      <c r="D279" s="3">
        <v>1396.02</v>
      </c>
      <c r="E279" s="3">
        <v>1316.75</v>
      </c>
      <c r="F279" s="3">
        <v>1330.63</v>
      </c>
      <c r="G279" s="3">
        <v>78536130000</v>
      </c>
      <c r="I279" s="15">
        <f t="shared" si="9"/>
        <v>0.99404041694535661</v>
      </c>
      <c r="J279" s="4">
        <f t="shared" si="10"/>
        <v>0.55243756716743198</v>
      </c>
      <c r="K279" s="4">
        <f t="shared" si="11"/>
        <v>1.1383179396225847</v>
      </c>
      <c r="L279" s="4">
        <f t="shared" si="12"/>
        <v>2.0395076016623701</v>
      </c>
      <c r="M279" s="4"/>
      <c r="R279" s="4">
        <f t="shared" si="14"/>
        <v>1</v>
      </c>
    </row>
    <row r="280" spans="1:18" ht="14.25" customHeight="1">
      <c r="A280" s="33">
        <v>39508</v>
      </c>
      <c r="B280" s="3">
        <v>1322.7</v>
      </c>
      <c r="C280" s="3">
        <v>1330.45</v>
      </c>
      <c r="D280" s="3">
        <v>1359.68</v>
      </c>
      <c r="E280" s="3">
        <v>1256.98</v>
      </c>
      <c r="F280" s="3">
        <v>1322.7</v>
      </c>
      <c r="G280" s="3">
        <v>93189170000</v>
      </c>
      <c r="I280" s="15">
        <f t="shared" si="9"/>
        <v>1.0475466848113706</v>
      </c>
      <c r="J280" s="4">
        <f t="shared" si="10"/>
        <v>0.60321312466923716</v>
      </c>
      <c r="K280" s="4">
        <f t="shared" si="11"/>
        <v>1.1863536705224162</v>
      </c>
      <c r="L280" s="4">
        <f t="shared" si="12"/>
        <v>1.9965751871172599</v>
      </c>
      <c r="M280" s="4"/>
      <c r="R280" s="4">
        <f t="shared" si="14"/>
        <v>1</v>
      </c>
    </row>
    <row r="281" spans="1:18" ht="14.25" customHeight="1">
      <c r="A281" s="33">
        <v>39539</v>
      </c>
      <c r="B281" s="3">
        <v>1385.59</v>
      </c>
      <c r="C281" s="3">
        <v>1326.41</v>
      </c>
      <c r="D281" s="3">
        <v>1404.57</v>
      </c>
      <c r="E281" s="3">
        <v>1324.35</v>
      </c>
      <c r="F281" s="3">
        <v>1385.59</v>
      </c>
      <c r="G281" s="3">
        <v>85978630000</v>
      </c>
      <c r="I281" s="15">
        <f t="shared" si="9"/>
        <v>1.0106741532487966</v>
      </c>
      <c r="J281" s="4">
        <f t="shared" si="10"/>
        <v>0.62991938452211693</v>
      </c>
      <c r="K281" s="4">
        <f t="shared" si="11"/>
        <v>1.1529889794239276</v>
      </c>
      <c r="L281" s="4">
        <f t="shared" si="12"/>
        <v>1.9111353286325683</v>
      </c>
      <c r="M281" s="4"/>
      <c r="R281" s="4">
        <f t="shared" si="14"/>
        <v>1</v>
      </c>
    </row>
    <row r="282" spans="1:18" ht="14.25" customHeight="1">
      <c r="A282" s="33">
        <v>39569</v>
      </c>
      <c r="B282" s="3">
        <v>1400.38</v>
      </c>
      <c r="C282" s="3">
        <v>1385.97</v>
      </c>
      <c r="D282" s="3">
        <v>1440.24</v>
      </c>
      <c r="E282" s="3">
        <v>1373.07</v>
      </c>
      <c r="F282" s="3">
        <v>1400.38</v>
      </c>
      <c r="G282" s="3">
        <v>80990480000</v>
      </c>
      <c r="I282" s="15">
        <f t="shared" si="9"/>
        <v>0.91403761836073061</v>
      </c>
      <c r="J282" s="4">
        <f t="shared" si="10"/>
        <v>0.65635041917193904</v>
      </c>
      <c r="K282" s="4">
        <f t="shared" si="11"/>
        <v>1.1644982076293577</v>
      </c>
      <c r="L282" s="4">
        <f t="shared" si="12"/>
        <v>1.9318113654865106</v>
      </c>
      <c r="M282" s="4"/>
      <c r="R282" s="4">
        <f t="shared" si="14"/>
        <v>1</v>
      </c>
    </row>
    <row r="283" spans="1:18" ht="14.25" customHeight="1">
      <c r="A283" s="33">
        <v>39600</v>
      </c>
      <c r="B283" s="3">
        <v>1280</v>
      </c>
      <c r="C283" s="3">
        <v>1399.62</v>
      </c>
      <c r="D283" s="3">
        <v>1404.05</v>
      </c>
      <c r="E283" s="3">
        <v>1272</v>
      </c>
      <c r="F283" s="3">
        <v>1280</v>
      </c>
      <c r="G283" s="3">
        <v>96614040000</v>
      </c>
      <c r="I283" s="15">
        <f t="shared" si="9"/>
        <v>0.99014062500000011</v>
      </c>
      <c r="J283" s="4">
        <f t="shared" si="10"/>
        <v>0.71821875000000002</v>
      </c>
      <c r="K283" s="4">
        <f t="shared" si="11"/>
        <v>1.2549062499999999</v>
      </c>
      <c r="L283" s="4">
        <f t="shared" si="12"/>
        <v>2.1237265624999999</v>
      </c>
      <c r="M283" s="4"/>
      <c r="R283" s="4">
        <f t="shared" si="14"/>
        <v>1</v>
      </c>
    </row>
    <row r="284" spans="1:18" ht="14.25" customHeight="1">
      <c r="A284" s="33">
        <v>39630</v>
      </c>
      <c r="B284" s="3">
        <v>1267.3800000000001</v>
      </c>
      <c r="C284" s="3">
        <v>1276.69</v>
      </c>
      <c r="D284" s="3">
        <v>1292.17</v>
      </c>
      <c r="E284" s="3">
        <v>1200.44</v>
      </c>
      <c r="F284" s="3">
        <v>1267.3800000000001</v>
      </c>
      <c r="G284" s="3">
        <v>124981000000</v>
      </c>
      <c r="I284" s="15">
        <f t="shared" si="9"/>
        <v>1.0121905032429104</v>
      </c>
      <c r="J284" s="4">
        <f t="shared" si="10"/>
        <v>0.7791506888226104</v>
      </c>
      <c r="K284" s="4">
        <f t="shared" si="11"/>
        <v>1.3300904227619181</v>
      </c>
      <c r="L284" s="4">
        <f t="shared" si="12"/>
        <v>2.2221354289952497</v>
      </c>
      <c r="M284" s="4"/>
      <c r="R284" s="4">
        <f t="shared" si="14"/>
        <v>1</v>
      </c>
    </row>
    <row r="285" spans="1:18" ht="14.25" customHeight="1">
      <c r="A285" s="33">
        <v>39661</v>
      </c>
      <c r="B285" s="3">
        <v>1282.83</v>
      </c>
      <c r="C285" s="3">
        <v>1269.42</v>
      </c>
      <c r="D285" s="3">
        <v>1313.15</v>
      </c>
      <c r="E285" s="3">
        <v>1247.45</v>
      </c>
      <c r="F285" s="3">
        <v>1282.83</v>
      </c>
      <c r="G285" s="3">
        <v>86266010000</v>
      </c>
      <c r="I285" s="15">
        <f t="shared" si="9"/>
        <v>0.90920854672871698</v>
      </c>
      <c r="J285" s="4">
        <f t="shared" si="10"/>
        <v>0.79560035234598514</v>
      </c>
      <c r="K285" s="4">
        <f t="shared" si="11"/>
        <v>1.2729434141702332</v>
      </c>
      <c r="L285" s="4">
        <f t="shared" si="12"/>
        <v>2.2618117755275446</v>
      </c>
      <c r="M285" s="4"/>
      <c r="R285" s="4">
        <f t="shared" si="14"/>
        <v>1</v>
      </c>
    </row>
    <row r="286" spans="1:18" ht="14.25" customHeight="1">
      <c r="A286" s="33">
        <v>39692</v>
      </c>
      <c r="B286" s="3">
        <v>1166.3599999999999</v>
      </c>
      <c r="C286" s="3">
        <v>1287.83</v>
      </c>
      <c r="D286" s="3">
        <v>1303.04</v>
      </c>
      <c r="E286" s="3">
        <v>1106.42</v>
      </c>
      <c r="F286" s="3">
        <v>1166.3599999999999</v>
      </c>
      <c r="G286" s="3">
        <v>140007000000</v>
      </c>
      <c r="I286" s="15">
        <f t="shared" si="9"/>
        <v>0.83057546555094486</v>
      </c>
      <c r="J286" s="4">
        <f t="shared" si="10"/>
        <v>0.9063068006447409</v>
      </c>
      <c r="K286" s="4">
        <f t="shared" si="11"/>
        <v>1.4417075345519395</v>
      </c>
      <c r="L286" s="4">
        <f t="shared" si="12"/>
        <v>2.4983538530127922</v>
      </c>
      <c r="M286" s="4"/>
      <c r="R286" s="4">
        <f t="shared" si="14"/>
        <v>1</v>
      </c>
    </row>
    <row r="287" spans="1:18" ht="14.25" customHeight="1">
      <c r="A287" s="33">
        <v>39722</v>
      </c>
      <c r="B287" s="3">
        <v>968.75</v>
      </c>
      <c r="C287" s="3">
        <v>1164.17</v>
      </c>
      <c r="D287" s="3">
        <v>1167.03</v>
      </c>
      <c r="E287" s="3">
        <v>839.8</v>
      </c>
      <c r="F287" s="3">
        <v>968.75</v>
      </c>
      <c r="G287" s="3">
        <v>159823000000</v>
      </c>
      <c r="I287" s="15">
        <f t="shared" si="9"/>
        <v>0.9251509677419355</v>
      </c>
      <c r="J287" s="4">
        <f t="shared" si="10"/>
        <v>1.0696154838709677</v>
      </c>
      <c r="K287" s="4">
        <f t="shared" si="11"/>
        <v>1.8132025806451613</v>
      </c>
      <c r="L287" s="4">
        <f t="shared" si="12"/>
        <v>2.7992154838709675</v>
      </c>
      <c r="M287" s="4"/>
      <c r="R287" s="4">
        <f t="shared" si="14"/>
        <v>1.0696154838709677</v>
      </c>
    </row>
    <row r="288" spans="1:18" ht="14.25" customHeight="1">
      <c r="A288" s="33">
        <v>39753</v>
      </c>
      <c r="B288" s="3">
        <v>896.24</v>
      </c>
      <c r="C288" s="3">
        <v>968.67</v>
      </c>
      <c r="D288" s="3">
        <v>1007.51</v>
      </c>
      <c r="E288" s="3">
        <v>741.02</v>
      </c>
      <c r="F288" s="3">
        <v>896.24</v>
      </c>
      <c r="G288" s="3">
        <v>115660000000</v>
      </c>
      <c r="I288" s="15">
        <f t="shared" si="9"/>
        <v>1.0078215656520575</v>
      </c>
      <c r="J288" s="4">
        <f t="shared" si="10"/>
        <v>1.2224738909220745</v>
      </c>
      <c r="K288" s="4">
        <f t="shared" si="11"/>
        <v>2.0148732482370795</v>
      </c>
      <c r="L288" s="4">
        <f t="shared" si="12"/>
        <v>3.0797219494778183</v>
      </c>
      <c r="M288" s="4"/>
      <c r="R288" s="4">
        <f t="shared" si="14"/>
        <v>1.1100000000000001</v>
      </c>
    </row>
    <row r="289" spans="1:18" ht="14.25" customHeight="1">
      <c r="A289" s="33">
        <v>39783</v>
      </c>
      <c r="B289" s="3">
        <v>903.25</v>
      </c>
      <c r="C289" s="3">
        <v>888.61</v>
      </c>
      <c r="D289" s="3">
        <v>918.85</v>
      </c>
      <c r="E289" s="3">
        <v>815.69</v>
      </c>
      <c r="F289" s="3">
        <v>903.25</v>
      </c>
      <c r="G289" s="3">
        <v>112884000000</v>
      </c>
      <c r="I289" s="15">
        <f t="shared" si="9"/>
        <v>0.9143426515361196</v>
      </c>
      <c r="J289" s="4">
        <f t="shared" si="10"/>
        <v>1.2345419319125379</v>
      </c>
      <c r="K289" s="4">
        <f t="shared" si="11"/>
        <v>2.0463437586493218</v>
      </c>
      <c r="L289" s="4">
        <f t="shared" si="12"/>
        <v>2.7753667312482699</v>
      </c>
      <c r="M289" s="4"/>
      <c r="R289" s="4">
        <f t="shared" si="14"/>
        <v>1.1100000000000001</v>
      </c>
    </row>
    <row r="290" spans="1:18" ht="14.25" customHeight="1">
      <c r="A290" s="33">
        <v>39814</v>
      </c>
      <c r="B290" s="3">
        <v>825.88</v>
      </c>
      <c r="C290" s="3">
        <v>902.99</v>
      </c>
      <c r="D290" s="3">
        <v>943.85</v>
      </c>
      <c r="E290" s="3">
        <v>804.3</v>
      </c>
      <c r="F290" s="3">
        <v>825.88</v>
      </c>
      <c r="G290" s="3">
        <v>112091000000</v>
      </c>
      <c r="I290" s="15">
        <f t="shared" si="9"/>
        <v>0.89006877512471549</v>
      </c>
      <c r="J290" s="4">
        <f t="shared" si="10"/>
        <v>1.300273647503269</v>
      </c>
      <c r="K290" s="4">
        <f t="shared" si="11"/>
        <v>2.1584128444810382</v>
      </c>
      <c r="L290" s="4">
        <f t="shared" si="12"/>
        <v>3.2742044849130623</v>
      </c>
      <c r="M290" s="4"/>
      <c r="R290" s="4">
        <f t="shared" si="14"/>
        <v>1.1100000000000001</v>
      </c>
    </row>
    <row r="291" spans="1:18" ht="14.25" customHeight="1">
      <c r="A291" s="33">
        <v>39845</v>
      </c>
      <c r="B291" s="3">
        <v>735.09</v>
      </c>
      <c r="C291" s="3">
        <v>823.09</v>
      </c>
      <c r="D291" s="3">
        <v>875.01</v>
      </c>
      <c r="E291" s="3">
        <v>734.52</v>
      </c>
      <c r="F291" s="3">
        <v>735.09</v>
      </c>
      <c r="G291" s="3">
        <v>124492000000</v>
      </c>
      <c r="I291" s="15">
        <f t="shared" si="9"/>
        <v>1.0854045082915016</v>
      </c>
      <c r="J291" s="4">
        <f t="shared" si="10"/>
        <v>1.5025235005237454</v>
      </c>
      <c r="K291" s="4">
        <f t="shared" si="11"/>
        <v>2.5295542042470989</v>
      </c>
      <c r="L291" s="4">
        <f t="shared" si="12"/>
        <v>3.7879579371233452</v>
      </c>
      <c r="M291" s="4"/>
      <c r="R291" s="4">
        <f t="shared" si="14"/>
        <v>1.1100000000000001</v>
      </c>
    </row>
    <row r="292" spans="1:18" ht="14.25" customHeight="1">
      <c r="A292" s="33">
        <v>39873</v>
      </c>
      <c r="B292" s="3">
        <v>797.87</v>
      </c>
      <c r="C292" s="3">
        <v>729.57</v>
      </c>
      <c r="D292" s="3">
        <v>832.98</v>
      </c>
      <c r="E292" s="3">
        <v>666.79</v>
      </c>
      <c r="F292" s="3">
        <v>797.87</v>
      </c>
      <c r="G292" s="3">
        <v>161844000000</v>
      </c>
      <c r="I292" s="15">
        <f t="shared" si="9"/>
        <v>1.0939250755135548</v>
      </c>
      <c r="J292" s="4">
        <f t="shared" si="10"/>
        <v>1.4656898993570382</v>
      </c>
      <c r="K292" s="4">
        <f t="shared" si="11"/>
        <v>2.3466730169075163</v>
      </c>
      <c r="L292" s="4">
        <f t="shared" si="12"/>
        <v>3.5524584205447005</v>
      </c>
      <c r="M292" s="4"/>
      <c r="R292" s="4">
        <f t="shared" si="14"/>
        <v>1.1100000000000001</v>
      </c>
    </row>
    <row r="293" spans="1:18" ht="14.25" customHeight="1">
      <c r="A293" s="33">
        <v>39904</v>
      </c>
      <c r="B293" s="3">
        <v>872.81</v>
      </c>
      <c r="C293" s="3">
        <v>793.59</v>
      </c>
      <c r="D293" s="3">
        <v>888.7</v>
      </c>
      <c r="E293" s="3">
        <v>783.32</v>
      </c>
      <c r="F293" s="3">
        <v>872.81</v>
      </c>
      <c r="G293" s="3">
        <v>138855000000</v>
      </c>
      <c r="I293" s="15">
        <f t="shared" si="9"/>
        <v>1.0530814266564317</v>
      </c>
      <c r="J293" s="4">
        <f t="shared" si="10"/>
        <v>1.3596200776801368</v>
      </c>
      <c r="K293" s="4">
        <f t="shared" si="11"/>
        <v>2.1584881016486981</v>
      </c>
      <c r="L293" s="4">
        <f t="shared" si="12"/>
        <v>3.3751102760050871</v>
      </c>
      <c r="M293" s="4"/>
      <c r="R293" s="4">
        <f t="shared" si="14"/>
        <v>1.1100000000000001</v>
      </c>
    </row>
    <row r="294" spans="1:18" ht="14.25" customHeight="1">
      <c r="A294" s="33">
        <v>39934</v>
      </c>
      <c r="B294" s="3">
        <v>919.14</v>
      </c>
      <c r="C294" s="3">
        <v>872.74</v>
      </c>
      <c r="D294" s="3">
        <v>930.17</v>
      </c>
      <c r="E294" s="3">
        <v>866.1</v>
      </c>
      <c r="F294" s="3">
        <v>919.14</v>
      </c>
      <c r="G294" s="3">
        <v>131615000000</v>
      </c>
      <c r="I294" s="15">
        <f t="shared" si="9"/>
        <v>1.0001958352372871</v>
      </c>
      <c r="J294" s="4">
        <f t="shared" si="10"/>
        <v>1.1852492547381248</v>
      </c>
      <c r="K294" s="4">
        <f t="shared" si="11"/>
        <v>2.0927932632678372</v>
      </c>
      <c r="L294" s="4">
        <f t="shared" si="12"/>
        <v>2.9941684618230084</v>
      </c>
      <c r="M294" s="4"/>
      <c r="R294" s="4">
        <f t="shared" si="14"/>
        <v>1.1100000000000001</v>
      </c>
    </row>
    <row r="295" spans="1:18" ht="14.25" customHeight="1">
      <c r="A295" s="33">
        <v>39965</v>
      </c>
      <c r="B295" s="3">
        <v>919.32</v>
      </c>
      <c r="C295" s="3">
        <v>923.26</v>
      </c>
      <c r="D295" s="3">
        <v>956.23</v>
      </c>
      <c r="E295" s="3">
        <v>888.86</v>
      </c>
      <c r="F295" s="3">
        <v>919.32</v>
      </c>
      <c r="G295" s="3">
        <v>112653000000</v>
      </c>
      <c r="I295" s="15">
        <f t="shared" si="9"/>
        <v>1.0741417569507896</v>
      </c>
      <c r="J295" s="4">
        <f t="shared" si="10"/>
        <v>1.1211656441717792</v>
      </c>
      <c r="K295" s="4">
        <f t="shared" si="11"/>
        <v>2.1322608014619502</v>
      </c>
      <c r="L295" s="4">
        <f t="shared" si="12"/>
        <v>3.1999303833268069</v>
      </c>
      <c r="M295" s="4"/>
      <c r="R295" s="4">
        <f t="shared" si="14"/>
        <v>1.1100000000000001</v>
      </c>
    </row>
    <row r="296" spans="1:18" ht="14.25" customHeight="1">
      <c r="A296" s="33">
        <v>39995</v>
      </c>
      <c r="B296" s="3">
        <v>987.48</v>
      </c>
      <c r="C296" s="3">
        <v>920.82</v>
      </c>
      <c r="D296" s="3">
        <v>996.68</v>
      </c>
      <c r="E296" s="3">
        <v>869.32</v>
      </c>
      <c r="F296" s="3">
        <v>987.48</v>
      </c>
      <c r="G296" s="3">
        <v>106636000000</v>
      </c>
      <c r="I296" s="15">
        <f t="shared" si="9"/>
        <v>1.0335601733705999</v>
      </c>
      <c r="J296" s="4">
        <f t="shared" si="10"/>
        <v>1.1155668975574187</v>
      </c>
      <c r="K296" s="4">
        <f t="shared" si="11"/>
        <v>1.9551484587029611</v>
      </c>
      <c r="L296" s="4">
        <f t="shared" si="12"/>
        <v>3.0181674565560823</v>
      </c>
      <c r="M296" s="4"/>
      <c r="R296" s="4">
        <f t="shared" si="14"/>
        <v>1.1100000000000001</v>
      </c>
    </row>
    <row r="297" spans="1:18" ht="14.25" customHeight="1">
      <c r="A297" s="33">
        <v>40026</v>
      </c>
      <c r="B297" s="3">
        <v>1020.62</v>
      </c>
      <c r="C297" s="3">
        <v>990.22</v>
      </c>
      <c r="D297" s="3">
        <v>1039.47</v>
      </c>
      <c r="E297" s="3">
        <v>978.51</v>
      </c>
      <c r="F297" s="3">
        <v>1020.62</v>
      </c>
      <c r="G297" s="3">
        <v>116059000000</v>
      </c>
      <c r="I297" s="15">
        <f t="shared" si="9"/>
        <v>1.0357233838255178</v>
      </c>
      <c r="J297" s="4">
        <f t="shared" si="10"/>
        <v>1.0281299602202583</v>
      </c>
      <c r="K297" s="4">
        <f t="shared" si="11"/>
        <v>1.962895102976622</v>
      </c>
      <c r="L297" s="4">
        <f t="shared" si="12"/>
        <v>2.8673355411416592</v>
      </c>
      <c r="R297" s="4">
        <f t="shared" si="14"/>
        <v>1.0281299602202583</v>
      </c>
    </row>
    <row r="298" spans="1:18" ht="14.25" customHeight="1">
      <c r="A298" s="33">
        <v>40057</v>
      </c>
      <c r="B298" s="3">
        <v>1057.08</v>
      </c>
      <c r="C298" s="3">
        <v>1019.52</v>
      </c>
      <c r="D298" s="3">
        <v>1080.1500000000001</v>
      </c>
      <c r="E298" s="3">
        <v>991.97</v>
      </c>
      <c r="F298" s="3">
        <v>1057.08</v>
      </c>
      <c r="G298" s="3">
        <v>112295000000</v>
      </c>
      <c r="I298" s="15">
        <f t="shared" si="9"/>
        <v>0.98023801415219292</v>
      </c>
      <c r="J298" s="4">
        <f t="shared" si="10"/>
        <v>1.0795777046202748</v>
      </c>
      <c r="K298" s="4">
        <f t="shared" si="11"/>
        <v>1.8657906686343513</v>
      </c>
      <c r="L298" s="4">
        <f t="shared" si="12"/>
        <v>2.8160025731259695</v>
      </c>
      <c r="R298" s="4">
        <f t="shared" si="14"/>
        <v>1.0795777046202748</v>
      </c>
    </row>
    <row r="299" spans="1:18" ht="14.25" customHeight="1">
      <c r="A299" s="33">
        <v>40087</v>
      </c>
      <c r="B299" s="3">
        <v>1036.19</v>
      </c>
      <c r="C299" s="3">
        <v>1054.9100000000001</v>
      </c>
      <c r="D299" s="3">
        <v>1101.3599999999999</v>
      </c>
      <c r="E299" s="3">
        <v>1019.95</v>
      </c>
      <c r="F299" s="3">
        <v>1036.19</v>
      </c>
      <c r="G299" s="3">
        <v>113411000000</v>
      </c>
      <c r="I299" s="15">
        <f t="shared" si="9"/>
        <v>1.0573639969503663</v>
      </c>
      <c r="J299" s="4">
        <f t="shared" si="10"/>
        <v>1.141933429197348</v>
      </c>
      <c r="K299" s="4">
        <f t="shared" si="11"/>
        <v>1.947567531051255</v>
      </c>
      <c r="L299" s="4">
        <f t="shared" si="12"/>
        <v>2.9314700971829488</v>
      </c>
      <c r="R299" s="4">
        <f t="shared" si="14"/>
        <v>1.1100000000000001</v>
      </c>
    </row>
    <row r="300" spans="1:18" ht="14.25" customHeight="1">
      <c r="A300" s="33">
        <v>40118</v>
      </c>
      <c r="B300" s="3">
        <v>1095.6300000000001</v>
      </c>
      <c r="C300" s="3">
        <v>1036.18</v>
      </c>
      <c r="D300" s="3">
        <v>1113.69</v>
      </c>
      <c r="E300" s="3">
        <v>1029.3800000000001</v>
      </c>
      <c r="F300" s="3">
        <v>1095.6300000000001</v>
      </c>
      <c r="G300" s="3">
        <v>84981530000</v>
      </c>
      <c r="I300" s="15">
        <f t="shared" si="9"/>
        <v>1.0177705977382874</v>
      </c>
      <c r="J300" s="4">
        <f t="shared" si="10"/>
        <v>1.0775079178189715</v>
      </c>
      <c r="K300" s="4">
        <f t="shared" si="11"/>
        <v>1.8870969214059488</v>
      </c>
      <c r="L300" s="4">
        <f t="shared" si="12"/>
        <v>2.8668254794045431</v>
      </c>
      <c r="R300" s="4">
        <f t="shared" si="14"/>
        <v>1.0775079178189715</v>
      </c>
    </row>
    <row r="301" spans="1:18" ht="14.25" customHeight="1">
      <c r="A301" s="33">
        <v>40148</v>
      </c>
      <c r="B301" s="3">
        <v>1115.0999999999999</v>
      </c>
      <c r="C301" s="3">
        <v>1098.8900000000001</v>
      </c>
      <c r="D301" s="3">
        <v>1130.3800000000001</v>
      </c>
      <c r="E301" s="3">
        <v>1085.8900000000001</v>
      </c>
      <c r="F301" s="3">
        <v>1115.0999999999999</v>
      </c>
      <c r="G301" s="3">
        <v>89515330000</v>
      </c>
      <c r="I301" s="15">
        <f t="shared" si="9"/>
        <v>0.96302573760200882</v>
      </c>
      <c r="J301" s="4">
        <f t="shared" si="10"/>
        <v>1.1278271007084568</v>
      </c>
      <c r="K301" s="4">
        <f t="shared" si="11"/>
        <v>1.8463814904492872</v>
      </c>
      <c r="L301" s="4">
        <f t="shared" si="12"/>
        <v>2.8973006905210301</v>
      </c>
      <c r="R301" s="4">
        <f t="shared" si="14"/>
        <v>1.1100000000000001</v>
      </c>
    </row>
    <row r="302" spans="1:18" ht="14.25" customHeight="1">
      <c r="A302" s="33">
        <v>40179</v>
      </c>
      <c r="B302" s="3">
        <v>1073.8699999999999</v>
      </c>
      <c r="C302" s="3">
        <v>1116.56</v>
      </c>
      <c r="D302" s="3">
        <v>1150.45</v>
      </c>
      <c r="E302" s="3">
        <v>1071.5899999999999</v>
      </c>
      <c r="F302" s="3">
        <v>1073.8699999999999</v>
      </c>
      <c r="G302" s="3">
        <v>90947580000</v>
      </c>
      <c r="I302" s="15">
        <f t="shared" si="9"/>
        <v>1.0285136934638273</v>
      </c>
      <c r="J302" s="4">
        <f t="shared" si="10"/>
        <v>1.197649622393772</v>
      </c>
      <c r="K302" s="4">
        <f t="shared" si="11"/>
        <v>1.8577574566753892</v>
      </c>
      <c r="L302" s="4">
        <f t="shared" si="12"/>
        <v>3.0036410366245452</v>
      </c>
      <c r="R302" s="4">
        <f t="shared" si="14"/>
        <v>1.1100000000000001</v>
      </c>
    </row>
    <row r="303" spans="1:18" ht="14.25" customHeight="1">
      <c r="A303" s="33">
        <v>40210</v>
      </c>
      <c r="B303" s="3">
        <v>1104.49</v>
      </c>
      <c r="C303" s="3">
        <v>1073.8900000000001</v>
      </c>
      <c r="D303" s="3">
        <v>1112.42</v>
      </c>
      <c r="E303" s="3">
        <v>1044.5</v>
      </c>
      <c r="F303" s="3">
        <v>1104.49</v>
      </c>
      <c r="G303" s="3">
        <v>84561340000</v>
      </c>
      <c r="I303" s="15">
        <f t="shared" si="9"/>
        <v>1.0587963675542558</v>
      </c>
      <c r="J303" s="4">
        <f t="shared" si="10"/>
        <v>1.2016586840985433</v>
      </c>
      <c r="K303" s="4">
        <f t="shared" si="11"/>
        <v>1.9054043042490199</v>
      </c>
      <c r="L303" s="4">
        <f t="shared" si="12"/>
        <v>2.6747367563309763</v>
      </c>
      <c r="R303" s="4">
        <f t="shared" si="14"/>
        <v>1.1100000000000001</v>
      </c>
    </row>
    <row r="304" spans="1:18" ht="14.25" customHeight="1">
      <c r="A304" s="33">
        <v>40238</v>
      </c>
      <c r="B304" s="3">
        <v>1169.43</v>
      </c>
      <c r="C304" s="3">
        <v>1105.3599999999999</v>
      </c>
      <c r="D304" s="3">
        <v>1180.69</v>
      </c>
      <c r="E304" s="3">
        <v>1105.3599999999999</v>
      </c>
      <c r="F304" s="3">
        <v>1169.43</v>
      </c>
      <c r="G304" s="3">
        <v>103684000000</v>
      </c>
      <c r="I304" s="15">
        <f t="shared" si="9"/>
        <v>1.01475932719359</v>
      </c>
      <c r="J304" s="4">
        <f t="shared" si="10"/>
        <v>1.133740369239715</v>
      </c>
      <c r="K304" s="4">
        <f t="shared" si="11"/>
        <v>1.7682888244700408</v>
      </c>
      <c r="L304" s="4">
        <f t="shared" si="12"/>
        <v>2.2101280110823223</v>
      </c>
      <c r="R304" s="4">
        <f t="shared" si="14"/>
        <v>1.1100000000000001</v>
      </c>
    </row>
    <row r="305" spans="1:18" ht="14.25" customHeight="1">
      <c r="A305" s="33">
        <v>40269</v>
      </c>
      <c r="B305" s="3">
        <v>1186.69</v>
      </c>
      <c r="C305" s="3">
        <v>1171.23</v>
      </c>
      <c r="D305" s="3">
        <v>1219.8</v>
      </c>
      <c r="E305" s="3">
        <v>1170.69</v>
      </c>
      <c r="F305" s="3">
        <v>1186.69</v>
      </c>
      <c r="G305" s="3">
        <v>116742000000</v>
      </c>
      <c r="I305" s="15">
        <f t="shared" si="9"/>
        <v>0.91802408379610512</v>
      </c>
      <c r="J305" s="4">
        <f t="shared" si="10"/>
        <v>1.1490869561553563</v>
      </c>
      <c r="K305" s="4">
        <f t="shared" si="11"/>
        <v>1.7574176912251727</v>
      </c>
      <c r="L305" s="4">
        <f t="shared" si="12"/>
        <v>2.4542466861606651</v>
      </c>
      <c r="R305" s="4">
        <f t="shared" si="14"/>
        <v>1.1100000000000001</v>
      </c>
    </row>
    <row r="306" spans="1:18" ht="14.25" customHeight="1">
      <c r="A306" s="33">
        <v>40299</v>
      </c>
      <c r="B306" s="3">
        <v>1089.4100000000001</v>
      </c>
      <c r="C306" s="3">
        <v>1188.58</v>
      </c>
      <c r="D306" s="3">
        <v>1205.1300000000001</v>
      </c>
      <c r="E306" s="3">
        <v>1040.78</v>
      </c>
      <c r="F306" s="3">
        <v>1089.4100000000001</v>
      </c>
      <c r="G306" s="3">
        <v>127663000000</v>
      </c>
      <c r="I306" s="15">
        <f t="shared" si="9"/>
        <v>0.94611762330068561</v>
      </c>
      <c r="J306" s="4">
        <f t="shared" si="10"/>
        <v>1.2347968166255128</v>
      </c>
      <c r="K306" s="4">
        <f t="shared" si="11"/>
        <v>1.9344323991885513</v>
      </c>
      <c r="L306" s="4">
        <f t="shared" si="12"/>
        <v>2.794457550417198</v>
      </c>
      <c r="R306" s="4">
        <f t="shared" si="14"/>
        <v>1.1100000000000001</v>
      </c>
    </row>
    <row r="307" spans="1:18" ht="14.25" customHeight="1">
      <c r="A307" s="33">
        <v>40330</v>
      </c>
      <c r="B307" s="3">
        <v>1030.71</v>
      </c>
      <c r="C307" s="3">
        <v>1087.3</v>
      </c>
      <c r="D307" s="3">
        <v>1131.23</v>
      </c>
      <c r="E307" s="3">
        <v>1028.33</v>
      </c>
      <c r="F307" s="3">
        <v>1030.71</v>
      </c>
      <c r="G307" s="3">
        <v>110107000000</v>
      </c>
      <c r="I307" s="15">
        <f t="shared" si="9"/>
        <v>1.0687778327560613</v>
      </c>
      <c r="J307" s="4">
        <f t="shared" si="10"/>
        <v>1.2812915369017475</v>
      </c>
      <c r="K307" s="4">
        <f t="shared" si="11"/>
        <v>2.0016396464572965</v>
      </c>
      <c r="L307" s="4">
        <f t="shared" si="12"/>
        <v>3.0079168728352301</v>
      </c>
      <c r="R307" s="4">
        <f t="shared" si="14"/>
        <v>1.1100000000000001</v>
      </c>
    </row>
    <row r="308" spans="1:18" ht="14.25" customHeight="1">
      <c r="A308" s="33">
        <v>40360</v>
      </c>
      <c r="B308" s="3">
        <v>1101.5999999999999</v>
      </c>
      <c r="C308" s="3">
        <v>1031.0999999999999</v>
      </c>
      <c r="D308" s="3">
        <v>1120.95</v>
      </c>
      <c r="E308" s="3">
        <v>1010.91</v>
      </c>
      <c r="F308" s="3">
        <v>1101.5999999999999</v>
      </c>
      <c r="G308" s="3">
        <v>94778110000</v>
      </c>
      <c r="I308" s="15">
        <f t="shared" si="9"/>
        <v>0.9525508351488744</v>
      </c>
      <c r="J308" s="4">
        <f t="shared" si="10"/>
        <v>1.1730936819172113</v>
      </c>
      <c r="K308" s="4">
        <f t="shared" si="11"/>
        <v>1.9098039215686278</v>
      </c>
      <c r="L308" s="4">
        <f t="shared" si="12"/>
        <v>2.9694262890341325</v>
      </c>
      <c r="R308" s="4">
        <f t="shared" si="14"/>
        <v>1.1100000000000001</v>
      </c>
    </row>
    <row r="309" spans="1:18" ht="14.25" customHeight="1">
      <c r="A309" s="33">
        <v>40391</v>
      </c>
      <c r="B309" s="3">
        <v>1049.33</v>
      </c>
      <c r="C309" s="3">
        <v>1107.53</v>
      </c>
      <c r="D309" s="3">
        <v>1129.24</v>
      </c>
      <c r="E309" s="3">
        <v>1039.7</v>
      </c>
      <c r="F309" s="3">
        <v>1049.33</v>
      </c>
      <c r="G309" s="3">
        <v>85738250000</v>
      </c>
      <c r="I309" s="15">
        <f t="shared" si="9"/>
        <v>1.0875511040378147</v>
      </c>
      <c r="J309" s="4">
        <f t="shared" si="10"/>
        <v>1.16158882334442</v>
      </c>
      <c r="K309" s="4">
        <f t="shared" si="11"/>
        <v>1.8794659449362929</v>
      </c>
      <c r="L309" s="4">
        <f t="shared" si="12"/>
        <v>3.3357571021508963</v>
      </c>
      <c r="R309" s="4">
        <f t="shared" si="14"/>
        <v>1.1100000000000001</v>
      </c>
    </row>
    <row r="310" spans="1:18" ht="14.25" customHeight="1">
      <c r="A310" s="33">
        <v>40422</v>
      </c>
      <c r="B310" s="3">
        <v>1141.2</v>
      </c>
      <c r="C310" s="3">
        <v>1049.72</v>
      </c>
      <c r="D310" s="3">
        <v>1157.1600000000001</v>
      </c>
      <c r="E310" s="3">
        <v>1049.72</v>
      </c>
      <c r="F310" s="3">
        <v>1141.2</v>
      </c>
      <c r="G310" s="3">
        <v>79589450000</v>
      </c>
      <c r="I310" s="15">
        <f t="shared" si="9"/>
        <v>1.0368559411146161</v>
      </c>
      <c r="J310" s="4">
        <f t="shared" si="10"/>
        <v>0.99143007360672974</v>
      </c>
      <c r="K310" s="4">
        <f t="shared" si="11"/>
        <v>1.6824658254468978</v>
      </c>
      <c r="L310" s="4">
        <f t="shared" si="12"/>
        <v>2.9468980021030493</v>
      </c>
      <c r="R310" s="4">
        <f t="shared" si="14"/>
        <v>1</v>
      </c>
    </row>
    <row r="311" spans="1:18" ht="14.25" customHeight="1">
      <c r="A311" s="33">
        <v>40452</v>
      </c>
      <c r="B311" s="3">
        <v>1183.26</v>
      </c>
      <c r="C311" s="3">
        <v>1143.49</v>
      </c>
      <c r="D311" s="3">
        <v>1196.1400000000001</v>
      </c>
      <c r="E311" s="3">
        <v>1131.8699999999999</v>
      </c>
      <c r="F311" s="3">
        <v>1183.26</v>
      </c>
      <c r="G311" s="3">
        <v>89536270000</v>
      </c>
      <c r="I311" s="15">
        <f t="shared" si="9"/>
        <v>0.99770971722191226</v>
      </c>
      <c r="J311" s="4">
        <f t="shared" si="10"/>
        <v>1.0591924006558153</v>
      </c>
      <c r="K311" s="4">
        <f t="shared" si="11"/>
        <v>1.7573145378023427</v>
      </c>
      <c r="L311" s="4">
        <f t="shared" si="12"/>
        <v>2.7635177391274954</v>
      </c>
      <c r="R311" s="4">
        <f t="shared" si="14"/>
        <v>1.0591924006558153</v>
      </c>
    </row>
    <row r="312" spans="1:18" ht="14.25" customHeight="1">
      <c r="A312" s="33">
        <v>40483</v>
      </c>
      <c r="B312" s="3">
        <v>1180.55</v>
      </c>
      <c r="C312" s="3">
        <v>1185.71</v>
      </c>
      <c r="D312" s="3">
        <v>1227.08</v>
      </c>
      <c r="E312" s="3">
        <v>1173</v>
      </c>
      <c r="F312" s="3">
        <v>1180.55</v>
      </c>
      <c r="G312" s="3">
        <v>87151070000</v>
      </c>
      <c r="I312" s="15">
        <f t="shared" si="9"/>
        <v>1.0653000720003389</v>
      </c>
      <c r="J312" s="4">
        <f t="shared" si="10"/>
        <v>1.0562534411926645</v>
      </c>
      <c r="K312" s="4">
        <f t="shared" si="11"/>
        <v>1.7622379399432468</v>
      </c>
      <c r="L312" s="4">
        <f t="shared" si="12"/>
        <v>3.0677480835203932</v>
      </c>
      <c r="R312" s="4">
        <f t="shared" si="14"/>
        <v>1.0562534411926645</v>
      </c>
    </row>
    <row r="313" spans="1:18" ht="14.25" customHeight="1">
      <c r="A313" s="33">
        <v>40513</v>
      </c>
      <c r="B313" s="3">
        <v>1257.6400000000001</v>
      </c>
      <c r="C313" s="3">
        <v>1186.5999999999999</v>
      </c>
      <c r="D313" s="3">
        <v>1262.5999999999999</v>
      </c>
      <c r="E313" s="3">
        <v>1186.5999999999999</v>
      </c>
      <c r="F313" s="3">
        <v>1257.6400000000001</v>
      </c>
      <c r="G313" s="3">
        <v>80984530000</v>
      </c>
      <c r="I313" s="15">
        <f t="shared" si="9"/>
        <v>1.0226455901529847</v>
      </c>
      <c r="J313" s="4">
        <f t="shared" si="10"/>
        <v>0.99996819439585238</v>
      </c>
      <c r="K313" s="4">
        <f t="shared" si="11"/>
        <v>1.6252186635285137</v>
      </c>
      <c r="L313" s="4">
        <f t="shared" si="12"/>
        <v>2.9866018892528863</v>
      </c>
      <c r="R313" s="4">
        <f t="shared" si="14"/>
        <v>1</v>
      </c>
    </row>
    <row r="314" spans="1:18" ht="14.25" customHeight="1">
      <c r="A314" s="33">
        <v>40544</v>
      </c>
      <c r="B314" s="3">
        <v>1286.1199999999999</v>
      </c>
      <c r="C314" s="3">
        <v>1257.6199999999999</v>
      </c>
      <c r="D314" s="3">
        <v>1302.67</v>
      </c>
      <c r="E314" s="3">
        <v>1257.6199999999999</v>
      </c>
      <c r="F314" s="3">
        <v>1286.1199999999999</v>
      </c>
      <c r="G314" s="3">
        <v>92164940000</v>
      </c>
      <c r="I314" s="15">
        <f t="shared" si="9"/>
        <v>1.0319565825894941</v>
      </c>
      <c r="J314" s="4">
        <f t="shared" si="10"/>
        <v>1.0204413274033528</v>
      </c>
      <c r="K314" s="4">
        <f t="shared" si="11"/>
        <v>1.5085995085995088</v>
      </c>
      <c r="L314" s="4">
        <f t="shared" si="12"/>
        <v>2.8879420271825338</v>
      </c>
      <c r="R314" s="4">
        <f t="shared" si="14"/>
        <v>1.0204413274033528</v>
      </c>
    </row>
    <row r="315" spans="1:18" ht="14.25" customHeight="1">
      <c r="A315" s="33">
        <v>40575</v>
      </c>
      <c r="B315" s="3">
        <v>1327.22</v>
      </c>
      <c r="C315" s="3">
        <v>1289.1400000000001</v>
      </c>
      <c r="D315" s="3">
        <v>1344.07</v>
      </c>
      <c r="E315" s="3">
        <v>1289.1400000000001</v>
      </c>
      <c r="F315" s="3">
        <v>1327.22</v>
      </c>
      <c r="G315" s="3">
        <v>59223660000</v>
      </c>
      <c r="I315" s="15">
        <f t="shared" si="9"/>
        <v>0.99895269812088416</v>
      </c>
      <c r="J315" s="4">
        <f t="shared" si="10"/>
        <v>1.0289778635041666</v>
      </c>
      <c r="K315" s="4">
        <f t="shared" si="11"/>
        <v>1.4558475610674944</v>
      </c>
      <c r="L315" s="4">
        <f t="shared" si="12"/>
        <v>2.8715284579798377</v>
      </c>
      <c r="R315" s="4">
        <f t="shared" si="14"/>
        <v>1.0289778635041666</v>
      </c>
    </row>
    <row r="316" spans="1:18" ht="14.25" customHeight="1">
      <c r="A316" s="33">
        <v>40603</v>
      </c>
      <c r="B316" s="3">
        <v>1325.83</v>
      </c>
      <c r="C316" s="3">
        <v>1328.64</v>
      </c>
      <c r="D316" s="3">
        <v>1332.28</v>
      </c>
      <c r="E316" s="3">
        <v>1249.05</v>
      </c>
      <c r="F316" s="3">
        <v>1325.83</v>
      </c>
      <c r="G316" s="3">
        <v>89507640000</v>
      </c>
      <c r="I316" s="15">
        <f t="shared" si="9"/>
        <v>1.0284953576250349</v>
      </c>
      <c r="J316" s="4">
        <f t="shared" si="10"/>
        <v>1.0623307663878476</v>
      </c>
      <c r="K316" s="4">
        <f t="shared" si="11"/>
        <v>1.5535475890574206</v>
      </c>
      <c r="L316" s="4">
        <f t="shared" si="12"/>
        <v>2.9965304752494664</v>
      </c>
      <c r="R316" s="4">
        <f t="shared" si="14"/>
        <v>1.0623307663878476</v>
      </c>
    </row>
    <row r="317" spans="1:18" ht="14.25" customHeight="1">
      <c r="A317" s="33">
        <v>40634</v>
      </c>
      <c r="B317" s="3">
        <v>1363.61</v>
      </c>
      <c r="C317" s="3">
        <v>1329.48</v>
      </c>
      <c r="D317" s="3">
        <v>1364.56</v>
      </c>
      <c r="E317" s="3">
        <v>1294.7</v>
      </c>
      <c r="F317" s="3">
        <v>1363.61</v>
      </c>
      <c r="G317" s="3">
        <v>77364810000</v>
      </c>
      <c r="I317" s="15">
        <f t="shared" si="9"/>
        <v>0.98649907231539824</v>
      </c>
      <c r="J317" s="4">
        <f t="shared" si="10"/>
        <v>1.0251538196405132</v>
      </c>
      <c r="K317" s="4">
        <f t="shared" si="11"/>
        <v>1.5145826152638953</v>
      </c>
      <c r="L317" s="4">
        <f t="shared" si="12"/>
        <v>3.0662506141785411</v>
      </c>
      <c r="R317" s="4">
        <f t="shared" si="14"/>
        <v>1.0251538196405132</v>
      </c>
    </row>
    <row r="318" spans="1:18" ht="14.25" customHeight="1">
      <c r="A318" s="33">
        <v>40664</v>
      </c>
      <c r="B318" s="3">
        <v>1345.2</v>
      </c>
      <c r="C318" s="3">
        <v>1365.21</v>
      </c>
      <c r="D318" s="3">
        <v>1370.58</v>
      </c>
      <c r="E318" s="3">
        <v>1311.8</v>
      </c>
      <c r="F318" s="3">
        <v>1345.2</v>
      </c>
      <c r="G318" s="3">
        <v>81708980000</v>
      </c>
      <c r="I318" s="15">
        <f t="shared" si="9"/>
        <v>0.98174249182277729</v>
      </c>
      <c r="J318" s="4">
        <f t="shared" si="10"/>
        <v>0.97407820398453748</v>
      </c>
      <c r="K318" s="4">
        <f t="shared" si="11"/>
        <v>1.5588388343740707</v>
      </c>
      <c r="L318" s="4">
        <f t="shared" si="12"/>
        <v>3.1252676181980372</v>
      </c>
      <c r="R318" s="4">
        <f t="shared" si="14"/>
        <v>1</v>
      </c>
    </row>
    <row r="319" spans="1:18" ht="14.25" customHeight="1">
      <c r="A319" s="33">
        <v>40695</v>
      </c>
      <c r="B319" s="3">
        <v>1320.64</v>
      </c>
      <c r="C319" s="3">
        <v>1345.2</v>
      </c>
      <c r="D319" s="3">
        <v>1345.2</v>
      </c>
      <c r="E319" s="3">
        <v>1258.07</v>
      </c>
      <c r="F319" s="3">
        <v>1320.64</v>
      </c>
      <c r="G319" s="3">
        <v>86122730000</v>
      </c>
      <c r="I319" s="15">
        <f t="shared" si="9"/>
        <v>0.97852556336321772</v>
      </c>
      <c r="J319" s="4">
        <f t="shared" si="10"/>
        <v>1.0314393021565302</v>
      </c>
      <c r="K319" s="4">
        <f t="shared" si="11"/>
        <v>1.5892748970196269</v>
      </c>
      <c r="L319" s="4">
        <f t="shared" si="12"/>
        <v>3.254104070753574</v>
      </c>
      <c r="R319" s="4">
        <f t="shared" si="14"/>
        <v>1.0314393021565302</v>
      </c>
    </row>
    <row r="320" spans="1:18" ht="14.25" customHeight="1">
      <c r="A320" s="33">
        <v>40725</v>
      </c>
      <c r="B320" s="3">
        <v>1292.28</v>
      </c>
      <c r="C320" s="3">
        <v>1320.64</v>
      </c>
      <c r="D320" s="3">
        <v>1356.48</v>
      </c>
      <c r="E320" s="3">
        <v>1282.8599999999999</v>
      </c>
      <c r="F320" s="3">
        <v>1292.28</v>
      </c>
      <c r="G320" s="3">
        <v>81102170000</v>
      </c>
      <c r="I320" s="15">
        <f t="shared" si="9"/>
        <v>0.94320890209552122</v>
      </c>
      <c r="J320" s="4">
        <f t="shared" si="10"/>
        <v>1.0673538242486149</v>
      </c>
      <c r="K320" s="4">
        <f t="shared" si="11"/>
        <v>1.6819884235614573</v>
      </c>
      <c r="L320" s="4">
        <f t="shared" si="12"/>
        <v>3.4011669297675429</v>
      </c>
      <c r="R320" s="4">
        <f t="shared" si="14"/>
        <v>1.0673538242486149</v>
      </c>
    </row>
    <row r="321" spans="1:18" ht="14.25" customHeight="1">
      <c r="A321" s="33">
        <v>40756</v>
      </c>
      <c r="B321" s="3">
        <v>1218.8900000000001</v>
      </c>
      <c r="C321" s="3">
        <v>1292.5899999999999</v>
      </c>
      <c r="D321" s="3">
        <v>1307.3800000000001</v>
      </c>
      <c r="E321" s="3">
        <v>1101.54</v>
      </c>
      <c r="F321" s="3">
        <v>1218.8900000000001</v>
      </c>
      <c r="G321" s="3">
        <v>108419000000</v>
      </c>
      <c r="I321" s="15">
        <f t="shared" si="9"/>
        <v>0.92823798702097804</v>
      </c>
      <c r="J321" s="4">
        <f t="shared" si="10"/>
        <v>1.1539843628219115</v>
      </c>
      <c r="K321" s="4">
        <f t="shared" si="11"/>
        <v>1.7810877109501264</v>
      </c>
      <c r="L321" s="4">
        <f t="shared" si="12"/>
        <v>3.7104906923512377</v>
      </c>
      <c r="R321" s="4">
        <f t="shared" si="14"/>
        <v>1.1100000000000001</v>
      </c>
    </row>
    <row r="322" spans="1:18" ht="14.25" customHeight="1">
      <c r="A322" s="33">
        <v>40787</v>
      </c>
      <c r="B322" s="3">
        <v>1131.42</v>
      </c>
      <c r="C322" s="3">
        <v>1219.1199999999999</v>
      </c>
      <c r="D322" s="3">
        <v>1229.29</v>
      </c>
      <c r="E322" s="3">
        <v>1114.22</v>
      </c>
      <c r="F322" s="3">
        <v>1131.42</v>
      </c>
      <c r="G322" s="3">
        <v>102787000000</v>
      </c>
      <c r="I322" s="15">
        <f t="shared" si="9"/>
        <v>1.1077230383058456</v>
      </c>
      <c r="J322" s="4">
        <f t="shared" si="10"/>
        <v>1.273329090876951</v>
      </c>
      <c r="K322" s="4">
        <f t="shared" si="11"/>
        <v>1.9164147708189707</v>
      </c>
      <c r="L322" s="4">
        <f t="shared" si="12"/>
        <v>3.8071980343285428</v>
      </c>
      <c r="R322" s="4">
        <f t="shared" si="14"/>
        <v>1.1100000000000001</v>
      </c>
    </row>
    <row r="323" spans="1:18" ht="14.25" customHeight="1">
      <c r="A323" s="33">
        <v>40817</v>
      </c>
      <c r="B323" s="3">
        <v>1253.3</v>
      </c>
      <c r="C323" s="3">
        <v>1131.21</v>
      </c>
      <c r="D323" s="3">
        <v>1292.6600000000001</v>
      </c>
      <c r="E323" s="3">
        <v>1074.77</v>
      </c>
      <c r="F323" s="3">
        <v>1253.3</v>
      </c>
      <c r="G323" s="3">
        <v>98063670000</v>
      </c>
      <c r="I323" s="15">
        <f t="shared" si="9"/>
        <v>0.99494135482326662</v>
      </c>
      <c r="J323" s="4">
        <f t="shared" si="10"/>
        <v>1.1267533711002953</v>
      </c>
      <c r="K323" s="4">
        <f t="shared" si="11"/>
        <v>1.6964413947179449</v>
      </c>
      <c r="L323" s="4">
        <f t="shared" si="12"/>
        <v>3.6746030479534033</v>
      </c>
      <c r="R323" s="4">
        <f t="shared" si="14"/>
        <v>1.1100000000000001</v>
      </c>
    </row>
    <row r="324" spans="1:18" ht="14.25" customHeight="1">
      <c r="A324" s="33">
        <v>40848</v>
      </c>
      <c r="B324" s="3">
        <v>1246.96</v>
      </c>
      <c r="C324" s="3">
        <v>1251</v>
      </c>
      <c r="D324" s="3">
        <v>1277.55</v>
      </c>
      <c r="E324" s="3">
        <v>1158.6600000000001</v>
      </c>
      <c r="F324" s="3">
        <v>1246.96</v>
      </c>
      <c r="G324" s="3">
        <v>84275050000</v>
      </c>
      <c r="I324" s="15">
        <f t="shared" si="9"/>
        <v>1.0085327516520175</v>
      </c>
      <c r="J324" s="4">
        <f t="shared" si="10"/>
        <v>1.1357060370821839</v>
      </c>
      <c r="K324" s="4">
        <f t="shared" si="11"/>
        <v>1.7633364342079938</v>
      </c>
      <c r="L324" s="4">
        <f t="shared" si="12"/>
        <v>3.6625072175530891</v>
      </c>
      <c r="R324" s="4">
        <f t="shared" si="14"/>
        <v>1.1100000000000001</v>
      </c>
    </row>
    <row r="325" spans="1:18" ht="14.25" customHeight="1">
      <c r="A325" s="33">
        <v>40878</v>
      </c>
      <c r="B325" s="3">
        <v>1257.5999999999999</v>
      </c>
      <c r="C325" s="3">
        <v>1246.9100000000001</v>
      </c>
      <c r="D325" s="3">
        <v>1269.3699999999999</v>
      </c>
      <c r="E325" s="3">
        <v>1202.3699999999999</v>
      </c>
      <c r="F325" s="3">
        <v>1257.5999999999999</v>
      </c>
      <c r="G325" s="3">
        <v>74742430000</v>
      </c>
      <c r="I325" s="15">
        <f t="shared" si="9"/>
        <v>1.0435830152671757</v>
      </c>
      <c r="J325" s="4">
        <f t="shared" si="10"/>
        <v>1.1340569338422393</v>
      </c>
      <c r="K325" s="4">
        <f t="shared" si="11"/>
        <v>1.7802401399491095</v>
      </c>
      <c r="L325" s="4">
        <f t="shared" si="12"/>
        <v>3.7899013994910948</v>
      </c>
      <c r="R325" s="4">
        <f t="shared" si="14"/>
        <v>1.1100000000000001</v>
      </c>
    </row>
    <row r="326" spans="1:18" ht="14.25" customHeight="1">
      <c r="A326" s="33">
        <v>40909</v>
      </c>
      <c r="B326" s="3">
        <v>1312.41</v>
      </c>
      <c r="C326" s="3">
        <v>1258.8599999999999</v>
      </c>
      <c r="D326" s="3">
        <v>1333.47</v>
      </c>
      <c r="E326" s="3">
        <v>1258.8599999999999</v>
      </c>
      <c r="F326" s="3">
        <v>1312.41</v>
      </c>
      <c r="G326" s="3">
        <v>79567560000</v>
      </c>
      <c r="I326" s="15">
        <f t="shared" si="9"/>
        <v>1.0405894499432342</v>
      </c>
      <c r="J326" s="4">
        <f t="shared" si="10"/>
        <v>1.1414954168285825</v>
      </c>
      <c r="K326" s="4">
        <f t="shared" si="11"/>
        <v>1.736400972257145</v>
      </c>
      <c r="L326" s="4">
        <f t="shared" si="12"/>
        <v>3.4406549782461271</v>
      </c>
      <c r="R326" s="4">
        <f t="shared" si="14"/>
        <v>1.1100000000000001</v>
      </c>
    </row>
    <row r="327" spans="1:18" ht="14.25" customHeight="1">
      <c r="A327" s="33">
        <v>40940</v>
      </c>
      <c r="B327" s="3">
        <v>1365.68</v>
      </c>
      <c r="C327" s="3">
        <v>1312.45</v>
      </c>
      <c r="D327" s="3">
        <v>1378.04</v>
      </c>
      <c r="E327" s="3">
        <v>1312.45</v>
      </c>
      <c r="F327" s="3">
        <v>1365.68</v>
      </c>
      <c r="G327" s="3">
        <v>78385710000</v>
      </c>
      <c r="I327" s="15">
        <f t="shared" si="9"/>
        <v>1.0313323765450177</v>
      </c>
      <c r="J327" s="4">
        <f t="shared" si="10"/>
        <v>1.1091031574014409</v>
      </c>
      <c r="K327" s="4">
        <f t="shared" si="11"/>
        <v>1.7307421943647119</v>
      </c>
      <c r="L327" s="4">
        <f t="shared" si="12"/>
        <v>3.2027561361373085</v>
      </c>
      <c r="R327" s="4">
        <f t="shared" si="14"/>
        <v>1.1091031574014409</v>
      </c>
    </row>
    <row r="328" spans="1:18" ht="14.25" customHeight="1">
      <c r="A328" s="33">
        <v>40969</v>
      </c>
      <c r="B328" s="3">
        <v>1408.47</v>
      </c>
      <c r="C328" s="3">
        <v>1365.9</v>
      </c>
      <c r="D328" s="3">
        <v>1419.15</v>
      </c>
      <c r="E328" s="3">
        <v>1340.03</v>
      </c>
      <c r="F328" s="3">
        <v>1408.47</v>
      </c>
      <c r="G328" s="3">
        <v>83899660000</v>
      </c>
      <c r="I328" s="15">
        <f t="shared" si="9"/>
        <v>0.99250250271571283</v>
      </c>
      <c r="J328" s="4">
        <f t="shared" si="10"/>
        <v>1.1141096366979772</v>
      </c>
      <c r="K328" s="4">
        <f t="shared" si="11"/>
        <v>1.6775082181374112</v>
      </c>
      <c r="L328" s="4">
        <f t="shared" si="12"/>
        <v>3.2165470333056434</v>
      </c>
      <c r="R328" s="4">
        <f t="shared" si="14"/>
        <v>1.1100000000000001</v>
      </c>
    </row>
    <row r="329" spans="1:18" ht="14.25" customHeight="1">
      <c r="A329" s="33">
        <v>41000</v>
      </c>
      <c r="B329" s="3">
        <v>1397.91</v>
      </c>
      <c r="C329" s="3">
        <v>1408.47</v>
      </c>
      <c r="D329" s="3">
        <v>1422.38</v>
      </c>
      <c r="E329" s="3">
        <v>1357.38</v>
      </c>
      <c r="F329" s="3">
        <v>1397.91</v>
      </c>
      <c r="G329" s="3">
        <v>74761710000</v>
      </c>
      <c r="I329" s="15">
        <f t="shared" si="9"/>
        <v>0.93734932864061338</v>
      </c>
      <c r="J329" s="4">
        <f t="shared" si="10"/>
        <v>1.1428275067779756</v>
      </c>
      <c r="K329" s="4">
        <f t="shared" si="11"/>
        <v>1.7055461367326936</v>
      </c>
      <c r="L329" s="4">
        <f t="shared" si="12"/>
        <v>2.955791145352705</v>
      </c>
      <c r="R329" s="4">
        <f t="shared" si="14"/>
        <v>1.1100000000000001</v>
      </c>
    </row>
    <row r="330" spans="1:18" ht="14.25" customHeight="1">
      <c r="A330" s="33">
        <v>41030</v>
      </c>
      <c r="B330" s="3">
        <v>1310.33</v>
      </c>
      <c r="C330" s="3">
        <v>1397.86</v>
      </c>
      <c r="D330" s="3">
        <v>1415.32</v>
      </c>
      <c r="E330" s="3">
        <v>1291.98</v>
      </c>
      <c r="F330" s="3">
        <v>1310.33</v>
      </c>
      <c r="G330" s="3">
        <v>86920490000</v>
      </c>
      <c r="I330" s="15">
        <f t="shared" si="9"/>
        <v>1.0395549212793724</v>
      </c>
      <c r="J330" s="4">
        <f t="shared" si="10"/>
        <v>1.2445261880594964</v>
      </c>
      <c r="K330" s="4">
        <f t="shared" si="11"/>
        <v>1.8406050384254351</v>
      </c>
      <c r="L330" s="4">
        <f t="shared" si="12"/>
        <v>3.1467950821548771</v>
      </c>
      <c r="R330" s="4">
        <f t="shared" si="14"/>
        <v>1.1100000000000001</v>
      </c>
    </row>
    <row r="331" spans="1:18" ht="14.25" customHeight="1">
      <c r="A331" s="33">
        <v>41061</v>
      </c>
      <c r="B331" s="3">
        <v>1362.16</v>
      </c>
      <c r="C331" s="3">
        <v>1309.8699999999999</v>
      </c>
      <c r="D331" s="3">
        <v>1363.46</v>
      </c>
      <c r="E331" s="3">
        <v>1266.74</v>
      </c>
      <c r="F331" s="3">
        <v>1362.16</v>
      </c>
      <c r="G331" s="3">
        <v>81582440000</v>
      </c>
      <c r="I331" s="15">
        <f t="shared" si="9"/>
        <v>1.0125976390438713</v>
      </c>
      <c r="J331" s="4">
        <f t="shared" si="10"/>
        <v>1.1792153638339107</v>
      </c>
      <c r="K331" s="4">
        <f t="shared" si="11"/>
        <v>1.7790934985611087</v>
      </c>
      <c r="L331" s="4">
        <f t="shared" si="12"/>
        <v>3.0270599635872437</v>
      </c>
      <c r="R331" s="4">
        <f t="shared" si="14"/>
        <v>1.1100000000000001</v>
      </c>
    </row>
    <row r="332" spans="1:18" ht="14.25" customHeight="1">
      <c r="A332" s="33">
        <v>41091</v>
      </c>
      <c r="B332" s="3">
        <v>1379.32</v>
      </c>
      <c r="C332" s="3">
        <v>1362.33</v>
      </c>
      <c r="D332" s="3">
        <v>1391.74</v>
      </c>
      <c r="E332" s="3">
        <v>1325.41</v>
      </c>
      <c r="F332" s="3">
        <v>1379.32</v>
      </c>
      <c r="G332" s="3">
        <v>73103810000</v>
      </c>
      <c r="I332" s="15">
        <f t="shared" si="9"/>
        <v>1.0197633616564683</v>
      </c>
      <c r="J332" s="4">
        <f t="shared" si="10"/>
        <v>1.2221456949801353</v>
      </c>
      <c r="K332" s="4">
        <f t="shared" si="11"/>
        <v>1.7909549633152571</v>
      </c>
      <c r="L332" s="4"/>
      <c r="R332" s="4">
        <f t="shared" si="14"/>
        <v>1.1100000000000001</v>
      </c>
    </row>
    <row r="333" spans="1:18" ht="14.25" customHeight="1">
      <c r="A333" s="33">
        <v>41122</v>
      </c>
      <c r="B333" s="3">
        <v>1406.58</v>
      </c>
      <c r="C333" s="3">
        <v>1379.32</v>
      </c>
      <c r="D333" s="3">
        <v>1426.68</v>
      </c>
      <c r="E333" s="3">
        <v>1354.65</v>
      </c>
      <c r="F333" s="3">
        <v>1406.58</v>
      </c>
      <c r="G333" s="3">
        <v>70283810000</v>
      </c>
      <c r="I333" s="15">
        <f t="shared" si="9"/>
        <v>1.0242360903752366</v>
      </c>
      <c r="J333" s="4">
        <f t="shared" si="10"/>
        <v>1.1609506746861182</v>
      </c>
      <c r="K333" s="4">
        <f t="shared" si="11"/>
        <v>1.7572054202391618</v>
      </c>
      <c r="L333" s="4"/>
      <c r="R333" s="4">
        <f t="shared" si="14"/>
        <v>1.1100000000000001</v>
      </c>
    </row>
    <row r="334" spans="1:18" ht="14.25" customHeight="1">
      <c r="A334" s="33">
        <v>41153</v>
      </c>
      <c r="B334" s="3">
        <v>1440.67</v>
      </c>
      <c r="C334" s="3">
        <v>1406.54</v>
      </c>
      <c r="D334" s="3">
        <v>1474.51</v>
      </c>
      <c r="E334" s="3">
        <v>1396.56</v>
      </c>
      <c r="F334" s="3">
        <v>1440.67</v>
      </c>
      <c r="G334" s="3">
        <v>69784280000</v>
      </c>
      <c r="I334" s="15">
        <f t="shared" si="9"/>
        <v>0.98021059645859221</v>
      </c>
      <c r="J334" s="4">
        <f t="shared" si="10"/>
        <v>1.1671999833410842</v>
      </c>
      <c r="K334" s="4">
        <f t="shared" si="11"/>
        <v>1.7487419048081796</v>
      </c>
      <c r="L334" s="4"/>
      <c r="R334" s="4">
        <f t="shared" si="14"/>
        <v>1.1100000000000001</v>
      </c>
    </row>
    <row r="335" spans="1:18" ht="14.25" customHeight="1">
      <c r="A335" s="33">
        <v>41183</v>
      </c>
      <c r="B335" s="3">
        <v>1412.16</v>
      </c>
      <c r="C335" s="3">
        <v>1440.9</v>
      </c>
      <c r="D335" s="3">
        <v>1470.96</v>
      </c>
      <c r="E335" s="3">
        <v>1403.28</v>
      </c>
      <c r="F335" s="3">
        <v>1412.16</v>
      </c>
      <c r="G335" s="3">
        <v>71752320000</v>
      </c>
      <c r="I335" s="15">
        <f t="shared" si="9"/>
        <v>1.0028467029231816</v>
      </c>
      <c r="J335" s="4">
        <f t="shared" si="10"/>
        <v>1.2438675504192158</v>
      </c>
      <c r="K335" s="4">
        <f t="shared" si="11"/>
        <v>1.8236318830727396</v>
      </c>
      <c r="L335" s="4"/>
      <c r="R335" s="4">
        <f t="shared" si="14"/>
        <v>1.1100000000000001</v>
      </c>
    </row>
    <row r="336" spans="1:18" ht="14.25" customHeight="1">
      <c r="A336" s="33">
        <v>41214</v>
      </c>
      <c r="B336" s="3">
        <v>1416.18</v>
      </c>
      <c r="C336" s="3">
        <v>1412.2</v>
      </c>
      <c r="D336" s="3">
        <v>1434.27</v>
      </c>
      <c r="E336" s="3">
        <v>1343.35</v>
      </c>
      <c r="F336" s="3">
        <v>1416.18</v>
      </c>
      <c r="G336" s="3">
        <v>71489310000</v>
      </c>
      <c r="I336" s="15">
        <f t="shared" si="9"/>
        <v>1.0070683105254981</v>
      </c>
      <c r="J336" s="4">
        <f t="shared" si="10"/>
        <v>1.2751274555494356</v>
      </c>
      <c r="K336" s="4">
        <f t="shared" si="11"/>
        <v>1.8695222358739707</v>
      </c>
      <c r="L336" s="4"/>
      <c r="R336" s="4">
        <f t="shared" si="14"/>
        <v>1.1100000000000001</v>
      </c>
    </row>
    <row r="337" spans="1:18" ht="14.25" customHeight="1">
      <c r="A337" s="33">
        <v>41244</v>
      </c>
      <c r="B337" s="3">
        <v>1426.19</v>
      </c>
      <c r="C337" s="3">
        <v>1416.34</v>
      </c>
      <c r="D337" s="3">
        <v>1448</v>
      </c>
      <c r="E337" s="3">
        <v>1398.11</v>
      </c>
      <c r="F337" s="3">
        <v>1426.19</v>
      </c>
      <c r="G337" s="3">
        <v>66388180000</v>
      </c>
      <c r="I337" s="15">
        <f t="shared" si="9"/>
        <v>1.0504280635819911</v>
      </c>
      <c r="J337" s="4">
        <f t="shared" si="10"/>
        <v>1.2960124527587487</v>
      </c>
      <c r="K337" s="4">
        <f t="shared" si="11"/>
        <v>1.8746520449589466</v>
      </c>
      <c r="L337" s="4"/>
      <c r="R337" s="4">
        <f t="shared" si="14"/>
        <v>1.1100000000000001</v>
      </c>
    </row>
    <row r="338" spans="1:18" ht="14.25" customHeight="1">
      <c r="A338" s="33">
        <v>41275</v>
      </c>
      <c r="B338" s="3">
        <v>1498.11</v>
      </c>
      <c r="C338" s="3">
        <v>1426.19</v>
      </c>
      <c r="D338" s="3">
        <v>1509.94</v>
      </c>
      <c r="E338" s="3">
        <v>1426.19</v>
      </c>
      <c r="F338" s="3">
        <v>1498.11</v>
      </c>
      <c r="G338" s="3">
        <v>75848510000</v>
      </c>
      <c r="I338" s="15">
        <f t="shared" si="9"/>
        <v>1.0110606030264802</v>
      </c>
      <c r="J338" s="4">
        <f t="shared" si="10"/>
        <v>1.189892598006822</v>
      </c>
      <c r="K338" s="4">
        <f t="shared" si="11"/>
        <v>1.8849149928910427</v>
      </c>
      <c r="L338" s="4"/>
      <c r="R338" s="4">
        <f t="shared" si="14"/>
        <v>1.1100000000000001</v>
      </c>
    </row>
    <row r="339" spans="1:18" ht="14.25" customHeight="1">
      <c r="A339" s="33">
        <v>41306</v>
      </c>
      <c r="B339" s="3">
        <v>1514.68</v>
      </c>
      <c r="C339" s="3">
        <v>1498.11</v>
      </c>
      <c r="D339" s="3">
        <v>1530.94</v>
      </c>
      <c r="E339" s="3">
        <v>1485.01</v>
      </c>
      <c r="F339" s="3">
        <v>1514.68</v>
      </c>
      <c r="G339" s="3">
        <v>69273480000</v>
      </c>
      <c r="I339" s="15">
        <f t="shared" si="9"/>
        <v>1.0359877994031743</v>
      </c>
      <c r="J339" s="4">
        <f t="shared" si="10"/>
        <v>1.2276190350437055</v>
      </c>
      <c r="K339" s="4">
        <f t="shared" si="11"/>
        <v>1.791685372487918</v>
      </c>
      <c r="L339" s="4"/>
      <c r="R339" s="4">
        <f t="shared" si="14"/>
        <v>1.1100000000000001</v>
      </c>
    </row>
    <row r="340" spans="1:18" ht="14.25" customHeight="1">
      <c r="A340" s="33">
        <v>41334</v>
      </c>
      <c r="B340" s="3">
        <v>1569.19</v>
      </c>
      <c r="C340" s="3">
        <v>1514.68</v>
      </c>
      <c r="D340" s="3">
        <v>1570.28</v>
      </c>
      <c r="E340" s="3">
        <v>1501.48</v>
      </c>
      <c r="F340" s="3">
        <v>1569.19</v>
      </c>
      <c r="G340" s="3">
        <v>68527110000</v>
      </c>
      <c r="I340" s="15">
        <f t="shared" si="9"/>
        <v>1.018085763992888</v>
      </c>
      <c r="J340" s="4">
        <f t="shared" si="10"/>
        <v>1.193188842651304</v>
      </c>
      <c r="K340" s="4">
        <f t="shared" si="11"/>
        <v>1.682951076670129</v>
      </c>
      <c r="L340" s="4"/>
      <c r="R340" s="4">
        <f t="shared" si="14"/>
        <v>1.1100000000000001</v>
      </c>
    </row>
    <row r="341" spans="1:18" ht="14.25" customHeight="1">
      <c r="A341" s="33">
        <v>41365</v>
      </c>
      <c r="B341" s="3">
        <v>1597.57</v>
      </c>
      <c r="C341" s="3">
        <v>1569.18</v>
      </c>
      <c r="D341" s="3">
        <v>1597.57</v>
      </c>
      <c r="E341" s="3">
        <v>1536.03</v>
      </c>
      <c r="F341" s="3">
        <v>1597.57</v>
      </c>
      <c r="G341" s="3">
        <v>77098000000</v>
      </c>
      <c r="I341" s="15">
        <f t="shared" si="9"/>
        <v>1.0207627834774065</v>
      </c>
      <c r="J341" s="4">
        <f t="shared" si="10"/>
        <v>1.1792597507464462</v>
      </c>
      <c r="K341" s="4">
        <f t="shared" si="11"/>
        <v>1.6575486520152483</v>
      </c>
      <c r="L341" s="4"/>
      <c r="R341" s="4">
        <f t="shared" si="14"/>
        <v>1.1100000000000001</v>
      </c>
    </row>
    <row r="342" spans="1:18" ht="14.25" customHeight="1">
      <c r="A342" s="33">
        <v>41395</v>
      </c>
      <c r="B342" s="3">
        <v>1630.74</v>
      </c>
      <c r="C342" s="3">
        <v>1597.55</v>
      </c>
      <c r="D342" s="3">
        <v>1687.18</v>
      </c>
      <c r="E342" s="3">
        <v>1581.28</v>
      </c>
      <c r="F342" s="3">
        <v>1630.74</v>
      </c>
      <c r="G342" s="3">
        <v>76447250000</v>
      </c>
      <c r="I342" s="15">
        <f t="shared" si="9"/>
        <v>0.98500067454039264</v>
      </c>
      <c r="J342" s="4">
        <f t="shared" si="10"/>
        <v>1.1795687847234997</v>
      </c>
      <c r="K342" s="4">
        <f t="shared" si="11"/>
        <v>1.6589217165213339</v>
      </c>
      <c r="L342" s="4"/>
      <c r="R342" s="4">
        <f t="shared" si="14"/>
        <v>1.1100000000000001</v>
      </c>
    </row>
    <row r="343" spans="1:18" ht="14.25" customHeight="1">
      <c r="A343" s="33">
        <v>41426</v>
      </c>
      <c r="B343" s="3">
        <v>1606.28</v>
      </c>
      <c r="C343" s="3">
        <v>1631.71</v>
      </c>
      <c r="D343" s="3">
        <v>1654.19</v>
      </c>
      <c r="E343" s="3">
        <v>1560.33</v>
      </c>
      <c r="F343" s="3">
        <v>1606.28</v>
      </c>
      <c r="G343" s="3">
        <v>74946790000</v>
      </c>
      <c r="I343" s="15">
        <f t="shared" si="9"/>
        <v>1.0494621112134872</v>
      </c>
      <c r="J343" s="4">
        <f t="shared" si="10"/>
        <v>1.2203538610952014</v>
      </c>
      <c r="K343" s="4">
        <f t="shared" si="11"/>
        <v>1.6923388201309859</v>
      </c>
      <c r="L343" s="4"/>
      <c r="R343" s="4">
        <f t="shared" si="14"/>
        <v>1.1100000000000001</v>
      </c>
    </row>
    <row r="344" spans="1:18" ht="14.25" customHeight="1">
      <c r="A344" s="33">
        <v>41456</v>
      </c>
      <c r="B344" s="3">
        <v>1685.73</v>
      </c>
      <c r="C344" s="3">
        <v>1609.78</v>
      </c>
      <c r="D344" s="3">
        <v>1698.78</v>
      </c>
      <c r="E344" s="3">
        <v>1604.57</v>
      </c>
      <c r="F344" s="3">
        <v>1685.73</v>
      </c>
      <c r="G344" s="3">
        <v>68106820000</v>
      </c>
      <c r="I344" s="15">
        <f t="shared" si="9"/>
        <v>0.9687019866763954</v>
      </c>
      <c r="J344" s="4">
        <f t="shared" si="10"/>
        <v>1.1453020353200098</v>
      </c>
      <c r="K344" s="4">
        <f t="shared" si="11"/>
        <v>1.6706649344794242</v>
      </c>
      <c r="L344" s="4"/>
      <c r="R344" s="4">
        <f t="shared" si="14"/>
        <v>1.1100000000000001</v>
      </c>
    </row>
    <row r="345" spans="1:18" ht="14.25" customHeight="1">
      <c r="A345" s="33">
        <v>41487</v>
      </c>
      <c r="B345" s="3">
        <v>1632.97</v>
      </c>
      <c r="C345" s="3">
        <v>1689.42</v>
      </c>
      <c r="D345" s="3">
        <v>1709.67</v>
      </c>
      <c r="E345" s="3">
        <v>1627.47</v>
      </c>
      <c r="F345" s="3">
        <v>1632.97</v>
      </c>
      <c r="G345" s="3">
        <v>64802810000</v>
      </c>
      <c r="I345" s="15">
        <f t="shared" si="9"/>
        <v>1.0297494748831884</v>
      </c>
      <c r="J345" s="4">
        <f t="shared" si="10"/>
        <v>1.2268259674090767</v>
      </c>
      <c r="K345" s="4">
        <f t="shared" si="11"/>
        <v>1.7768360716975817</v>
      </c>
      <c r="L345" s="4"/>
      <c r="R345" s="4">
        <f t="shared" si="14"/>
        <v>1.1100000000000001</v>
      </c>
    </row>
    <row r="346" spans="1:18" ht="14.25" customHeight="1">
      <c r="A346" s="33">
        <v>41518</v>
      </c>
      <c r="B346" s="3">
        <v>1681.55</v>
      </c>
      <c r="C346" s="3">
        <v>1635.95</v>
      </c>
      <c r="D346" s="3">
        <v>1729.86</v>
      </c>
      <c r="E346" s="3">
        <v>1633.41</v>
      </c>
      <c r="F346" s="3">
        <v>1681.55</v>
      </c>
      <c r="G346" s="3">
        <v>66174410000</v>
      </c>
      <c r="I346" s="15">
        <f t="shared" si="9"/>
        <v>1.0445957598644109</v>
      </c>
      <c r="J346" s="4">
        <f t="shared" si="10"/>
        <v>1.1729000029734471</v>
      </c>
      <c r="K346" s="4">
        <f t="shared" si="11"/>
        <v>1.7329130861407631</v>
      </c>
      <c r="L346" s="4"/>
      <c r="R346" s="4">
        <f t="shared" si="14"/>
        <v>1.1100000000000001</v>
      </c>
    </row>
    <row r="347" spans="1:18" ht="14.25" customHeight="1">
      <c r="A347" s="33">
        <v>41548</v>
      </c>
      <c r="B347" s="3">
        <v>1756.54</v>
      </c>
      <c r="C347" s="3">
        <v>1682.41</v>
      </c>
      <c r="D347" s="3">
        <v>1775.22</v>
      </c>
      <c r="E347" s="3">
        <v>1646.47</v>
      </c>
      <c r="F347" s="3">
        <v>1756.54</v>
      </c>
      <c r="G347" s="3">
        <v>76647400000</v>
      </c>
      <c r="I347" s="15">
        <f t="shared" si="9"/>
        <v>1.0280494608719415</v>
      </c>
      <c r="J347" s="4">
        <f t="shared" si="10"/>
        <v>1.1488779077049198</v>
      </c>
      <c r="K347" s="4">
        <f t="shared" si="11"/>
        <v>1.5437963268698691</v>
      </c>
      <c r="L347" s="4"/>
      <c r="R347" s="4">
        <f t="shared" si="14"/>
        <v>1.1100000000000001</v>
      </c>
    </row>
    <row r="348" spans="1:18" ht="14.25" customHeight="1">
      <c r="A348" s="33">
        <v>41579</v>
      </c>
      <c r="B348" s="3">
        <v>1805.81</v>
      </c>
      <c r="C348" s="3">
        <v>1758.7</v>
      </c>
      <c r="D348" s="3">
        <v>1813.55</v>
      </c>
      <c r="E348" s="3">
        <v>1746.2</v>
      </c>
      <c r="F348" s="3">
        <v>1805.81</v>
      </c>
      <c r="G348" s="3">
        <v>63628190000</v>
      </c>
      <c r="I348" s="15">
        <f t="shared" si="9"/>
        <v>1.0235628332991842</v>
      </c>
      <c r="J348" s="4">
        <f t="shared" si="10"/>
        <v>1.1449488041377553</v>
      </c>
      <c r="K348" s="4">
        <f t="shared" si="11"/>
        <v>1.5284941383645014</v>
      </c>
      <c r="L348" s="4"/>
      <c r="R348" s="4">
        <f t="shared" si="14"/>
        <v>1.1100000000000001</v>
      </c>
    </row>
    <row r="349" spans="1:18" ht="14.25" customHeight="1">
      <c r="A349" s="33">
        <v>41609</v>
      </c>
      <c r="B349" s="3">
        <v>1848.36</v>
      </c>
      <c r="C349" s="3">
        <v>1806.55</v>
      </c>
      <c r="D349" s="3">
        <v>1849.44</v>
      </c>
      <c r="E349" s="3">
        <v>1767.99</v>
      </c>
      <c r="F349" s="3">
        <v>1848.36</v>
      </c>
      <c r="G349" s="3">
        <v>64958820000</v>
      </c>
      <c r="I349" s="15">
        <f t="shared" si="9"/>
        <v>0.96441710489298627</v>
      </c>
      <c r="J349" s="4">
        <f t="shared" si="10"/>
        <v>1.113906381873661</v>
      </c>
      <c r="K349" s="4">
        <f t="shared" si="11"/>
        <v>1.3562563569867343</v>
      </c>
      <c r="L349" s="4"/>
      <c r="R349" s="4">
        <f t="shared" si="14"/>
        <v>1.1100000000000001</v>
      </c>
    </row>
    <row r="350" spans="1:18" ht="14.25" customHeight="1">
      <c r="A350" s="33">
        <v>41640</v>
      </c>
      <c r="B350" s="3">
        <v>1782.59</v>
      </c>
      <c r="C350" s="3">
        <v>1845.86</v>
      </c>
      <c r="D350" s="3">
        <v>1850.84</v>
      </c>
      <c r="E350" s="3">
        <v>1770.45</v>
      </c>
      <c r="F350" s="3">
        <v>1782.59</v>
      </c>
      <c r="G350" s="3">
        <v>75871910000</v>
      </c>
      <c r="I350" s="15">
        <f t="shared" si="9"/>
        <v>1.0431170375689307</v>
      </c>
      <c r="J350" s="4">
        <f t="shared" si="10"/>
        <v>1.1191524691600425</v>
      </c>
      <c r="K350" s="4">
        <f t="shared" si="11"/>
        <v>1.5169500558176585</v>
      </c>
      <c r="L350" s="4"/>
      <c r="R350" s="4">
        <f t="shared" si="14"/>
        <v>1.1100000000000001</v>
      </c>
    </row>
    <row r="351" spans="1:18" ht="14.25" customHeight="1">
      <c r="A351" s="33">
        <v>41671</v>
      </c>
      <c r="B351" s="3">
        <v>1859.45</v>
      </c>
      <c r="C351" s="3">
        <v>1782.68</v>
      </c>
      <c r="D351" s="3">
        <v>1867.92</v>
      </c>
      <c r="E351" s="3">
        <v>1737.92</v>
      </c>
      <c r="F351" s="3">
        <v>1859.45</v>
      </c>
      <c r="G351" s="3">
        <v>69725590000</v>
      </c>
      <c r="I351" s="15">
        <f t="shared" si="9"/>
        <v>1.0069321573583585</v>
      </c>
      <c r="J351" s="4">
        <f t="shared" si="10"/>
        <v>1.1317862808895103</v>
      </c>
      <c r="K351" s="4">
        <f t="shared" si="11"/>
        <v>1.4974804377638546</v>
      </c>
      <c r="L351" s="4"/>
      <c r="R351" s="4">
        <f t="shared" si="14"/>
        <v>1.1100000000000001</v>
      </c>
    </row>
    <row r="352" spans="1:18" ht="14.25" customHeight="1">
      <c r="A352" s="33">
        <v>41699</v>
      </c>
      <c r="B352" s="3">
        <v>1872.34</v>
      </c>
      <c r="C352" s="3">
        <v>1857.68</v>
      </c>
      <c r="D352" s="3">
        <v>1883.97</v>
      </c>
      <c r="E352" s="3">
        <v>1834.44</v>
      </c>
      <c r="F352" s="3">
        <v>1872.34</v>
      </c>
      <c r="G352" s="3">
        <v>71885030000</v>
      </c>
      <c r="I352" s="15">
        <f t="shared" si="9"/>
        <v>1.0062007968638176</v>
      </c>
      <c r="J352" s="4">
        <f t="shared" si="10"/>
        <v>1.1044415010094319</v>
      </c>
      <c r="K352" s="4">
        <f t="shared" si="11"/>
        <v>1.5138276167790039</v>
      </c>
      <c r="L352" s="4"/>
      <c r="R352" s="4">
        <f t="shared" si="14"/>
        <v>1.1044415010094319</v>
      </c>
    </row>
    <row r="353" spans="1:18" ht="14.25" customHeight="1">
      <c r="A353" s="33">
        <v>41730</v>
      </c>
      <c r="B353" s="3">
        <v>1883.95</v>
      </c>
      <c r="C353" s="3">
        <v>1873.96</v>
      </c>
      <c r="D353" s="3">
        <v>1897.28</v>
      </c>
      <c r="E353" s="3">
        <v>1814.36</v>
      </c>
      <c r="F353" s="3">
        <v>1883.95</v>
      </c>
      <c r="G353" s="3">
        <v>71595810000</v>
      </c>
      <c r="I353" s="15">
        <f t="shared" si="9"/>
        <v>1.0210302821200137</v>
      </c>
      <c r="J353" s="4">
        <f t="shared" si="10"/>
        <v>1.106987977387935</v>
      </c>
      <c r="K353" s="4">
        <f t="shared" si="11"/>
        <v>1.5636455319939488</v>
      </c>
      <c r="L353" s="4"/>
      <c r="R353" s="4">
        <f t="shared" si="14"/>
        <v>1.106987977387935</v>
      </c>
    </row>
    <row r="354" spans="1:18" ht="14.25" customHeight="1">
      <c r="A354" s="33">
        <v>41760</v>
      </c>
      <c r="B354" s="3">
        <v>1923.57</v>
      </c>
      <c r="C354" s="3">
        <v>1884.39</v>
      </c>
      <c r="D354" s="3">
        <v>1924.03</v>
      </c>
      <c r="E354" s="3">
        <v>1859.79</v>
      </c>
      <c r="F354" s="3">
        <v>1923.57</v>
      </c>
      <c r="G354" s="3">
        <v>63623630000</v>
      </c>
      <c r="I354" s="15">
        <f t="shared" si="9"/>
        <v>1.0190583134484319</v>
      </c>
      <c r="J354" s="4">
        <f t="shared" si="10"/>
        <v>1.0955618979293709</v>
      </c>
      <c r="K354" s="4">
        <f t="shared" si="11"/>
        <v>1.4307043674001987</v>
      </c>
      <c r="L354" s="4"/>
      <c r="R354" s="4">
        <f t="shared" si="14"/>
        <v>1.0955618979293709</v>
      </c>
    </row>
    <row r="355" spans="1:18" ht="14.25" customHeight="1">
      <c r="A355" s="33">
        <v>41791</v>
      </c>
      <c r="B355" s="3">
        <v>1960.23</v>
      </c>
      <c r="C355" s="3">
        <v>1923.87</v>
      </c>
      <c r="D355" s="3">
        <v>1968.17</v>
      </c>
      <c r="E355" s="3">
        <v>1915.98</v>
      </c>
      <c r="F355" s="3">
        <v>1960.23</v>
      </c>
      <c r="G355" s="3">
        <v>63283380000</v>
      </c>
      <c r="I355" s="15">
        <f t="shared" si="9"/>
        <v>0.98492013692270808</v>
      </c>
      <c r="J355" s="4">
        <f t="shared" si="10"/>
        <v>1.052483637124215</v>
      </c>
      <c r="K355" s="4">
        <f t="shared" si="11"/>
        <v>1.5007218540681451</v>
      </c>
      <c r="L355" s="4"/>
      <c r="R355" s="4">
        <f t="shared" si="14"/>
        <v>1.052483637124215</v>
      </c>
    </row>
    <row r="356" spans="1:18" ht="14.25" customHeight="1">
      <c r="A356" s="33">
        <v>41821</v>
      </c>
      <c r="B356" s="3">
        <v>1930.67</v>
      </c>
      <c r="C356" s="3">
        <v>1962.29</v>
      </c>
      <c r="D356" s="3">
        <v>1991.39</v>
      </c>
      <c r="E356" s="3">
        <v>1930.67</v>
      </c>
      <c r="F356" s="3">
        <v>1930.67</v>
      </c>
      <c r="G356" s="3">
        <v>66524690000</v>
      </c>
      <c r="I356" s="15">
        <f t="shared" si="9"/>
        <v>1.0376553217276903</v>
      </c>
      <c r="J356" s="4">
        <f t="shared" si="10"/>
        <v>1.0896942512184891</v>
      </c>
      <c r="K356" s="4">
        <f t="shared" si="11"/>
        <v>1.5437024452651151</v>
      </c>
      <c r="L356" s="4"/>
      <c r="R356" s="4">
        <f t="shared" si="14"/>
        <v>1.0896942512184891</v>
      </c>
    </row>
    <row r="357" spans="1:18" ht="14.25" customHeight="1">
      <c r="A357" s="33">
        <v>41852</v>
      </c>
      <c r="B357" s="3">
        <v>2003.37</v>
      </c>
      <c r="C357" s="3">
        <v>1929.8</v>
      </c>
      <c r="D357" s="3">
        <v>2005.04</v>
      </c>
      <c r="E357" s="3">
        <v>1904.78</v>
      </c>
      <c r="F357" s="3">
        <v>2003.37</v>
      </c>
      <c r="G357" s="3">
        <v>58131140000</v>
      </c>
      <c r="I357" s="15">
        <f t="shared" si="9"/>
        <v>0.98448614085266328</v>
      </c>
      <c r="J357" s="4">
        <f t="shared" si="10"/>
        <v>0.98443123337176863</v>
      </c>
      <c r="K357" s="4">
        <f t="shared" si="11"/>
        <v>1.4607686049007425</v>
      </c>
      <c r="L357" s="4"/>
      <c r="R357" s="4">
        <f t="shared" si="14"/>
        <v>1</v>
      </c>
    </row>
    <row r="358" spans="1:18" ht="14.25" customHeight="1">
      <c r="A358" s="33">
        <v>41883</v>
      </c>
      <c r="B358" s="3">
        <v>1972.29</v>
      </c>
      <c r="C358" s="3">
        <v>2004.07</v>
      </c>
      <c r="D358" s="3">
        <v>2019.26</v>
      </c>
      <c r="E358" s="3">
        <v>1964.04</v>
      </c>
      <c r="F358" s="3">
        <v>1972.29</v>
      </c>
      <c r="G358" s="3">
        <v>66706000000</v>
      </c>
      <c r="I358" s="15">
        <f t="shared" si="9"/>
        <v>1.0232014561753089</v>
      </c>
      <c r="J358" s="4">
        <f t="shared" si="10"/>
        <v>0.97350288243615291</v>
      </c>
      <c r="K358" s="4">
        <f t="shared" si="11"/>
        <v>1.5092810894949524</v>
      </c>
      <c r="L358" s="4"/>
      <c r="R358" s="4">
        <f t="shared" si="14"/>
        <v>1</v>
      </c>
    </row>
    <row r="359" spans="1:18" ht="14.25" customHeight="1">
      <c r="A359" s="33">
        <v>41913</v>
      </c>
      <c r="B359" s="3">
        <v>2018.05</v>
      </c>
      <c r="C359" s="3">
        <v>1971.44</v>
      </c>
      <c r="D359" s="3">
        <v>2018.19</v>
      </c>
      <c r="E359" s="3">
        <v>1820.66</v>
      </c>
      <c r="F359" s="3">
        <v>2018.05</v>
      </c>
      <c r="G359" s="3">
        <v>93714040000</v>
      </c>
      <c r="I359" s="15">
        <f t="shared" si="9"/>
        <v>1.024533584400783</v>
      </c>
      <c r="J359" s="4">
        <f t="shared" si="10"/>
        <v>1.03038081316122</v>
      </c>
      <c r="K359" s="4">
        <f t="shared" si="11"/>
        <v>1.5051956096231511</v>
      </c>
      <c r="L359" s="4"/>
      <c r="R359" s="4">
        <f t="shared" si="14"/>
        <v>1.03038081316122</v>
      </c>
    </row>
    <row r="360" spans="1:18" ht="14.25" customHeight="1">
      <c r="A360" s="33">
        <v>41944</v>
      </c>
      <c r="B360" s="3">
        <v>2067.56</v>
      </c>
      <c r="C360" s="3">
        <v>2018.21</v>
      </c>
      <c r="D360" s="3">
        <v>2075.7600000000002</v>
      </c>
      <c r="E360" s="3">
        <v>2001.01</v>
      </c>
      <c r="F360" s="3">
        <v>2067.56</v>
      </c>
      <c r="G360" s="3">
        <v>63600190000</v>
      </c>
      <c r="I360" s="15">
        <f t="shared" si="9"/>
        <v>0.99581148793747221</v>
      </c>
      <c r="J360" s="4">
        <f t="shared" si="10"/>
        <v>1.0062150554276539</v>
      </c>
      <c r="K360" s="4">
        <f t="shared" si="11"/>
        <v>1.5191723577550349</v>
      </c>
      <c r="L360" s="4"/>
      <c r="R360" s="4">
        <f t="shared" si="14"/>
        <v>1.0062150554276539</v>
      </c>
    </row>
    <row r="361" spans="1:18" ht="14.25" customHeight="1">
      <c r="A361" s="33">
        <v>41974</v>
      </c>
      <c r="B361" s="3">
        <v>2058.9</v>
      </c>
      <c r="C361" s="3">
        <v>2065.7800000000002</v>
      </c>
      <c r="D361" s="3">
        <v>2093.5500000000002</v>
      </c>
      <c r="E361" s="3">
        <v>1972.56</v>
      </c>
      <c r="F361" s="3">
        <v>2058.9</v>
      </c>
      <c r="G361" s="3">
        <v>80743820000</v>
      </c>
      <c r="I361" s="15">
        <f t="shared" si="9"/>
        <v>0.96895915294574764</v>
      </c>
      <c r="J361" s="4">
        <f t="shared" si="10"/>
        <v>0.99273398416630243</v>
      </c>
      <c r="K361" s="4">
        <f t="shared" si="11"/>
        <v>1.5691777162562535</v>
      </c>
      <c r="L361" s="4"/>
      <c r="R361" s="4">
        <f t="shared" si="14"/>
        <v>1</v>
      </c>
    </row>
    <row r="362" spans="1:18" ht="14.25" customHeight="1">
      <c r="A362" s="33">
        <v>42005</v>
      </c>
      <c r="B362" s="3">
        <v>1994.99</v>
      </c>
      <c r="C362" s="3">
        <v>2058.9</v>
      </c>
      <c r="D362" s="3">
        <v>2072.36</v>
      </c>
      <c r="E362" s="3">
        <v>1988.12</v>
      </c>
      <c r="F362" s="3">
        <v>1994.99</v>
      </c>
      <c r="G362" s="3">
        <v>77330040000</v>
      </c>
      <c r="I362" s="15">
        <f t="shared" si="9"/>
        <v>1.0548925057268457</v>
      </c>
      <c r="J362" s="4">
        <f t="shared" si="10"/>
        <v>0.97255625341480412</v>
      </c>
      <c r="K362" s="4">
        <f t="shared" si="11"/>
        <v>1.6168101093238563</v>
      </c>
      <c r="R362" s="4">
        <f t="shared" si="14"/>
        <v>1</v>
      </c>
    </row>
    <row r="363" spans="1:18" ht="14.25" customHeight="1">
      <c r="A363" s="33">
        <v>42036</v>
      </c>
      <c r="B363" s="3">
        <v>2104.5</v>
      </c>
      <c r="C363" s="3">
        <v>1996.67</v>
      </c>
      <c r="D363" s="3">
        <v>2119.59</v>
      </c>
      <c r="E363" s="3">
        <v>1980.9</v>
      </c>
      <c r="F363" s="3">
        <v>2104.5</v>
      </c>
      <c r="G363" s="3">
        <v>68775560000</v>
      </c>
      <c r="I363" s="15">
        <f t="shared" si="9"/>
        <v>0.98260394392967443</v>
      </c>
      <c r="J363" s="4">
        <f t="shared" si="10"/>
        <v>0.91814207650273227</v>
      </c>
      <c r="K363" s="4">
        <f t="shared" si="11"/>
        <v>1.4037633642195295</v>
      </c>
      <c r="R363" s="4">
        <f t="shared" si="14"/>
        <v>1</v>
      </c>
    </row>
    <row r="364" spans="1:18" ht="14.25" customHeight="1">
      <c r="A364" s="33">
        <v>42064</v>
      </c>
      <c r="B364" s="3">
        <v>2067.89</v>
      </c>
      <c r="C364" s="3">
        <v>2105.23</v>
      </c>
      <c r="D364" s="3">
        <v>2117.52</v>
      </c>
      <c r="E364" s="3">
        <v>2039.69</v>
      </c>
      <c r="F364" s="3">
        <v>2067.89</v>
      </c>
      <c r="G364" s="3">
        <v>76675850000</v>
      </c>
      <c r="I364" s="15">
        <f t="shared" si="9"/>
        <v>1.0085207627098154</v>
      </c>
      <c r="J364" s="4">
        <f t="shared" si="10"/>
        <v>0.99605878455817276</v>
      </c>
      <c r="K364" s="4">
        <f t="shared" si="11"/>
        <v>1.2498682231646752</v>
      </c>
      <c r="R364" s="4">
        <f t="shared" si="14"/>
        <v>1</v>
      </c>
    </row>
    <row r="365" spans="1:18" ht="14.25" customHeight="1">
      <c r="A365" s="33">
        <v>42095</v>
      </c>
      <c r="B365" s="3">
        <v>2085.5100000000002</v>
      </c>
      <c r="C365" s="3">
        <v>2067.63</v>
      </c>
      <c r="D365" s="3">
        <v>2125.92</v>
      </c>
      <c r="E365" s="3">
        <v>2048.38</v>
      </c>
      <c r="F365" s="3">
        <v>2085.5100000000002</v>
      </c>
      <c r="G365" s="3">
        <v>72060940000</v>
      </c>
      <c r="I365" s="15">
        <f t="shared" si="9"/>
        <v>1.0104914385450081</v>
      </c>
      <c r="J365" s="4">
        <f t="shared" si="10"/>
        <v>0.99030932481743073</v>
      </c>
      <c r="K365" s="4">
        <f t="shared" si="11"/>
        <v>1.3965073291425116</v>
      </c>
      <c r="R365" s="4">
        <f t="shared" si="14"/>
        <v>1</v>
      </c>
    </row>
    <row r="366" spans="1:18" ht="14.25" customHeight="1">
      <c r="A366" s="33">
        <v>42125</v>
      </c>
      <c r="B366" s="3">
        <v>2107.39</v>
      </c>
      <c r="C366" s="3">
        <v>2087.38</v>
      </c>
      <c r="D366" s="3">
        <v>2134.7199999999998</v>
      </c>
      <c r="E366" s="3">
        <v>2067.9299999999998</v>
      </c>
      <c r="F366" s="3">
        <v>2107.39</v>
      </c>
      <c r="G366" s="3">
        <v>65187730000</v>
      </c>
      <c r="I366" s="15">
        <f t="shared" si="9"/>
        <v>0.9789882271435284</v>
      </c>
      <c r="J366" s="4">
        <f t="shared" si="10"/>
        <v>0.99504600477367733</v>
      </c>
      <c r="K366" s="4">
        <f t="shared" si="11"/>
        <v>1.4445878551193658</v>
      </c>
      <c r="R366" s="4">
        <f t="shared" si="14"/>
        <v>1</v>
      </c>
    </row>
    <row r="367" spans="1:18" ht="14.25" customHeight="1">
      <c r="A367" s="33">
        <v>42156</v>
      </c>
      <c r="B367" s="3">
        <v>2063.11</v>
      </c>
      <c r="C367" s="3">
        <v>2108.64</v>
      </c>
      <c r="D367" s="3">
        <v>2129.87</v>
      </c>
      <c r="E367" s="3">
        <v>2056.3200000000002</v>
      </c>
      <c r="F367" s="3">
        <v>2063.11</v>
      </c>
      <c r="G367" s="3">
        <v>73213980000</v>
      </c>
      <c r="I367" s="15">
        <f t="shared" si="9"/>
        <v>1.0197420399300086</v>
      </c>
      <c r="J367" s="4">
        <f t="shared" si="10"/>
        <v>1.0173282083844293</v>
      </c>
      <c r="K367" s="4">
        <f t="shared" si="11"/>
        <v>1.5027264663541933</v>
      </c>
      <c r="R367" s="4">
        <f t="shared" si="14"/>
        <v>1.0173282083844293</v>
      </c>
    </row>
    <row r="368" spans="1:18" ht="14.25" customHeight="1">
      <c r="A368" s="33">
        <v>42186</v>
      </c>
      <c r="B368" s="3">
        <v>2103.84</v>
      </c>
      <c r="C368" s="3">
        <v>2067</v>
      </c>
      <c r="D368" s="3">
        <v>2132.8200000000002</v>
      </c>
      <c r="E368" s="3">
        <v>2044.02</v>
      </c>
      <c r="F368" s="3">
        <v>2103.84</v>
      </c>
      <c r="G368" s="3">
        <v>77920590000</v>
      </c>
      <c r="I368" s="15">
        <f t="shared" si="9"/>
        <v>0.93741919537607421</v>
      </c>
      <c r="J368" s="4">
        <f t="shared" si="10"/>
        <v>1.0331584150885997</v>
      </c>
      <c r="K368" s="4">
        <f t="shared" si="11"/>
        <v>1.5548330671533956</v>
      </c>
      <c r="R368" s="4">
        <f t="shared" si="14"/>
        <v>1.0331584150885997</v>
      </c>
    </row>
    <row r="369" spans="1:18" ht="14.25" customHeight="1">
      <c r="A369" s="33">
        <v>42217</v>
      </c>
      <c r="B369" s="3">
        <v>1972.18</v>
      </c>
      <c r="C369" s="3">
        <v>2104.4899999999998</v>
      </c>
      <c r="D369" s="3">
        <v>2112.66</v>
      </c>
      <c r="E369" s="3">
        <v>1867.01</v>
      </c>
      <c r="F369" s="3">
        <v>1972.18</v>
      </c>
      <c r="G369" s="3">
        <v>84626790000</v>
      </c>
      <c r="I369" s="15">
        <f t="shared" si="9"/>
        <v>0.97355718037907291</v>
      </c>
      <c r="J369" s="4">
        <f t="shared" si="10"/>
        <v>1.1007869464247684</v>
      </c>
      <c r="K369" s="4">
        <f t="shared" si="11"/>
        <v>1.7748430670628441</v>
      </c>
      <c r="R369" s="4">
        <f t="shared" si="14"/>
        <v>1.1007869464247684</v>
      </c>
    </row>
    <row r="370" spans="1:18" ht="14.25" customHeight="1">
      <c r="A370" s="33">
        <v>42248</v>
      </c>
      <c r="B370" s="3">
        <v>1920.03</v>
      </c>
      <c r="C370" s="3">
        <v>1970.09</v>
      </c>
      <c r="D370" s="3">
        <v>2020.86</v>
      </c>
      <c r="E370" s="3">
        <v>1871.91</v>
      </c>
      <c r="F370" s="3">
        <v>1920.03</v>
      </c>
      <c r="G370" s="3">
        <v>79989370000</v>
      </c>
      <c r="I370" s="15">
        <f t="shared" si="9"/>
        <v>1.0829830783894003</v>
      </c>
      <c r="J370" s="4">
        <f t="shared" si="10"/>
        <v>1.1292896465159399</v>
      </c>
      <c r="K370" s="4">
        <f t="shared" si="11"/>
        <v>1.7515351322635584</v>
      </c>
      <c r="R370" s="4">
        <f t="shared" si="14"/>
        <v>1.1100000000000001</v>
      </c>
    </row>
    <row r="371" spans="1:18" ht="14.25" customHeight="1">
      <c r="A371" s="33">
        <v>42278</v>
      </c>
      <c r="B371" s="3">
        <v>2079.36</v>
      </c>
      <c r="C371" s="3">
        <v>1919.65</v>
      </c>
      <c r="D371" s="3">
        <v>2094.3200000000002</v>
      </c>
      <c r="E371" s="3">
        <v>1893.7</v>
      </c>
      <c r="F371" s="3">
        <v>2079.36</v>
      </c>
      <c r="G371" s="3">
        <v>85844900000</v>
      </c>
      <c r="I371" s="15">
        <f t="shared" si="9"/>
        <v>1.0005049630655585</v>
      </c>
      <c r="J371" s="4">
        <f t="shared" si="10"/>
        <v>1.0225021160357033</v>
      </c>
      <c r="K371" s="4">
        <f t="shared" si="11"/>
        <v>1.5725800246229609</v>
      </c>
      <c r="R371" s="4">
        <f t="shared" si="14"/>
        <v>1.0225021160357033</v>
      </c>
    </row>
    <row r="372" spans="1:18" ht="14.25" customHeight="1">
      <c r="A372" s="33">
        <v>42309</v>
      </c>
      <c r="B372" s="3">
        <v>2080.41</v>
      </c>
      <c r="C372" s="3">
        <v>2080.7600000000002</v>
      </c>
      <c r="D372" s="3">
        <v>2116.48</v>
      </c>
      <c r="E372" s="3">
        <v>2019.39</v>
      </c>
      <c r="F372" s="3">
        <v>2080.41</v>
      </c>
      <c r="G372" s="3">
        <v>75943590000</v>
      </c>
      <c r="I372" s="15">
        <f t="shared" si="9"/>
        <v>0.98246980162564124</v>
      </c>
      <c r="J372" s="4">
        <f t="shared" si="10"/>
        <v>1.0569118587201562</v>
      </c>
      <c r="K372" s="4">
        <f t="shared" si="11"/>
        <v>1.7408251258165459</v>
      </c>
      <c r="R372" s="4">
        <f t="shared" si="14"/>
        <v>1.0569118587201562</v>
      </c>
    </row>
    <row r="373" spans="1:18" ht="14.25" customHeight="1">
      <c r="A373" s="33">
        <v>42339</v>
      </c>
      <c r="B373" s="3">
        <v>2043.94</v>
      </c>
      <c r="C373" s="3">
        <v>2082.9299999999998</v>
      </c>
      <c r="D373" s="3">
        <v>2104.27</v>
      </c>
      <c r="E373" s="3">
        <v>1993.26</v>
      </c>
      <c r="F373" s="3">
        <v>2043.94</v>
      </c>
      <c r="G373" s="3">
        <v>83649260000</v>
      </c>
      <c r="I373" s="15">
        <f t="shared" si="9"/>
        <v>0.94926465551826378</v>
      </c>
      <c r="J373" s="4">
        <f t="shared" si="10"/>
        <v>1.0953501570496198</v>
      </c>
      <c r="K373" s="4">
        <f t="shared" si="11"/>
        <v>1.8376615751930097</v>
      </c>
      <c r="R373" s="4">
        <f t="shared" si="14"/>
        <v>1.0953501570496198</v>
      </c>
    </row>
    <row r="374" spans="1:18" ht="14.25" customHeight="1">
      <c r="A374" s="33">
        <v>42370</v>
      </c>
      <c r="B374" s="3">
        <v>1940.24</v>
      </c>
      <c r="C374" s="3">
        <v>2038.2</v>
      </c>
      <c r="D374" s="3">
        <v>2038.2</v>
      </c>
      <c r="E374" s="3">
        <v>1812.29</v>
      </c>
      <c r="F374" s="3">
        <v>1940.24</v>
      </c>
      <c r="G374" s="3">
        <v>92409770000</v>
      </c>
      <c r="I374" s="15">
        <f t="shared" si="9"/>
        <v>0.99587164474498002</v>
      </c>
      <c r="J374" s="4">
        <f t="shared" si="10"/>
        <v>1.1745299550571062</v>
      </c>
      <c r="K374" s="4">
        <f t="shared" si="11"/>
        <v>1.9143198779532429</v>
      </c>
      <c r="R374" s="4">
        <f t="shared" si="14"/>
        <v>1.1100000000000001</v>
      </c>
    </row>
    <row r="375" spans="1:18" ht="14.25" customHeight="1">
      <c r="A375" s="33">
        <v>42401</v>
      </c>
      <c r="B375" s="3">
        <v>1932.23</v>
      </c>
      <c r="C375" s="3">
        <v>1936.94</v>
      </c>
      <c r="D375" s="3">
        <v>1962.96</v>
      </c>
      <c r="E375" s="3">
        <v>1810.1</v>
      </c>
      <c r="F375" s="3">
        <v>1932.23</v>
      </c>
      <c r="G375" s="3">
        <v>93049560000</v>
      </c>
      <c r="I375" s="15">
        <f t="shared" si="9"/>
        <v>1.0659911087189411</v>
      </c>
      <c r="J375" s="4">
        <f t="shared" si="10"/>
        <v>1.2232705216252722</v>
      </c>
      <c r="K375" s="4">
        <f t="shared" si="11"/>
        <v>1.9724101168080406</v>
      </c>
      <c r="R375" s="4">
        <f t="shared" si="14"/>
        <v>1.1100000000000001</v>
      </c>
    </row>
    <row r="376" spans="1:18" ht="14.25" customHeight="1">
      <c r="A376" s="33">
        <v>42430</v>
      </c>
      <c r="B376" s="3">
        <v>2059.7399999999998</v>
      </c>
      <c r="C376" s="3">
        <v>1937.09</v>
      </c>
      <c r="D376" s="3">
        <v>2072.21</v>
      </c>
      <c r="E376" s="3">
        <v>1937.09</v>
      </c>
      <c r="F376" s="3">
        <v>2059.7399999999998</v>
      </c>
      <c r="G376" s="3">
        <v>92639420000</v>
      </c>
      <c r="I376" s="15">
        <f t="shared" si="9"/>
        <v>1.0026993698233759</v>
      </c>
      <c r="J376" s="4">
        <f t="shared" si="10"/>
        <v>1.1470962354471923</v>
      </c>
      <c r="K376" s="4">
        <f t="shared" si="11"/>
        <v>1.9288308233077962</v>
      </c>
      <c r="R376" s="4">
        <f t="shared" si="14"/>
        <v>1.1100000000000001</v>
      </c>
    </row>
    <row r="377" spans="1:18" ht="14.25" customHeight="1">
      <c r="A377" s="33">
        <v>42461</v>
      </c>
      <c r="B377" s="3">
        <v>2065.3000000000002</v>
      </c>
      <c r="C377" s="3">
        <v>2056.62</v>
      </c>
      <c r="D377" s="3">
        <v>2111.0500000000002</v>
      </c>
      <c r="E377" s="3">
        <v>2033.8</v>
      </c>
      <c r="F377" s="3">
        <v>2065.3000000000002</v>
      </c>
      <c r="G377" s="3">
        <v>81124990000</v>
      </c>
      <c r="I377" s="15">
        <f t="shared" si="9"/>
        <v>1.0153246501718878</v>
      </c>
      <c r="J377" s="4">
        <f t="shared" si="10"/>
        <v>1.154408560499685</v>
      </c>
      <c r="K377" s="4">
        <f t="shared" si="11"/>
        <v>2.0244855468939136</v>
      </c>
      <c r="R377" s="4">
        <f t="shared" si="14"/>
        <v>1.1100000000000001</v>
      </c>
    </row>
    <row r="378" spans="1:18" ht="14.25" customHeight="1">
      <c r="A378" s="33">
        <v>42491</v>
      </c>
      <c r="B378" s="3">
        <v>2096.9499999999998</v>
      </c>
      <c r="C378" s="3">
        <v>2067.17</v>
      </c>
      <c r="D378" s="3">
        <v>2103.48</v>
      </c>
      <c r="E378" s="3">
        <v>2025.91</v>
      </c>
      <c r="F378" s="3">
        <v>2096.9499999999998</v>
      </c>
      <c r="G378" s="3">
        <v>78883600000</v>
      </c>
      <c r="I378" s="15">
        <f t="shared" si="9"/>
        <v>1.0009108467059302</v>
      </c>
      <c r="J378" s="4">
        <f t="shared" si="10"/>
        <v>1.1501466415508239</v>
      </c>
      <c r="K378" s="4">
        <f t="shared" si="11"/>
        <v>2.0048689763704428</v>
      </c>
      <c r="R378" s="4">
        <f t="shared" si="14"/>
        <v>1.1100000000000001</v>
      </c>
    </row>
    <row r="379" spans="1:18" ht="14.25" customHeight="1">
      <c r="A379" s="33">
        <v>42522</v>
      </c>
      <c r="B379" s="3">
        <v>2098.86</v>
      </c>
      <c r="C379" s="3">
        <v>2093.94</v>
      </c>
      <c r="D379" s="3">
        <v>2120.5500000000002</v>
      </c>
      <c r="E379" s="3">
        <v>1991.68</v>
      </c>
      <c r="F379" s="3">
        <v>2098.86</v>
      </c>
      <c r="G379" s="3">
        <v>86852700000</v>
      </c>
      <c r="I379" s="15">
        <f t="shared" si="9"/>
        <v>1.0356098072286859</v>
      </c>
      <c r="J379" s="4">
        <f t="shared" si="10"/>
        <v>1.154631561895505</v>
      </c>
      <c r="K379" s="4">
        <f t="shared" si="11"/>
        <v>2.0475400931934478</v>
      </c>
      <c r="R379" s="4">
        <f t="shared" si="14"/>
        <v>1.1100000000000001</v>
      </c>
    </row>
    <row r="380" spans="1:18" ht="14.25" customHeight="1">
      <c r="A380" s="33">
        <v>42552</v>
      </c>
      <c r="B380" s="3">
        <v>2173.6</v>
      </c>
      <c r="C380" s="3">
        <v>2099.34</v>
      </c>
      <c r="D380" s="3">
        <v>2177.09</v>
      </c>
      <c r="E380" s="3">
        <v>2074.02</v>
      </c>
      <c r="F380" s="3">
        <v>2173.6</v>
      </c>
      <c r="G380" s="3">
        <v>69530250000</v>
      </c>
      <c r="I380" s="15">
        <f t="shared" si="9"/>
        <v>0.99878082443871918</v>
      </c>
      <c r="J380" s="4">
        <f t="shared" si="10"/>
        <v>1.1365016562384984</v>
      </c>
      <c r="K380" s="4">
        <f t="shared" si="11"/>
        <v>2.0221107839528893</v>
      </c>
      <c r="R380" s="4">
        <f t="shared" si="14"/>
        <v>1.1100000000000001</v>
      </c>
    </row>
    <row r="381" spans="1:18" ht="14.25" customHeight="1">
      <c r="A381" s="33">
        <v>42583</v>
      </c>
      <c r="B381" s="3">
        <v>2170.9499999999998</v>
      </c>
      <c r="C381" s="3">
        <v>2173.15</v>
      </c>
      <c r="D381" s="3">
        <v>2193.81</v>
      </c>
      <c r="E381" s="3">
        <v>2147.58</v>
      </c>
      <c r="F381" s="3">
        <v>2170.9499999999998</v>
      </c>
      <c r="G381" s="3">
        <v>75610310000</v>
      </c>
      <c r="I381" s="15">
        <f t="shared" si="9"/>
        <v>0.99876551740021657</v>
      </c>
      <c r="J381" s="4">
        <f t="shared" si="10"/>
        <v>1.1385107902070524</v>
      </c>
      <c r="K381" s="4">
        <f t="shared" si="11"/>
        <v>2.0832723001450981</v>
      </c>
      <c r="R381" s="4">
        <f t="shared" si="14"/>
        <v>1.1100000000000001</v>
      </c>
    </row>
    <row r="382" spans="1:18" ht="14.25" customHeight="1">
      <c r="A382" s="33">
        <v>42614</v>
      </c>
      <c r="B382" s="3">
        <v>2168.27</v>
      </c>
      <c r="C382" s="3">
        <v>2171.33</v>
      </c>
      <c r="D382" s="3">
        <v>2187.87</v>
      </c>
      <c r="E382" s="3">
        <v>2119.12</v>
      </c>
      <c r="F382" s="3">
        <v>2168.27</v>
      </c>
      <c r="G382" s="3">
        <v>77270240000</v>
      </c>
      <c r="I382" s="15">
        <f t="shared" si="9"/>
        <v>0.98057437496252775</v>
      </c>
      <c r="J382" s="4">
        <f t="shared" si="10"/>
        <v>1.1619217163914088</v>
      </c>
      <c r="K382" s="4">
        <f t="shared" si="11"/>
        <v>1.9866252819067736</v>
      </c>
      <c r="R382" s="4">
        <f t="shared" si="14"/>
        <v>1.1100000000000001</v>
      </c>
    </row>
    <row r="383" spans="1:18" ht="14.25" customHeight="1">
      <c r="A383" s="33">
        <v>42644</v>
      </c>
      <c r="B383" s="3">
        <v>2126.15</v>
      </c>
      <c r="C383" s="3">
        <v>2164.33</v>
      </c>
      <c r="D383" s="3">
        <v>2169.6</v>
      </c>
      <c r="E383" s="3">
        <v>2114.7199999999998</v>
      </c>
      <c r="F383" s="3">
        <v>2126.15</v>
      </c>
      <c r="G383" s="3">
        <v>73196630000</v>
      </c>
      <c r="I383" s="15">
        <f t="shared" si="9"/>
        <v>1.0341744467699832</v>
      </c>
      <c r="J383" s="4">
        <f t="shared" si="10"/>
        <v>1.2112315687980624</v>
      </c>
      <c r="K383" s="4">
        <f t="shared" si="11"/>
        <v>2.1660654234179151</v>
      </c>
      <c r="R383" s="4">
        <f t="shared" si="14"/>
        <v>1.1100000000000001</v>
      </c>
    </row>
    <row r="384" spans="1:18" ht="14.25" customHeight="1">
      <c r="A384" s="33">
        <v>42675</v>
      </c>
      <c r="B384" s="3">
        <v>2198.81</v>
      </c>
      <c r="C384" s="3">
        <v>2128.6799999999998</v>
      </c>
      <c r="D384" s="3">
        <v>2214.1</v>
      </c>
      <c r="E384" s="3">
        <v>2083.79</v>
      </c>
      <c r="F384" s="3">
        <v>2198.81</v>
      </c>
      <c r="G384" s="3">
        <v>88299760000</v>
      </c>
      <c r="I384" s="15">
        <f t="shared" si="9"/>
        <v>1.018200754044233</v>
      </c>
      <c r="J384" s="4">
        <f t="shared" si="10"/>
        <v>1.2040967614300462</v>
      </c>
      <c r="K384" s="4">
        <f t="shared" si="11"/>
        <v>2.0770325767119489</v>
      </c>
      <c r="R384" s="4">
        <f t="shared" si="14"/>
        <v>1.1100000000000001</v>
      </c>
    </row>
    <row r="385" spans="1:18" ht="14.25" customHeight="1">
      <c r="A385" s="33">
        <v>42705</v>
      </c>
      <c r="B385" s="3">
        <v>2238.83</v>
      </c>
      <c r="C385" s="3">
        <v>2200.17</v>
      </c>
      <c r="D385" s="3">
        <v>2277.5300000000002</v>
      </c>
      <c r="E385" s="3">
        <v>2187.44</v>
      </c>
      <c r="F385" s="3">
        <v>2238.83</v>
      </c>
      <c r="G385" s="3">
        <v>75251240000</v>
      </c>
      <c r="I385" s="15">
        <f t="shared" si="9"/>
        <v>1.0178843413747358</v>
      </c>
      <c r="J385" s="4">
        <f t="shared" si="10"/>
        <v>1.1941996489237683</v>
      </c>
      <c r="K385" s="4">
        <f t="shared" si="11"/>
        <v>2.1288708834525178</v>
      </c>
      <c r="R385" s="4">
        <f t="shared" si="14"/>
        <v>1.1100000000000001</v>
      </c>
    </row>
    <row r="386" spans="1:18" ht="14.25" customHeight="1">
      <c r="A386" s="33">
        <v>42736</v>
      </c>
      <c r="B386" s="3">
        <v>2278.87</v>
      </c>
      <c r="C386" s="3">
        <v>2251.5700000000002</v>
      </c>
      <c r="D386" s="3">
        <v>2300.9899999999998</v>
      </c>
      <c r="E386" s="3">
        <v>2245.13</v>
      </c>
      <c r="F386" s="3">
        <v>2278.87</v>
      </c>
      <c r="G386" s="3">
        <v>70483180000</v>
      </c>
      <c r="I386" s="15">
        <f t="shared" si="9"/>
        <v>1.0371982605414087</v>
      </c>
      <c r="J386" s="4">
        <f t="shared" si="10"/>
        <v>1.2391272867693199</v>
      </c>
      <c r="K386" s="4">
        <f t="shared" si="11"/>
        <v>1.9814864384541464</v>
      </c>
      <c r="R386" s="4">
        <f t="shared" si="14"/>
        <v>1.1100000000000001</v>
      </c>
    </row>
    <row r="387" spans="1:18" ht="14.25" customHeight="1">
      <c r="A387" s="33">
        <v>42767</v>
      </c>
      <c r="B387" s="3">
        <v>2363.64</v>
      </c>
      <c r="C387" s="3">
        <v>2285.59</v>
      </c>
      <c r="D387" s="3">
        <v>2371.54</v>
      </c>
      <c r="E387" s="3">
        <v>2271.65</v>
      </c>
      <c r="F387" s="3">
        <v>2363.64</v>
      </c>
      <c r="G387" s="3">
        <v>69162420000</v>
      </c>
      <c r="I387" s="15">
        <f t="shared" si="9"/>
        <v>0.99961076982958486</v>
      </c>
      <c r="J387" s="4">
        <f t="shared" si="10"/>
        <v>1.1481570797583389</v>
      </c>
      <c r="K387" s="4">
        <f t="shared" si="11"/>
        <v>1.8505102299842615</v>
      </c>
      <c r="R387" s="4">
        <f t="shared" si="14"/>
        <v>1.1100000000000001</v>
      </c>
    </row>
    <row r="388" spans="1:18" ht="14.25" customHeight="1">
      <c r="A388" s="33">
        <v>42795</v>
      </c>
      <c r="B388" s="3">
        <v>2362.7199999999998</v>
      </c>
      <c r="C388" s="3">
        <v>2380.13</v>
      </c>
      <c r="D388" s="3">
        <v>2400.98</v>
      </c>
      <c r="E388" s="3">
        <v>2322.25</v>
      </c>
      <c r="F388" s="3">
        <v>2362.7199999999998</v>
      </c>
      <c r="G388" s="3">
        <v>81547770000</v>
      </c>
      <c r="I388" s="15">
        <f t="shared" si="9"/>
        <v>1.009091216902553</v>
      </c>
      <c r="J388" s="4">
        <f t="shared" si="10"/>
        <v>1.1177244870318954</v>
      </c>
      <c r="K388" s="4">
        <f t="shared" si="11"/>
        <v>1.917455305749306</v>
      </c>
      <c r="R388" s="4">
        <f t="shared" si="14"/>
        <v>1.1100000000000001</v>
      </c>
    </row>
    <row r="389" spans="1:18" ht="14.25" customHeight="1">
      <c r="A389" s="33">
        <v>42826</v>
      </c>
      <c r="B389" s="3">
        <v>2384.1999999999998</v>
      </c>
      <c r="C389" s="3">
        <v>2362.34</v>
      </c>
      <c r="D389" s="3">
        <v>2398.16</v>
      </c>
      <c r="E389" s="3">
        <v>2328.9499999999998</v>
      </c>
      <c r="F389" s="3">
        <v>2384.1999999999998</v>
      </c>
      <c r="G389" s="3">
        <v>65265670000</v>
      </c>
      <c r="I389" s="15">
        <f t="shared" si="9"/>
        <v>1.0115762100494927</v>
      </c>
      <c r="J389" s="4">
        <f t="shared" si="10"/>
        <v>1.1106660515057463</v>
      </c>
      <c r="K389" s="4">
        <f t="shared" si="11"/>
        <v>1.7330467242680985</v>
      </c>
      <c r="R389" s="4">
        <f t="shared" si="14"/>
        <v>1.1100000000000001</v>
      </c>
    </row>
    <row r="390" spans="1:18" ht="14.25" customHeight="1">
      <c r="A390" s="33">
        <v>42856</v>
      </c>
      <c r="B390" s="3">
        <v>2411.8000000000002</v>
      </c>
      <c r="C390" s="3">
        <v>2388.5</v>
      </c>
      <c r="D390" s="3">
        <v>2418.71</v>
      </c>
      <c r="E390" s="3">
        <v>2352.7199999999998</v>
      </c>
      <c r="F390" s="3">
        <v>2411.8000000000002</v>
      </c>
      <c r="G390" s="3">
        <v>79607170000</v>
      </c>
      <c r="I390" s="15">
        <f t="shared" si="9"/>
        <v>1.0048138319927025</v>
      </c>
      <c r="J390" s="4">
        <f t="shared" si="10"/>
        <v>1.1216809022306991</v>
      </c>
      <c r="K390" s="4">
        <f t="shared" si="11"/>
        <v>1.7096525416701218</v>
      </c>
      <c r="R390" s="4">
        <f t="shared" si="14"/>
        <v>1.1100000000000001</v>
      </c>
    </row>
    <row r="391" spans="1:18" ht="14.25" customHeight="1">
      <c r="A391" s="33">
        <v>42887</v>
      </c>
      <c r="B391" s="3">
        <v>2423.41</v>
      </c>
      <c r="C391" s="3">
        <v>2415.65</v>
      </c>
      <c r="D391" s="3">
        <v>2453.8200000000002</v>
      </c>
      <c r="E391" s="3">
        <v>2405.6999999999998</v>
      </c>
      <c r="F391" s="3">
        <v>2423.41</v>
      </c>
      <c r="G391" s="3">
        <v>81002490000</v>
      </c>
      <c r="I391" s="15">
        <f t="shared" si="9"/>
        <v>1.0193487688835154</v>
      </c>
      <c r="J391" s="4">
        <f t="shared" si="10"/>
        <v>1.1217127931303412</v>
      </c>
      <c r="K391" s="4">
        <f t="shared" si="11"/>
        <v>1.7014619895106484</v>
      </c>
      <c r="R391" s="4">
        <f t="shared" si="14"/>
        <v>1.1100000000000001</v>
      </c>
    </row>
    <row r="392" spans="1:18" ht="14.25" customHeight="1">
      <c r="A392" s="33">
        <v>42917</v>
      </c>
      <c r="B392" s="3">
        <v>2470.3000000000002</v>
      </c>
      <c r="C392" s="3">
        <v>2431.39</v>
      </c>
      <c r="D392" s="3">
        <v>2484.04</v>
      </c>
      <c r="E392" s="3">
        <v>2407.6999999999998</v>
      </c>
      <c r="F392" s="3">
        <v>2470.3000000000002</v>
      </c>
      <c r="G392" s="3">
        <v>63169400000</v>
      </c>
      <c r="I392" s="15">
        <f t="shared" si="9"/>
        <v>1.0005464923288669</v>
      </c>
      <c r="J392" s="4">
        <f t="shared" si="10"/>
        <v>1.140059911751609</v>
      </c>
      <c r="K392" s="4"/>
      <c r="R392" s="4">
        <f t="shared" si="14"/>
        <v>1.1100000000000001</v>
      </c>
    </row>
    <row r="393" spans="1:18" ht="14.25" customHeight="1">
      <c r="A393" s="33">
        <v>42948</v>
      </c>
      <c r="B393" s="3">
        <v>2471.65</v>
      </c>
      <c r="C393" s="3">
        <v>2477.1</v>
      </c>
      <c r="D393" s="3">
        <v>2490.87</v>
      </c>
      <c r="E393" s="3">
        <v>2417.35</v>
      </c>
      <c r="F393" s="3">
        <v>2471.65</v>
      </c>
      <c r="G393" s="3">
        <v>70616030000</v>
      </c>
      <c r="I393" s="15">
        <f t="shared" si="9"/>
        <v>1.0193028948273422</v>
      </c>
      <c r="J393" s="4">
        <f t="shared" si="10"/>
        <v>1.1739202556996338</v>
      </c>
      <c r="K393" s="4"/>
      <c r="R393" s="4">
        <f t="shared" si="14"/>
        <v>1.1100000000000001</v>
      </c>
    </row>
    <row r="394" spans="1:18" ht="14.25" customHeight="1">
      <c r="A394" s="33">
        <v>42979</v>
      </c>
      <c r="B394" s="3">
        <v>2519.36</v>
      </c>
      <c r="C394" s="3">
        <v>2474.42</v>
      </c>
      <c r="D394" s="3">
        <v>2519.44</v>
      </c>
      <c r="E394" s="3">
        <v>2446.5500000000002</v>
      </c>
      <c r="F394" s="3">
        <v>2519.36</v>
      </c>
      <c r="G394" s="3">
        <v>66337980000</v>
      </c>
      <c r="I394" s="15">
        <f t="shared" si="9"/>
        <v>1.022188174774546</v>
      </c>
      <c r="J394" s="4">
        <f t="shared" si="10"/>
        <v>1.1566350184173757</v>
      </c>
      <c r="K394" s="4"/>
      <c r="R394" s="4">
        <f t="shared" si="14"/>
        <v>1.1100000000000001</v>
      </c>
    </row>
    <row r="395" spans="1:18" ht="14.25" customHeight="1">
      <c r="A395" s="33">
        <v>43009</v>
      </c>
      <c r="B395" s="3">
        <v>2575.2600000000002</v>
      </c>
      <c r="C395" s="3">
        <v>2521.1999999999998</v>
      </c>
      <c r="D395" s="3">
        <v>2582.98</v>
      </c>
      <c r="E395" s="3">
        <v>2520.4</v>
      </c>
      <c r="F395" s="3">
        <v>2575.2600000000002</v>
      </c>
      <c r="G395" s="3">
        <v>70871570000</v>
      </c>
      <c r="I395" s="15">
        <f t="shared" si="9"/>
        <v>1.0280826013684055</v>
      </c>
      <c r="J395" s="4">
        <f t="shared" si="10"/>
        <v>1.0529965906355085</v>
      </c>
      <c r="K395" s="4"/>
      <c r="R395" s="4">
        <f t="shared" si="14"/>
        <v>1.0529965906355085</v>
      </c>
    </row>
    <row r="396" spans="1:18" ht="14.25" customHeight="1">
      <c r="A396" s="33">
        <v>43040</v>
      </c>
      <c r="B396" s="3">
        <v>2647.58</v>
      </c>
      <c r="C396" s="3">
        <v>2583.21</v>
      </c>
      <c r="D396" s="3">
        <v>2657.74</v>
      </c>
      <c r="E396" s="3">
        <v>2557.4499999999998</v>
      </c>
      <c r="F396" s="3">
        <v>2647.58</v>
      </c>
      <c r="G396" s="3">
        <v>73173260000</v>
      </c>
      <c r="I396" s="15">
        <f t="shared" si="9"/>
        <v>1.0098316198188535</v>
      </c>
      <c r="J396" s="4">
        <f t="shared" si="10"/>
        <v>1.042525627176516</v>
      </c>
      <c r="K396" s="4"/>
      <c r="R396" s="4">
        <f t="shared" si="14"/>
        <v>1.042525627176516</v>
      </c>
    </row>
    <row r="397" spans="1:18" ht="14.25" customHeight="1">
      <c r="A397" s="33">
        <v>43070</v>
      </c>
      <c r="B397" s="3">
        <v>2673.61</v>
      </c>
      <c r="C397" s="3">
        <v>2645.1</v>
      </c>
      <c r="D397" s="3">
        <v>2694.97</v>
      </c>
      <c r="E397" s="3">
        <v>2605.52</v>
      </c>
      <c r="F397" s="3">
        <v>2673.61</v>
      </c>
      <c r="G397" s="3">
        <v>65251190000</v>
      </c>
      <c r="I397" s="15">
        <f t="shared" si="9"/>
        <v>1.0561787246457037</v>
      </c>
      <c r="J397" s="4">
        <f t="shared" si="10"/>
        <v>0.93762740265034905</v>
      </c>
      <c r="K397" s="4"/>
      <c r="R397" s="4">
        <f t="shared" si="14"/>
        <v>1</v>
      </c>
    </row>
    <row r="398" spans="1:18" ht="14.25" customHeight="1">
      <c r="A398" s="33">
        <v>43101</v>
      </c>
      <c r="B398" s="3">
        <v>2823.81</v>
      </c>
      <c r="C398" s="3">
        <v>2683.73</v>
      </c>
      <c r="D398" s="3">
        <v>2872.87</v>
      </c>
      <c r="E398" s="3">
        <v>2682.36</v>
      </c>
      <c r="F398" s="3">
        <v>2823.81</v>
      </c>
      <c r="G398" s="3">
        <v>76860120000</v>
      </c>
      <c r="I398" s="15">
        <f t="shared" si="9"/>
        <v>0.96105262039584816</v>
      </c>
      <c r="J398" s="4">
        <f t="shared" si="10"/>
        <v>0.95760692114554447</v>
      </c>
      <c r="K398" s="4"/>
      <c r="R398" s="4">
        <f t="shared" si="14"/>
        <v>1</v>
      </c>
    </row>
    <row r="399" spans="1:18" ht="14.25" customHeight="1">
      <c r="A399" s="33">
        <v>43132</v>
      </c>
      <c r="B399" s="3">
        <v>2713.83</v>
      </c>
      <c r="C399" s="3">
        <v>2816.45</v>
      </c>
      <c r="D399" s="3">
        <v>2835.96</v>
      </c>
      <c r="E399" s="3">
        <v>2532.69</v>
      </c>
      <c r="F399" s="3">
        <v>2713.83</v>
      </c>
      <c r="G399" s="3">
        <v>79579410000</v>
      </c>
      <c r="I399" s="15">
        <f t="shared" si="9"/>
        <v>0.97311548623163568</v>
      </c>
      <c r="J399" s="4">
        <f t="shared" si="10"/>
        <v>1.0260370030547235</v>
      </c>
      <c r="K399" s="4"/>
      <c r="R399" s="4">
        <f t="shared" si="14"/>
        <v>1.0260370030547235</v>
      </c>
    </row>
    <row r="400" spans="1:18" ht="14.25" customHeight="1">
      <c r="A400" s="33">
        <v>43160</v>
      </c>
      <c r="B400" s="3">
        <v>2640.87</v>
      </c>
      <c r="C400" s="3">
        <v>2715.22</v>
      </c>
      <c r="D400" s="3">
        <v>2801.9</v>
      </c>
      <c r="E400" s="3">
        <v>2585.89</v>
      </c>
      <c r="F400" s="3">
        <v>2640.87</v>
      </c>
      <c r="G400" s="3">
        <v>76369800000</v>
      </c>
      <c r="I400" s="15">
        <f t="shared" si="9"/>
        <v>1.0027188010011854</v>
      </c>
      <c r="J400" s="4">
        <f t="shared" si="10"/>
        <v>1.0732826682116121</v>
      </c>
      <c r="K400" s="4"/>
      <c r="R400" s="4">
        <f t="shared" si="14"/>
        <v>1.0732826682116121</v>
      </c>
    </row>
    <row r="401" spans="1:18" ht="14.25" customHeight="1">
      <c r="A401" s="33">
        <v>43191</v>
      </c>
      <c r="B401" s="3">
        <v>2648.05</v>
      </c>
      <c r="C401" s="3">
        <v>2633.45</v>
      </c>
      <c r="D401" s="3">
        <v>2717.49</v>
      </c>
      <c r="E401" s="3">
        <v>2553.8000000000002</v>
      </c>
      <c r="F401" s="3">
        <v>2648.05</v>
      </c>
      <c r="G401" s="3">
        <v>69648590000</v>
      </c>
      <c r="I401" s="15">
        <f t="shared" si="9"/>
        <v>1.0216083533165914</v>
      </c>
      <c r="J401" s="4">
        <f t="shared" si="10"/>
        <v>1.1124525594305243</v>
      </c>
      <c r="K401" s="4"/>
      <c r="R401" s="4">
        <f t="shared" si="14"/>
        <v>1.1100000000000001</v>
      </c>
    </row>
    <row r="402" spans="1:18" ht="14.25" customHeight="1">
      <c r="A402" s="33">
        <v>43221</v>
      </c>
      <c r="B402" s="3">
        <v>2705.27</v>
      </c>
      <c r="C402" s="3">
        <v>2642.96</v>
      </c>
      <c r="D402" s="3">
        <v>2742.24</v>
      </c>
      <c r="E402" s="3">
        <v>2594.62</v>
      </c>
      <c r="F402" s="3">
        <v>2705.27</v>
      </c>
      <c r="G402" s="3">
        <v>75617280000</v>
      </c>
      <c r="I402" s="15">
        <f t="shared" si="9"/>
        <v>1.0048424002040461</v>
      </c>
      <c r="J402" s="4">
        <f t="shared" si="10"/>
        <v>1.0172958706524673</v>
      </c>
      <c r="K402" s="4"/>
      <c r="R402" s="4">
        <f t="shared" si="14"/>
        <v>1.0172958706524673</v>
      </c>
    </row>
    <row r="403" spans="1:18" ht="14.25" customHeight="1">
      <c r="A403" s="33">
        <v>43252</v>
      </c>
      <c r="B403" s="3">
        <v>2718.37</v>
      </c>
      <c r="C403" s="3">
        <v>2718.7</v>
      </c>
      <c r="D403" s="3">
        <v>2791.47</v>
      </c>
      <c r="E403" s="3">
        <v>2691.99</v>
      </c>
      <c r="F403" s="3">
        <v>2718.37</v>
      </c>
      <c r="G403" s="3">
        <v>77439710000</v>
      </c>
      <c r="I403" s="15">
        <f t="shared" si="9"/>
        <v>1.0360215864654188</v>
      </c>
      <c r="J403" s="4">
        <f t="shared" si="10"/>
        <v>1.0821779227993247</v>
      </c>
      <c r="K403" s="4"/>
      <c r="R403" s="4">
        <f t="shared" si="14"/>
        <v>1.0821779227993247</v>
      </c>
    </row>
    <row r="404" spans="1:18" ht="14.25" customHeight="1">
      <c r="A404" s="33">
        <v>43282</v>
      </c>
      <c r="B404" s="3">
        <v>2816.29</v>
      </c>
      <c r="C404" s="3">
        <v>2704.95</v>
      </c>
      <c r="D404" s="3">
        <v>2848.03</v>
      </c>
      <c r="E404" s="3">
        <v>2698.95</v>
      </c>
      <c r="F404" s="3">
        <v>2816.29</v>
      </c>
      <c r="G404" s="3">
        <v>64542170000</v>
      </c>
      <c r="I404" s="15">
        <f t="shared" si="9"/>
        <v>1.0302632186316041</v>
      </c>
      <c r="J404" s="4">
        <f t="shared" si="10"/>
        <v>1.0582645963306336</v>
      </c>
      <c r="K404" s="4"/>
      <c r="R404" s="4">
        <f t="shared" si="14"/>
        <v>1.0582645963306336</v>
      </c>
    </row>
    <row r="405" spans="1:18" ht="14.25" customHeight="1">
      <c r="A405" s="33">
        <v>43313</v>
      </c>
      <c r="B405" s="3">
        <v>2901.52</v>
      </c>
      <c r="C405" s="3">
        <v>2821.17</v>
      </c>
      <c r="D405" s="3">
        <v>2916.5</v>
      </c>
      <c r="E405" s="3">
        <v>2796.34</v>
      </c>
      <c r="F405" s="3">
        <v>2901.52</v>
      </c>
      <c r="G405" s="3">
        <v>69238220000</v>
      </c>
      <c r="I405" s="15">
        <f t="shared" si="9"/>
        <v>1.0042943009181395</v>
      </c>
      <c r="J405" s="4">
        <f t="shared" si="10"/>
        <v>1.0085954947751523</v>
      </c>
      <c r="K405" s="4"/>
      <c r="R405" s="4">
        <f t="shared" si="14"/>
        <v>1.0085954947751523</v>
      </c>
    </row>
    <row r="406" spans="1:18" ht="14.25" customHeight="1">
      <c r="A406" s="33">
        <v>43344</v>
      </c>
      <c r="B406" s="3">
        <v>2913.98</v>
      </c>
      <c r="C406" s="3">
        <v>2896.96</v>
      </c>
      <c r="D406" s="3">
        <v>2940.91</v>
      </c>
      <c r="E406" s="3">
        <v>2864.12</v>
      </c>
      <c r="F406" s="3">
        <v>2913.98</v>
      </c>
      <c r="G406" s="3">
        <v>62492080000</v>
      </c>
      <c r="I406" s="15">
        <f t="shared" si="9"/>
        <v>0.93059664102018536</v>
      </c>
      <c r="J406" s="4">
        <f t="shared" si="10"/>
        <v>1.0215375534492344</v>
      </c>
      <c r="K406" s="4"/>
      <c r="R406" s="4">
        <f t="shared" si="14"/>
        <v>1.0215375534492344</v>
      </c>
    </row>
    <row r="407" spans="1:18" ht="14.25" customHeight="1">
      <c r="A407" s="33">
        <v>43374</v>
      </c>
      <c r="B407" s="3">
        <v>2711.74</v>
      </c>
      <c r="C407" s="3">
        <v>2926.29</v>
      </c>
      <c r="D407" s="3">
        <v>2939.86</v>
      </c>
      <c r="E407" s="3">
        <v>2603.54</v>
      </c>
      <c r="F407" s="3">
        <v>2711.74</v>
      </c>
      <c r="G407" s="3">
        <v>91327930000</v>
      </c>
      <c r="I407" s="15">
        <f t="shared" si="9"/>
        <v>1.0178593817991402</v>
      </c>
      <c r="J407" s="4">
        <f t="shared" si="10"/>
        <v>1.1201516369563453</v>
      </c>
      <c r="R407" s="4">
        <f t="shared" si="14"/>
        <v>1.1100000000000001</v>
      </c>
    </row>
    <row r="408" spans="1:18" ht="14.25" customHeight="1">
      <c r="A408" s="33">
        <v>43405</v>
      </c>
      <c r="B408" s="3">
        <v>2760.17</v>
      </c>
      <c r="C408" s="3">
        <v>2717.58</v>
      </c>
      <c r="D408" s="3">
        <v>2815.15</v>
      </c>
      <c r="E408" s="3">
        <v>2631.09</v>
      </c>
      <c r="F408" s="3">
        <v>2760.17</v>
      </c>
      <c r="G408" s="3">
        <v>80080110000</v>
      </c>
      <c r="I408" s="15">
        <f t="shared" si="9"/>
        <v>0.90822304423278266</v>
      </c>
      <c r="J408" s="4">
        <f t="shared" si="10"/>
        <v>1.1379661397667535</v>
      </c>
      <c r="R408" s="4">
        <f t="shared" si="14"/>
        <v>1.1100000000000001</v>
      </c>
    </row>
    <row r="409" spans="1:18" ht="14.25" customHeight="1">
      <c r="A409" s="33">
        <v>43435</v>
      </c>
      <c r="B409" s="3">
        <v>2506.85</v>
      </c>
      <c r="C409" s="3">
        <v>2790.5</v>
      </c>
      <c r="D409" s="3">
        <v>2800.18</v>
      </c>
      <c r="E409" s="3">
        <v>2346.58</v>
      </c>
      <c r="F409" s="3">
        <v>2506.85</v>
      </c>
      <c r="G409" s="3">
        <v>83522570000</v>
      </c>
      <c r="I409" s="15">
        <f t="shared" si="9"/>
        <v>1.0786844047310369</v>
      </c>
      <c r="J409" s="4">
        <f t="shared" si="10"/>
        <v>1.2887807407702896</v>
      </c>
      <c r="R409" s="4">
        <f t="shared" si="14"/>
        <v>1.1100000000000001</v>
      </c>
    </row>
    <row r="410" spans="1:18" ht="14.25" customHeight="1">
      <c r="A410" s="33">
        <v>43466</v>
      </c>
      <c r="B410" s="3">
        <v>2704.1</v>
      </c>
      <c r="C410" s="3">
        <v>2476.96</v>
      </c>
      <c r="D410" s="3">
        <v>2708.95</v>
      </c>
      <c r="E410" s="3">
        <v>2443.96</v>
      </c>
      <c r="F410" s="3">
        <v>2704.1</v>
      </c>
      <c r="G410" s="3">
        <v>80401630000</v>
      </c>
      <c r="I410" s="15">
        <f t="shared" si="9"/>
        <v>1.0297289301431161</v>
      </c>
      <c r="J410" s="4">
        <f t="shared" si="10"/>
        <v>1.1928257091083909</v>
      </c>
      <c r="R410" s="4">
        <f t="shared" si="14"/>
        <v>1.1100000000000001</v>
      </c>
    </row>
    <row r="411" spans="1:18" ht="14.25" customHeight="1">
      <c r="A411" s="33">
        <v>43497</v>
      </c>
      <c r="B411" s="3">
        <v>2784.49</v>
      </c>
      <c r="C411" s="3">
        <v>2702.32</v>
      </c>
      <c r="D411" s="3">
        <v>2813.49</v>
      </c>
      <c r="E411" s="3">
        <v>2681.83</v>
      </c>
      <c r="F411" s="3">
        <v>2784.49</v>
      </c>
      <c r="G411" s="3">
        <v>70183430000</v>
      </c>
      <c r="I411" s="15">
        <f t="shared" si="9"/>
        <v>1.0179242877510783</v>
      </c>
      <c r="J411" s="4">
        <f t="shared" si="10"/>
        <v>1.0609555071126131</v>
      </c>
      <c r="R411" s="4">
        <f t="shared" si="14"/>
        <v>1.0609555071126131</v>
      </c>
    </row>
    <row r="412" spans="1:18" ht="14.25" customHeight="1">
      <c r="A412" s="33">
        <v>43525</v>
      </c>
      <c r="B412" s="3">
        <v>2834.4</v>
      </c>
      <c r="C412" s="3">
        <v>2798.22</v>
      </c>
      <c r="D412" s="3">
        <v>2860.31</v>
      </c>
      <c r="E412" s="3">
        <v>2722.27</v>
      </c>
      <c r="F412" s="3">
        <v>2834.4</v>
      </c>
      <c r="G412" s="3">
        <v>78596280000</v>
      </c>
      <c r="I412" s="15">
        <f t="shared" si="9"/>
        <v>1.0393134349421393</v>
      </c>
      <c r="J412" s="4">
        <f t="shared" si="10"/>
        <v>0.91186494496189674</v>
      </c>
      <c r="R412" s="4">
        <f t="shared" si="14"/>
        <v>1</v>
      </c>
    </row>
    <row r="413" spans="1:18" ht="14.25" customHeight="1">
      <c r="A413" s="33">
        <v>43556</v>
      </c>
      <c r="B413" s="3">
        <v>2945.83</v>
      </c>
      <c r="C413" s="3">
        <v>2848.63</v>
      </c>
      <c r="D413" s="3">
        <v>2949.52</v>
      </c>
      <c r="E413" s="3">
        <v>2848.63</v>
      </c>
      <c r="F413" s="3">
        <v>2945.83</v>
      </c>
      <c r="G413" s="3">
        <v>69604840000</v>
      </c>
      <c r="I413" s="15">
        <f t="shared" si="9"/>
        <v>0.93422227351883846</v>
      </c>
      <c r="J413" s="4">
        <f t="shared" si="10"/>
        <v>0.98866193907998756</v>
      </c>
      <c r="R413" s="4">
        <f t="shared" si="14"/>
        <v>1</v>
      </c>
    </row>
    <row r="414" spans="1:18" ht="14.25" customHeight="1">
      <c r="A414" s="33">
        <v>43586</v>
      </c>
      <c r="B414" s="3">
        <v>2752.06</v>
      </c>
      <c r="C414" s="3">
        <v>2952.33</v>
      </c>
      <c r="D414" s="3">
        <v>2954.13</v>
      </c>
      <c r="E414" s="3">
        <v>2750.52</v>
      </c>
      <c r="F414" s="3">
        <v>2752.06</v>
      </c>
      <c r="G414" s="3">
        <v>76860120000</v>
      </c>
      <c r="I414" s="15">
        <f t="shared" si="9"/>
        <v>1.068930183208215</v>
      </c>
      <c r="J414" s="4">
        <f t="shared" si="10"/>
        <v>1.106193178927785</v>
      </c>
      <c r="R414" s="4">
        <f t="shared" si="14"/>
        <v>1.106193178927785</v>
      </c>
    </row>
    <row r="415" spans="1:18" ht="14.25" customHeight="1">
      <c r="A415" s="33">
        <v>43617</v>
      </c>
      <c r="B415" s="3">
        <v>2941.76</v>
      </c>
      <c r="C415" s="3">
        <v>2751.53</v>
      </c>
      <c r="D415" s="3">
        <v>2964.15</v>
      </c>
      <c r="E415" s="3">
        <v>2728.81</v>
      </c>
      <c r="F415" s="3">
        <v>2941.76</v>
      </c>
      <c r="G415" s="3">
        <v>70904280000</v>
      </c>
      <c r="I415" s="15">
        <f t="shared" si="9"/>
        <v>1.0131281953660394</v>
      </c>
      <c r="J415" s="4">
        <f t="shared" si="10"/>
        <v>1.0538895083215489</v>
      </c>
      <c r="R415" s="4">
        <f t="shared" si="14"/>
        <v>1.0538895083215489</v>
      </c>
    </row>
    <row r="416" spans="1:18" ht="14.25" customHeight="1">
      <c r="A416" s="33">
        <v>43647</v>
      </c>
      <c r="B416" s="3">
        <v>2980.38</v>
      </c>
      <c r="C416" s="3">
        <v>2971.41</v>
      </c>
      <c r="D416" s="3">
        <v>3027.98</v>
      </c>
      <c r="E416" s="3">
        <v>2952.22</v>
      </c>
      <c r="F416" s="3">
        <v>2980.38</v>
      </c>
      <c r="G416" s="3">
        <v>70349470000</v>
      </c>
      <c r="I416" s="15">
        <f t="shared" si="9"/>
        <v>0.98190834725773224</v>
      </c>
      <c r="J416" s="4">
        <f t="shared" si="10"/>
        <v>1.0975513189593273</v>
      </c>
      <c r="R416" s="4">
        <f t="shared" si="14"/>
        <v>1.0975513189593273</v>
      </c>
    </row>
    <row r="417" spans="1:18" ht="14.25" customHeight="1">
      <c r="A417" s="33">
        <v>43678</v>
      </c>
      <c r="B417" s="3">
        <v>2926.46</v>
      </c>
      <c r="C417" s="3">
        <v>2980.32</v>
      </c>
      <c r="D417" s="3">
        <v>3013.59</v>
      </c>
      <c r="E417" s="3">
        <v>2822.12</v>
      </c>
      <c r="F417" s="3">
        <v>2926.46</v>
      </c>
      <c r="G417" s="3">
        <v>79599440000</v>
      </c>
      <c r="I417" s="15">
        <f t="shared" si="9"/>
        <v>1.0171811676906568</v>
      </c>
      <c r="J417" s="4">
        <f t="shared" si="10"/>
        <v>1.1960901567081046</v>
      </c>
      <c r="R417" s="4">
        <f t="shared" si="14"/>
        <v>1.1100000000000001</v>
      </c>
    </row>
    <row r="418" spans="1:18" ht="14.25" customHeight="1">
      <c r="A418" s="33">
        <v>43709</v>
      </c>
      <c r="B418" s="3">
        <v>2976.74</v>
      </c>
      <c r="C418" s="3">
        <v>2909.01</v>
      </c>
      <c r="D418" s="3">
        <v>3021.99</v>
      </c>
      <c r="E418" s="3">
        <v>2891.85</v>
      </c>
      <c r="F418" s="3">
        <v>2976.74</v>
      </c>
      <c r="G418" s="3">
        <v>73992330000</v>
      </c>
      <c r="I418" s="15">
        <f t="shared" si="9"/>
        <v>1.0204317474821449</v>
      </c>
      <c r="J418" s="4">
        <f t="shared" si="10"/>
        <v>1.1297594012241581</v>
      </c>
      <c r="R418" s="4">
        <f t="shared" si="14"/>
        <v>1.1100000000000001</v>
      </c>
    </row>
    <row r="419" spans="1:18" ht="14.25" customHeight="1">
      <c r="A419" s="33">
        <v>43739</v>
      </c>
      <c r="B419" s="3">
        <v>3037.56</v>
      </c>
      <c r="C419" s="3">
        <v>2983.69</v>
      </c>
      <c r="D419" s="3">
        <v>3050.1</v>
      </c>
      <c r="E419" s="3">
        <v>2855.94</v>
      </c>
      <c r="F419" s="3">
        <v>3037.56</v>
      </c>
      <c r="G419" s="3">
        <v>77564550000</v>
      </c>
      <c r="I419" s="15">
        <f t="shared" si="9"/>
        <v>1.0340470640909152</v>
      </c>
      <c r="J419" s="4">
        <f t="shared" si="10"/>
        <v>1.0765087767813639</v>
      </c>
      <c r="R419" s="4">
        <f t="shared" si="14"/>
        <v>1.0765087767813639</v>
      </c>
    </row>
    <row r="420" spans="1:18" ht="14.25" customHeight="1">
      <c r="A420" s="33">
        <v>43770</v>
      </c>
      <c r="B420" s="3">
        <v>3140.98</v>
      </c>
      <c r="C420" s="3">
        <v>3050.72</v>
      </c>
      <c r="D420" s="3">
        <v>3154.26</v>
      </c>
      <c r="E420" s="3">
        <v>3050.72</v>
      </c>
      <c r="F420" s="3">
        <v>3140.98</v>
      </c>
      <c r="G420" s="3">
        <v>72179920000</v>
      </c>
      <c r="I420" s="15">
        <f t="shared" si="9"/>
        <v>1.0285898031824463</v>
      </c>
      <c r="J420" s="4">
        <f t="shared" si="10"/>
        <v>1.1530254888601648</v>
      </c>
      <c r="R420" s="4">
        <f t="shared" si="14"/>
        <v>1.1100000000000001</v>
      </c>
    </row>
    <row r="421" spans="1:18" ht="14.25" customHeight="1">
      <c r="A421" s="33">
        <v>43800</v>
      </c>
      <c r="B421" s="3">
        <v>3230.78</v>
      </c>
      <c r="C421" s="3">
        <v>3143.85</v>
      </c>
      <c r="D421" s="3">
        <v>3247.93</v>
      </c>
      <c r="E421" s="3">
        <v>3070.33</v>
      </c>
      <c r="F421" s="3">
        <v>3230.78</v>
      </c>
      <c r="G421" s="3">
        <v>72054000000</v>
      </c>
      <c r="I421" s="15">
        <f t="shared" si="9"/>
        <v>0.99837191018887073</v>
      </c>
      <c r="J421" s="4">
        <f t="shared" si="10"/>
        <v>1.1625892199406953</v>
      </c>
      <c r="R421" s="4">
        <f t="shared" si="14"/>
        <v>1.1100000000000001</v>
      </c>
    </row>
    <row r="422" spans="1:18" ht="14.25" customHeight="1">
      <c r="A422" s="33">
        <v>43831</v>
      </c>
      <c r="B422" s="3">
        <v>3225.52</v>
      </c>
      <c r="C422" s="3">
        <v>3244.67</v>
      </c>
      <c r="D422" s="3">
        <v>3337.77</v>
      </c>
      <c r="E422" s="3">
        <v>3214.64</v>
      </c>
      <c r="F422" s="3">
        <v>3225.52</v>
      </c>
      <c r="G422" s="3">
        <v>77104420000</v>
      </c>
      <c r="I422" s="15">
        <f t="shared" si="9"/>
        <v>0.91588953099035186</v>
      </c>
      <c r="J422" s="4">
        <f t="shared" si="10"/>
        <v>1.1515166546789355</v>
      </c>
      <c r="R422" s="4">
        <f t="shared" si="14"/>
        <v>1.1100000000000001</v>
      </c>
    </row>
    <row r="423" spans="1:18" ht="14.25" customHeight="1">
      <c r="A423" s="33">
        <v>43862</v>
      </c>
      <c r="B423" s="3">
        <v>2954.22</v>
      </c>
      <c r="C423" s="3">
        <v>3235.66</v>
      </c>
      <c r="D423" s="3">
        <v>3393.52</v>
      </c>
      <c r="E423" s="3">
        <v>2855.84</v>
      </c>
      <c r="F423" s="3">
        <v>2954.22</v>
      </c>
      <c r="G423" s="3">
        <v>84292270000</v>
      </c>
      <c r="I423" s="15">
        <f t="shared" si="9"/>
        <v>0.87488067916404344</v>
      </c>
      <c r="J423" s="4">
        <f t="shared" si="10"/>
        <v>1.2900697984577996</v>
      </c>
      <c r="R423" s="4">
        <f t="shared" si="14"/>
        <v>1.1100000000000001</v>
      </c>
    </row>
    <row r="424" spans="1:18" ht="14.25" customHeight="1">
      <c r="A424" s="33">
        <v>43891</v>
      </c>
      <c r="B424" s="3">
        <v>2584.59</v>
      </c>
      <c r="C424" s="3">
        <v>2974.28</v>
      </c>
      <c r="D424" s="3">
        <v>3136.72</v>
      </c>
      <c r="E424" s="3">
        <v>2191.86</v>
      </c>
      <c r="F424" s="3">
        <v>2584.59</v>
      </c>
      <c r="G424" s="3">
        <v>161801000000</v>
      </c>
      <c r="I424" s="15">
        <f t="shared" si="9"/>
        <v>1.1268441029331537</v>
      </c>
      <c r="J424" s="4">
        <f t="shared" si="10"/>
        <v>1.5371451564851677</v>
      </c>
      <c r="R424" s="4">
        <f t="shared" si="14"/>
        <v>1.1100000000000001</v>
      </c>
    </row>
    <row r="425" spans="1:18" ht="14.25" customHeight="1">
      <c r="A425" s="33">
        <v>43922</v>
      </c>
      <c r="B425" s="3">
        <v>2912.43</v>
      </c>
      <c r="C425" s="3">
        <v>2498.08</v>
      </c>
      <c r="D425" s="3">
        <v>2954.86</v>
      </c>
      <c r="E425" s="3">
        <v>2447.4899999999998</v>
      </c>
      <c r="F425" s="3">
        <v>2912.43</v>
      </c>
      <c r="G425" s="3">
        <v>123163000000</v>
      </c>
      <c r="I425" s="15">
        <f t="shared" si="9"/>
        <v>1.0452817750126184</v>
      </c>
      <c r="J425" s="4">
        <f t="shared" si="10"/>
        <v>1.4356293541819032</v>
      </c>
      <c r="R425" s="4">
        <f t="shared" si="14"/>
        <v>1.1100000000000001</v>
      </c>
    </row>
    <row r="426" spans="1:18" ht="14.25" customHeight="1">
      <c r="A426" s="33">
        <v>43952</v>
      </c>
      <c r="B426" s="3">
        <v>3044.31</v>
      </c>
      <c r="C426" s="3">
        <v>2869.09</v>
      </c>
      <c r="D426" s="3">
        <v>3068.67</v>
      </c>
      <c r="E426" s="3">
        <v>2766.64</v>
      </c>
      <c r="F426" s="3">
        <v>3044.31</v>
      </c>
      <c r="G426" s="3">
        <v>106799000000</v>
      </c>
      <c r="I426" s="15">
        <f t="shared" si="9"/>
        <v>1.0183884032835027</v>
      </c>
      <c r="J426" s="4">
        <f t="shared" si="10"/>
        <v>1.3809730283709609</v>
      </c>
      <c r="R426" s="4">
        <f t="shared" si="14"/>
        <v>1.1100000000000001</v>
      </c>
    </row>
    <row r="427" spans="1:18" ht="14.25" customHeight="1">
      <c r="A427" s="33">
        <v>43983</v>
      </c>
      <c r="B427" s="3">
        <v>3100.29</v>
      </c>
      <c r="C427" s="3">
        <v>3038.78</v>
      </c>
      <c r="D427" s="3">
        <v>3233.13</v>
      </c>
      <c r="E427" s="3">
        <v>2965.66</v>
      </c>
      <c r="F427" s="3">
        <v>3100.29</v>
      </c>
      <c r="G427" s="3">
        <v>131044000000</v>
      </c>
      <c r="I427" s="15">
        <f t="shared" si="9"/>
        <v>1.0551012969754443</v>
      </c>
      <c r="J427" s="4">
        <f t="shared" si="10"/>
        <v>1.3861606494876286</v>
      </c>
      <c r="R427" s="4">
        <f t="shared" si="14"/>
        <v>1.1100000000000001</v>
      </c>
    </row>
    <row r="428" spans="1:18" ht="14.25" customHeight="1">
      <c r="A428" s="33">
        <v>44013</v>
      </c>
      <c r="B428" s="3">
        <v>3271.12</v>
      </c>
      <c r="C428" s="3">
        <v>3105.92</v>
      </c>
      <c r="D428" s="3">
        <v>3279.99</v>
      </c>
      <c r="E428" s="3">
        <v>3101.17</v>
      </c>
      <c r="F428" s="3">
        <v>3271.12</v>
      </c>
      <c r="G428" s="3">
        <v>97197020000</v>
      </c>
      <c r="I428" s="15">
        <f t="shared" si="9"/>
        <v>1.0700646873242192</v>
      </c>
      <c r="J428" s="4">
        <f t="shared" si="10"/>
        <v>1.3436559955000122</v>
      </c>
      <c r="R428" s="4">
        <f t="shared" si="14"/>
        <v>1.1100000000000001</v>
      </c>
    </row>
    <row r="429" spans="1:18" ht="14.25" customHeight="1">
      <c r="A429" s="33">
        <v>44044</v>
      </c>
      <c r="B429" s="3">
        <v>3500.31</v>
      </c>
      <c r="C429" s="3">
        <v>3288.26</v>
      </c>
      <c r="D429" s="3">
        <v>3514.77</v>
      </c>
      <c r="E429" s="3">
        <v>3284.53</v>
      </c>
      <c r="F429" s="3">
        <v>3500.31</v>
      </c>
      <c r="G429" s="3">
        <v>84402300000</v>
      </c>
      <c r="I429" s="15">
        <f t="shared" si="9"/>
        <v>0.9607720459045056</v>
      </c>
      <c r="J429" s="4">
        <f t="shared" si="10"/>
        <v>1.2920798443566428</v>
      </c>
      <c r="R429" s="4">
        <f t="shared" si="14"/>
        <v>1.1100000000000001</v>
      </c>
    </row>
    <row r="430" spans="1:18" ht="14.25" customHeight="1">
      <c r="A430" s="33">
        <v>44075</v>
      </c>
      <c r="B430" s="3">
        <v>3363</v>
      </c>
      <c r="C430" s="3">
        <v>3507.44</v>
      </c>
      <c r="D430" s="3">
        <v>3588.11</v>
      </c>
      <c r="E430" s="3">
        <v>3209.45</v>
      </c>
      <c r="F430" s="3">
        <v>3363</v>
      </c>
      <c r="G430" s="3">
        <v>92084120000</v>
      </c>
      <c r="I430" s="15">
        <f t="shared" si="9"/>
        <v>0.9723342253939935</v>
      </c>
      <c r="J430" s="4">
        <f t="shared" si="10"/>
        <v>1.2808623253047873</v>
      </c>
      <c r="R430" s="4">
        <f t="shared" si="14"/>
        <v>1.1100000000000001</v>
      </c>
    </row>
    <row r="431" spans="1:18" ht="14.25" customHeight="1">
      <c r="A431" s="33">
        <v>44105</v>
      </c>
      <c r="B431" s="3">
        <v>3269.96</v>
      </c>
      <c r="C431" s="3">
        <v>3385.87</v>
      </c>
      <c r="D431" s="3">
        <v>3549.85</v>
      </c>
      <c r="E431" s="3">
        <v>3233.94</v>
      </c>
      <c r="F431" s="3">
        <v>3269.96</v>
      </c>
      <c r="G431" s="3">
        <v>89737600000</v>
      </c>
      <c r="I431" s="15">
        <f t="shared" si="9"/>
        <v>1.1075456580508631</v>
      </c>
      <c r="J431" s="4">
        <f t="shared" si="10"/>
        <v>1.4083903167011218</v>
      </c>
      <c r="R431" s="4">
        <f t="shared" si="14"/>
        <v>1.1100000000000001</v>
      </c>
    </row>
    <row r="432" spans="1:18" ht="14.25" customHeight="1">
      <c r="A432" s="33">
        <v>44136</v>
      </c>
      <c r="B432" s="3">
        <v>3621.63</v>
      </c>
      <c r="C432" s="3">
        <v>3296.2</v>
      </c>
      <c r="D432" s="3">
        <v>3645.99</v>
      </c>
      <c r="E432" s="3">
        <v>3279.74</v>
      </c>
      <c r="F432" s="3">
        <v>3621.63</v>
      </c>
      <c r="G432" s="3">
        <v>100978000000</v>
      </c>
      <c r="I432" s="15">
        <f t="shared" si="9"/>
        <v>1.0371214066594323</v>
      </c>
      <c r="J432" s="4">
        <f t="shared" si="10"/>
        <v>1.2610343961144568</v>
      </c>
      <c r="R432" s="4">
        <f t="shared" si="14"/>
        <v>1.1100000000000001</v>
      </c>
    </row>
    <row r="433" spans="1:18" ht="14.25" customHeight="1">
      <c r="A433" s="33">
        <v>44166</v>
      </c>
      <c r="B433" s="3">
        <v>3756.07</v>
      </c>
      <c r="C433" s="3">
        <v>3645.87</v>
      </c>
      <c r="D433" s="3">
        <v>3760.2</v>
      </c>
      <c r="E433" s="3">
        <v>3633.4</v>
      </c>
      <c r="F433" s="3">
        <v>3756.07</v>
      </c>
      <c r="G433" s="3">
        <v>96056410000</v>
      </c>
      <c r="I433" s="15">
        <f t="shared" si="9"/>
        <v>0.98886335984153639</v>
      </c>
      <c r="J433" s="4">
        <f t="shared" si="10"/>
        <v>1.268927362908572</v>
      </c>
      <c r="R433" s="4">
        <f t="shared" si="14"/>
        <v>1.1100000000000001</v>
      </c>
    </row>
    <row r="434" spans="1:18" ht="14.25" customHeight="1">
      <c r="A434" s="33">
        <v>44197</v>
      </c>
      <c r="B434" s="3">
        <v>3714.24</v>
      </c>
      <c r="C434" s="3">
        <v>3764.61</v>
      </c>
      <c r="D434" s="3">
        <v>3870.9</v>
      </c>
      <c r="E434" s="3">
        <v>3662.71</v>
      </c>
      <c r="F434" s="3">
        <v>3714.24</v>
      </c>
      <c r="G434" s="3">
        <v>105549000000</v>
      </c>
      <c r="I434" s="15">
        <f t="shared" si="9"/>
        <v>1.0260914749719998</v>
      </c>
      <c r="J434" s="4">
        <f t="shared" si="10"/>
        <v>1.2157399629533903</v>
      </c>
      <c r="R434" s="4">
        <f t="shared" si="14"/>
        <v>1.1100000000000001</v>
      </c>
    </row>
    <row r="435" spans="1:18" ht="14.25" customHeight="1">
      <c r="A435" s="33">
        <v>44228</v>
      </c>
      <c r="B435" s="3">
        <v>3811.15</v>
      </c>
      <c r="C435" s="3">
        <v>3731.17</v>
      </c>
      <c r="D435" s="3">
        <v>3950.43</v>
      </c>
      <c r="E435" s="3">
        <v>3725.62</v>
      </c>
      <c r="F435" s="3">
        <v>3811.15</v>
      </c>
      <c r="G435" s="3">
        <v>98596960000</v>
      </c>
      <c r="I435" s="15">
        <f t="shared" si="9"/>
        <v>1.0424386340081078</v>
      </c>
      <c r="J435" s="4">
        <f t="shared" si="10"/>
        <v>1.1476693386510632</v>
      </c>
      <c r="R435" s="4">
        <f t="shared" si="14"/>
        <v>1.1100000000000001</v>
      </c>
    </row>
    <row r="436" spans="1:18" ht="14.25" customHeight="1">
      <c r="A436" s="33">
        <v>44256</v>
      </c>
      <c r="B436" s="3">
        <v>3972.89</v>
      </c>
      <c r="C436" s="3">
        <v>3842.51</v>
      </c>
      <c r="D436" s="3">
        <v>3994.41</v>
      </c>
      <c r="E436" s="3">
        <v>3723.34</v>
      </c>
      <c r="F436" s="3">
        <v>3972.89</v>
      </c>
      <c r="G436" s="3">
        <v>120864000000</v>
      </c>
      <c r="I436" s="15">
        <f t="shared" si="9"/>
        <v>1.0524253125558474</v>
      </c>
      <c r="J436" s="4">
        <f t="shared" si="10"/>
        <v>1.1403310939895139</v>
      </c>
      <c r="R436" s="4">
        <f t="shared" si="14"/>
        <v>1.1100000000000001</v>
      </c>
    </row>
    <row r="437" spans="1:18" ht="14.25" customHeight="1">
      <c r="A437" s="33">
        <v>44287</v>
      </c>
      <c r="B437" s="3">
        <v>4181.17</v>
      </c>
      <c r="C437" s="3">
        <v>3992.78</v>
      </c>
      <c r="D437" s="3">
        <v>4218.78</v>
      </c>
      <c r="E437" s="3">
        <v>3992.78</v>
      </c>
      <c r="F437" s="3">
        <v>4181.17</v>
      </c>
      <c r="G437" s="3">
        <v>82869290000</v>
      </c>
      <c r="I437" s="15">
        <f t="shared" si="9"/>
        <v>1.0054865025818132</v>
      </c>
      <c r="J437" s="4">
        <f t="shared" si="10"/>
        <v>0.98822339201706699</v>
      </c>
      <c r="R437" s="4">
        <f t="shared" si="14"/>
        <v>1</v>
      </c>
    </row>
    <row r="438" spans="1:18" ht="14.25" customHeight="1">
      <c r="A438" s="33">
        <v>44317</v>
      </c>
      <c r="B438" s="3">
        <v>4204.1099999999997</v>
      </c>
      <c r="C438" s="3">
        <v>4191.9799999999996</v>
      </c>
      <c r="D438" s="3">
        <v>4238.04</v>
      </c>
      <c r="E438" s="3">
        <v>4056.88</v>
      </c>
      <c r="F438" s="3">
        <v>4204.1099999999997</v>
      </c>
      <c r="G438" s="3">
        <v>75155370000</v>
      </c>
      <c r="I438" s="15">
        <f t="shared" si="9"/>
        <v>1.0222139763231695</v>
      </c>
      <c r="J438" s="4">
        <f t="shared" si="10"/>
        <v>0.98078784808199604</v>
      </c>
      <c r="R438" s="4">
        <f t="shared" si="14"/>
        <v>1</v>
      </c>
    </row>
    <row r="439" spans="1:18" ht="14.25" customHeight="1">
      <c r="A439" s="33">
        <v>44348</v>
      </c>
      <c r="B439" s="3">
        <v>4297.5</v>
      </c>
      <c r="C439" s="3">
        <v>4216.5200000000004</v>
      </c>
      <c r="D439" s="3">
        <v>4302.43</v>
      </c>
      <c r="E439" s="3">
        <v>4164.3999999999996</v>
      </c>
      <c r="F439" s="3">
        <v>4297.5</v>
      </c>
      <c r="G439" s="3">
        <v>85705180000</v>
      </c>
      <c r="I439" s="15">
        <f t="shared" si="9"/>
        <v>1.0227481093659105</v>
      </c>
      <c r="J439" s="4">
        <f t="shared" si="10"/>
        <v>0.95947411285631179</v>
      </c>
      <c r="R439" s="4">
        <f t="shared" si="14"/>
        <v>1</v>
      </c>
    </row>
    <row r="440" spans="1:18" ht="14.25" customHeight="1">
      <c r="A440" s="33">
        <v>44378</v>
      </c>
      <c r="B440" s="3">
        <v>4395.26</v>
      </c>
      <c r="C440" s="3">
        <v>4300.7299999999996</v>
      </c>
      <c r="D440" s="3">
        <v>4429.97</v>
      </c>
      <c r="E440" s="3">
        <v>4233.13</v>
      </c>
      <c r="F440" s="3">
        <v>4395.26</v>
      </c>
      <c r="G440" s="3">
        <v>66496430000</v>
      </c>
      <c r="I440" s="15">
        <f t="shared" si="9"/>
        <v>1.0289903213916811</v>
      </c>
      <c r="J440" s="4"/>
      <c r="R440" s="4"/>
    </row>
    <row r="441" spans="1:18" ht="14.25" customHeight="1">
      <c r="A441" s="33">
        <v>44409</v>
      </c>
      <c r="B441" s="3">
        <v>4522.68</v>
      </c>
      <c r="C441" s="3">
        <v>4406.8599999999997</v>
      </c>
      <c r="D441" s="3">
        <v>4537.3599999999997</v>
      </c>
      <c r="E441" s="3">
        <v>4367.7299999999996</v>
      </c>
      <c r="F441" s="3">
        <v>4522.68</v>
      </c>
      <c r="G441" s="3">
        <v>63217960000</v>
      </c>
      <c r="I441" s="15">
        <f t="shared" si="9"/>
        <v>0.95243085957883367</v>
      </c>
      <c r="J441" s="4"/>
      <c r="R441" s="4"/>
    </row>
    <row r="442" spans="1:18" ht="14.25" customHeight="1">
      <c r="A442" s="33">
        <v>44440</v>
      </c>
      <c r="B442" s="3">
        <v>4307.54</v>
      </c>
      <c r="C442" s="3">
        <v>4528.8</v>
      </c>
      <c r="D442" s="3">
        <v>4545.8500000000004</v>
      </c>
      <c r="E442" s="3">
        <v>4305.91</v>
      </c>
      <c r="F442" s="3">
        <v>4307.54</v>
      </c>
      <c r="G442" s="3">
        <v>66268850000</v>
      </c>
      <c r="I442" s="15">
        <f t="shared" si="9"/>
        <v>1.0691438733012346</v>
      </c>
      <c r="R442" s="4"/>
    </row>
    <row r="443" spans="1:18" ht="14.25" customHeight="1">
      <c r="A443" s="33">
        <v>44470</v>
      </c>
      <c r="B443" s="3">
        <v>4605.38</v>
      </c>
      <c r="C443" s="3">
        <v>4317.16</v>
      </c>
      <c r="D443" s="3">
        <v>4608.08</v>
      </c>
      <c r="E443" s="3">
        <v>4278.9399999999996</v>
      </c>
      <c r="F443" s="3">
        <v>4605.38</v>
      </c>
      <c r="G443" s="3">
        <v>61874700000</v>
      </c>
      <c r="I443" s="15">
        <f t="shared" si="9"/>
        <v>0.99166626858152851</v>
      </c>
      <c r="R443" s="4"/>
    </row>
    <row r="444" spans="1:18" ht="14.25" customHeight="1">
      <c r="A444" s="33">
        <v>44501</v>
      </c>
      <c r="B444" s="3">
        <v>4567</v>
      </c>
      <c r="C444" s="3">
        <v>4610.62</v>
      </c>
      <c r="D444" s="3">
        <v>4743.83</v>
      </c>
      <c r="E444" s="3">
        <v>4560</v>
      </c>
      <c r="F444" s="3">
        <v>4567</v>
      </c>
      <c r="G444" s="3">
        <v>67520800000</v>
      </c>
      <c r="I444" s="15">
        <f t="shared" si="9"/>
        <v>1.0436128749726299</v>
      </c>
      <c r="R444" s="4"/>
    </row>
    <row r="445" spans="1:18" ht="14.25" customHeight="1">
      <c r="A445" s="33">
        <v>44531</v>
      </c>
      <c r="B445" s="3">
        <v>4766.18</v>
      </c>
      <c r="C445" s="3">
        <v>4602.82</v>
      </c>
      <c r="D445" s="3">
        <v>4808.93</v>
      </c>
      <c r="E445" s="3">
        <v>4495.12</v>
      </c>
      <c r="F445" s="3">
        <v>4766.18</v>
      </c>
      <c r="G445" s="3">
        <v>68699830000</v>
      </c>
      <c r="I445" s="15">
        <f t="shared" si="9"/>
        <v>0.94741491089300023</v>
      </c>
      <c r="R445" s="4"/>
    </row>
    <row r="446" spans="1:18" ht="14.25" customHeight="1">
      <c r="A446" s="33">
        <v>44562</v>
      </c>
      <c r="B446" s="3">
        <v>4515.55</v>
      </c>
      <c r="C446" s="3">
        <v>4778.1400000000003</v>
      </c>
      <c r="D446" s="3">
        <v>4818.62</v>
      </c>
      <c r="E446" s="3">
        <v>4222.62</v>
      </c>
      <c r="F446" s="3">
        <v>4515.55</v>
      </c>
      <c r="G446" s="3">
        <v>73279440000</v>
      </c>
      <c r="I446" s="15">
        <f t="shared" si="9"/>
        <v>0.96863947913321735</v>
      </c>
      <c r="R446" s="4"/>
    </row>
    <row r="447" spans="1:18" ht="14.25" customHeight="1">
      <c r="A447" s="33">
        <v>44593</v>
      </c>
      <c r="B447" s="3">
        <v>4373.9399999999996</v>
      </c>
      <c r="C447" s="3">
        <v>4519.57</v>
      </c>
      <c r="D447" s="3">
        <v>4595.3100000000004</v>
      </c>
      <c r="E447" s="3">
        <v>4114.6499999999996</v>
      </c>
      <c r="F447" s="3">
        <v>4373.9399999999996</v>
      </c>
      <c r="G447" s="3">
        <v>73167790000</v>
      </c>
      <c r="I447" s="15">
        <f t="shared" si="9"/>
        <v>1.0357732387732801</v>
      </c>
      <c r="R447" s="4"/>
    </row>
    <row r="448" spans="1:18" ht="14.25" customHeight="1">
      <c r="A448" s="33">
        <v>44621</v>
      </c>
      <c r="B448" s="3">
        <v>4530.41</v>
      </c>
      <c r="C448" s="3">
        <v>4363.1400000000003</v>
      </c>
      <c r="D448" s="3">
        <v>4637.3</v>
      </c>
      <c r="E448" s="3">
        <v>4157.87</v>
      </c>
      <c r="F448" s="3">
        <v>4530.41</v>
      </c>
      <c r="G448" s="3">
        <v>100978000000</v>
      </c>
      <c r="I448" s="15">
        <f t="shared" si="9"/>
        <v>0.91204328085096065</v>
      </c>
      <c r="R448" s="4"/>
    </row>
    <row r="449" spans="1:18" ht="14.25" customHeight="1">
      <c r="A449" s="33">
        <v>44652</v>
      </c>
      <c r="B449" s="3">
        <v>4131.93</v>
      </c>
      <c r="C449" s="3">
        <v>4540.32</v>
      </c>
      <c r="D449" s="3">
        <v>4593.45</v>
      </c>
      <c r="E449" s="3">
        <v>4124.28</v>
      </c>
      <c r="F449" s="3">
        <v>4131.93</v>
      </c>
      <c r="G449" s="3">
        <v>74784850000</v>
      </c>
      <c r="I449" s="15">
        <f t="shared" si="9"/>
        <v>0.99792106836272632</v>
      </c>
      <c r="R449" s="4"/>
    </row>
    <row r="450" spans="1:18" ht="14.25" customHeight="1">
      <c r="A450" s="33">
        <v>44682</v>
      </c>
      <c r="B450" s="3">
        <v>4123.34</v>
      </c>
      <c r="C450" s="3">
        <v>4130.6099999999997</v>
      </c>
      <c r="D450" s="3">
        <v>4307.66</v>
      </c>
      <c r="E450" s="3">
        <v>4062.51</v>
      </c>
      <c r="F450" s="3">
        <v>4123.34</v>
      </c>
      <c r="G450" s="3">
        <v>21039720000</v>
      </c>
      <c r="I450" s="15">
        <f t="shared" si="9"/>
        <v>1</v>
      </c>
      <c r="R450" s="4"/>
    </row>
    <row r="451" spans="1:18" ht="14.25" customHeight="1">
      <c r="A451" s="33">
        <v>44687</v>
      </c>
      <c r="B451" s="3">
        <v>4123.34</v>
      </c>
      <c r="C451" s="3">
        <v>4128.17</v>
      </c>
      <c r="D451" s="3">
        <v>4157.6899999999996</v>
      </c>
      <c r="E451" s="3">
        <v>4067.91</v>
      </c>
      <c r="F451" s="3">
        <v>4123.34</v>
      </c>
      <c r="G451" s="3">
        <v>2737830000</v>
      </c>
      <c r="I451" s="15"/>
    </row>
    <row r="452" spans="1:18" ht="14.25" customHeight="1">
      <c r="A452" s="33"/>
      <c r="B452" s="3"/>
      <c r="C452" s="3"/>
      <c r="D452" s="3"/>
      <c r="E452" s="3"/>
      <c r="F452" s="3"/>
      <c r="G452" s="3"/>
      <c r="I452" s="15"/>
    </row>
    <row r="453" spans="1:18" ht="14.25" customHeight="1">
      <c r="H453" s="1" t="s">
        <v>161</v>
      </c>
      <c r="I453" s="32" t="s">
        <v>162</v>
      </c>
      <c r="J453" s="1">
        <v>1</v>
      </c>
      <c r="K453" s="1">
        <v>5</v>
      </c>
      <c r="L453" s="1">
        <v>10</v>
      </c>
      <c r="M453" s="1">
        <v>15</v>
      </c>
      <c r="N453" s="1">
        <v>20</v>
      </c>
      <c r="O453" s="1">
        <v>25</v>
      </c>
      <c r="P453" s="1">
        <v>30</v>
      </c>
      <c r="R453" s="1">
        <v>1</v>
      </c>
    </row>
    <row r="454" spans="1:18" ht="14.25" customHeight="1">
      <c r="H454" s="1" t="s">
        <v>163</v>
      </c>
      <c r="I454" s="15">
        <f>MAX(I2:I45)-1</f>
        <v>0.13176694057893212</v>
      </c>
      <c r="J454" s="15">
        <f>MAX(J2:J439)-1</f>
        <v>0.5371451564851677</v>
      </c>
      <c r="K454" s="15">
        <f>POWER(10,LOG10(MAX(K2:K391))/K453)-1</f>
        <v>0.26184358542130859</v>
      </c>
      <c r="L454" s="15">
        <f>POWER(10,LOG10(MAX(L2:L331))/L453)-1</f>
        <v>0.16750021727085818</v>
      </c>
      <c r="M454" s="15">
        <f>POWER(10,LOG10(MAX(M2:M271))/M453)-1</f>
        <v>0.15147504006104606</v>
      </c>
      <c r="N454" s="15">
        <f>POWER(10,LOG10(MAX(N2:N221))/N453)-1</f>
        <v>0.10017336009396427</v>
      </c>
      <c r="O454" s="15">
        <f>POWER(10,LOG10(MAX(O2:O151))/O453)-1</f>
        <v>8.1159010980631496E-2</v>
      </c>
      <c r="P454" s="15">
        <f>POWER(10,LOG10(MAX(P2:P91))/P453)-1</f>
        <v>8.6871417259313022E-2</v>
      </c>
      <c r="Q454" s="15"/>
      <c r="R454" s="15">
        <f>POWER(10,LOG10(MAX(R2:R439))/R453)-1</f>
        <v>0.1100000000000001</v>
      </c>
    </row>
    <row r="455" spans="1:18" ht="14.25" customHeight="1">
      <c r="H455" s="1" t="s">
        <v>164</v>
      </c>
      <c r="I455" s="15">
        <f>MIN(I2:I450)-1</f>
        <v>-0.217630426001305</v>
      </c>
      <c r="J455" s="15">
        <f>MIN(J2:J439)-1</f>
        <v>-0.44756243283256802</v>
      </c>
      <c r="K455" s="15">
        <f>POWER(10,LOG10(MIN(K2:K451))/K453)-1</f>
        <v>-8.4809386314344759E-2</v>
      </c>
      <c r="L455" s="15">
        <f>POWER(10,LOG10(MIN(L2:L331))/L453)-1</f>
        <v>-5.0815993105841728E-2</v>
      </c>
      <c r="M455" s="15">
        <f>POWER(10,LOG10(MIN(M2:M271))/M453)-1</f>
        <v>1.7617161818610949E-2</v>
      </c>
      <c r="N455" s="15">
        <f>POWER(10,LOG10(MIN(N2:N221))/N453)-1</f>
        <v>2.7627189108605954E-2</v>
      </c>
      <c r="O455" s="15">
        <f>POWER(10,LOG10(MIN(O2:O151))/O453)-1</f>
        <v>5.9733226990427157E-2</v>
      </c>
      <c r="P455" s="15">
        <f>POWER(10,LOG10(MIN(P2:P91))/P453)-1</f>
        <v>6.944357917649091E-2</v>
      </c>
      <c r="Q455" s="15"/>
      <c r="R455" s="15">
        <f>POWER(10,LOG10(MIN(R2:R439))/R453)-1</f>
        <v>0</v>
      </c>
    </row>
    <row r="456" spans="1:18" ht="14.25" customHeight="1">
      <c r="H456" s="1" t="s">
        <v>37</v>
      </c>
      <c r="I456" s="15">
        <f>AVERAGE(I2:I450)-1</f>
        <v>7.961798336497683E-3</v>
      </c>
      <c r="J456" s="15">
        <f>AVERAGE(J2:J439)-1</f>
        <v>0.10280385960057359</v>
      </c>
      <c r="K456" s="15">
        <f>POWER(10,LOG10(AVERAGE(K2:K451))/K453)-1</f>
        <v>9.3869505867378411E-2</v>
      </c>
      <c r="L456" s="15">
        <f>POWER(10,LOG10(AVERAGE(L2:L331))/L453)-1</f>
        <v>8.8101220779386091E-2</v>
      </c>
      <c r="M456" s="15">
        <f>POWER(10,LOG10(AVERAGE(M2:M271))/M453)-1</f>
        <v>7.4008755465384546E-2</v>
      </c>
      <c r="N456" s="15">
        <f>POWER(10,LOG10(AVERAGE(N2:N221))/N453)-1</f>
        <v>6.7760980051033703E-2</v>
      </c>
      <c r="O456" s="15">
        <f>POWER(10,LOG10(AVERAGE(O2:O151))/O453)-1</f>
        <v>7.3333724397375066E-2</v>
      </c>
      <c r="P456" s="15">
        <f>POWER(10,LOG10(AVERAGE(P2:P91))/P453)-1</f>
        <v>7.9222247992710937E-2</v>
      </c>
      <c r="Q456" s="15"/>
      <c r="R456" s="15">
        <f>POWER(10,LOG10(AVERAGE(R2:R439))/R453)-1</f>
        <v>7.4972510345829635E-2</v>
      </c>
    </row>
    <row r="457" spans="1:18" ht="14.25" customHeight="1"/>
    <row r="458" spans="1:18" ht="14.25" customHeight="1"/>
    <row r="459" spans="1:18" ht="14.25" customHeight="1"/>
    <row r="460" spans="1:18" ht="14.25" customHeight="1"/>
    <row r="461" spans="1:18" ht="14.25" customHeight="1"/>
    <row r="462" spans="1:18" ht="14.25" customHeight="1"/>
    <row r="463" spans="1:18" ht="14.25" customHeight="1"/>
    <row r="464" spans="1:18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1000"/>
  <sheetViews>
    <sheetView workbookViewId="0"/>
  </sheetViews>
  <sheetFormatPr defaultColWidth="14.42578125" defaultRowHeight="15" customHeight="1"/>
  <cols>
    <col min="1" max="20" width="8.7109375" customWidth="1"/>
    <col min="21" max="21" width="10" customWidth="1"/>
    <col min="22" max="30" width="8.7109375" customWidth="1"/>
  </cols>
  <sheetData>
    <row r="1" spans="1:13" ht="14.25" customHeight="1">
      <c r="E1" s="55" t="s">
        <v>165</v>
      </c>
      <c r="F1" s="54"/>
      <c r="G1" s="54"/>
      <c r="H1" s="54"/>
      <c r="I1" s="54"/>
      <c r="J1" s="54"/>
      <c r="K1" s="54"/>
    </row>
    <row r="2" spans="1:13" ht="14.25" customHeight="1">
      <c r="B2" s="1" t="s">
        <v>166</v>
      </c>
      <c r="C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I2" s="1" t="s">
        <v>172</v>
      </c>
      <c r="J2" s="1" t="s">
        <v>173</v>
      </c>
      <c r="K2" s="1" t="s">
        <v>174</v>
      </c>
      <c r="L2" s="1" t="s">
        <v>175</v>
      </c>
      <c r="M2" s="1" t="s">
        <v>176</v>
      </c>
    </row>
    <row r="3" spans="1:13" ht="14.25" customHeight="1">
      <c r="A3" s="1">
        <v>1928</v>
      </c>
      <c r="B3" s="1">
        <v>24.35</v>
      </c>
      <c r="C3" s="15">
        <f t="shared" ref="C3:C96" si="0">B4/B3-1</f>
        <v>-0.11909650924024651</v>
      </c>
    </row>
    <row r="4" spans="1:13" ht="14.25" customHeight="1">
      <c r="A4" s="1">
        <v>1929</v>
      </c>
      <c r="B4" s="1">
        <v>21.45</v>
      </c>
      <c r="C4" s="15">
        <f t="shared" si="0"/>
        <v>-0.2848484848484848</v>
      </c>
      <c r="E4" s="4">
        <f t="shared" ref="E4:E97" si="1">B4/B3-1</f>
        <v>-0.11909650924024651</v>
      </c>
    </row>
    <row r="5" spans="1:13" ht="14.25" customHeight="1">
      <c r="A5" s="1">
        <v>1930</v>
      </c>
      <c r="B5" s="1">
        <v>15.34</v>
      </c>
      <c r="C5" s="15">
        <f t="shared" si="0"/>
        <v>-0.47066492829204698</v>
      </c>
      <c r="E5" s="4">
        <f t="shared" si="1"/>
        <v>-0.2848484848484848</v>
      </c>
    </row>
    <row r="6" spans="1:13" ht="14.25" customHeight="1">
      <c r="A6" s="1">
        <v>1931</v>
      </c>
      <c r="B6" s="1">
        <v>8.1199999999999992</v>
      </c>
      <c r="C6" s="15">
        <f t="shared" si="0"/>
        <v>-0.15147783251231528</v>
      </c>
      <c r="E6" s="4">
        <f t="shared" si="1"/>
        <v>-0.47066492829204698</v>
      </c>
    </row>
    <row r="7" spans="1:13" ht="14.25" customHeight="1">
      <c r="A7" s="1">
        <v>1932</v>
      </c>
      <c r="B7" s="1">
        <v>6.89</v>
      </c>
      <c r="C7" s="15">
        <f t="shared" si="0"/>
        <v>0.4658925979680697</v>
      </c>
      <c r="E7" s="4">
        <f t="shared" si="1"/>
        <v>-0.15147783251231528</v>
      </c>
    </row>
    <row r="8" spans="1:13" ht="14.25" customHeight="1">
      <c r="A8" s="1">
        <v>1933</v>
      </c>
      <c r="B8" s="1">
        <v>10.1</v>
      </c>
      <c r="C8" s="15">
        <f t="shared" si="0"/>
        <v>-5.9405940594059348E-2</v>
      </c>
      <c r="E8" s="4">
        <f t="shared" si="1"/>
        <v>0.4658925979680697</v>
      </c>
      <c r="F8" s="4">
        <f t="shared" ref="F8:F97" si="2">EXP(LN(B8/B3)/5)-1</f>
        <v>-0.16138141716513799</v>
      </c>
    </row>
    <row r="9" spans="1:13" ht="14.25" customHeight="1">
      <c r="A9" s="1">
        <v>1934</v>
      </c>
      <c r="B9" s="1">
        <v>9.5</v>
      </c>
      <c r="C9" s="15">
        <f t="shared" si="0"/>
        <v>0.41368421052631565</v>
      </c>
      <c r="E9" s="4">
        <f t="shared" si="1"/>
        <v>-5.9405940594059348E-2</v>
      </c>
      <c r="F9" s="4">
        <f t="shared" si="2"/>
        <v>-0.15031243644180825</v>
      </c>
    </row>
    <row r="10" spans="1:13" ht="14.25" customHeight="1">
      <c r="A10" s="1">
        <v>1935</v>
      </c>
      <c r="B10" s="1">
        <v>13.43</v>
      </c>
      <c r="C10" s="15">
        <f t="shared" si="0"/>
        <v>0.2792256142963514</v>
      </c>
      <c r="E10" s="4">
        <f t="shared" si="1"/>
        <v>0.41368421052631565</v>
      </c>
      <c r="F10" s="4">
        <f t="shared" si="2"/>
        <v>-2.624403603915515E-2</v>
      </c>
    </row>
    <row r="11" spans="1:13" ht="14.25" customHeight="1">
      <c r="A11" s="1">
        <v>1936</v>
      </c>
      <c r="B11" s="1">
        <v>17.18</v>
      </c>
      <c r="C11" s="15">
        <f t="shared" si="0"/>
        <v>-0.38591385331781136</v>
      </c>
      <c r="E11" s="4">
        <f t="shared" si="1"/>
        <v>0.2792256142963514</v>
      </c>
      <c r="F11" s="4">
        <f t="shared" si="2"/>
        <v>0.16169849320546037</v>
      </c>
    </row>
    <row r="12" spans="1:13" ht="14.25" customHeight="1">
      <c r="A12" s="1">
        <v>1937</v>
      </c>
      <c r="B12" s="1">
        <v>10.55</v>
      </c>
      <c r="C12" s="15">
        <f t="shared" si="0"/>
        <v>0.25213270142180089</v>
      </c>
      <c r="E12" s="4">
        <f t="shared" si="1"/>
        <v>-0.38591385331781136</v>
      </c>
      <c r="F12" s="4">
        <f t="shared" si="2"/>
        <v>8.8946761211418313E-2</v>
      </c>
    </row>
    <row r="13" spans="1:13" ht="14.25" customHeight="1">
      <c r="A13" s="1">
        <v>1938</v>
      </c>
      <c r="B13" s="1">
        <v>13.21</v>
      </c>
      <c r="C13" s="15">
        <f t="shared" si="0"/>
        <v>-5.4504163512490544E-2</v>
      </c>
      <c r="E13" s="4">
        <f t="shared" si="1"/>
        <v>0.25213270142180089</v>
      </c>
      <c r="F13" s="4">
        <f t="shared" si="2"/>
        <v>5.5155066864855051E-2</v>
      </c>
      <c r="G13" s="4">
        <f t="shared" ref="G13:G97" si="3">EXP(LN(B13/B3)/10)-1</f>
        <v>-5.932330376200512E-2</v>
      </c>
    </row>
    <row r="14" spans="1:13" ht="14.25" customHeight="1">
      <c r="A14" s="1">
        <v>1939</v>
      </c>
      <c r="B14" s="1">
        <v>12.49</v>
      </c>
      <c r="C14" s="15">
        <f t="shared" si="0"/>
        <v>-0.1529223378702963</v>
      </c>
      <c r="E14" s="4">
        <f t="shared" si="1"/>
        <v>-5.4504163512490544E-2</v>
      </c>
      <c r="F14" s="4">
        <f t="shared" si="2"/>
        <v>5.6252540724710975E-2</v>
      </c>
      <c r="G14" s="4">
        <f t="shared" si="3"/>
        <v>-5.2643336524976325E-2</v>
      </c>
    </row>
    <row r="15" spans="1:13" ht="14.25" customHeight="1">
      <c r="A15" s="1">
        <v>1940</v>
      </c>
      <c r="B15" s="1">
        <v>10.58</v>
      </c>
      <c r="C15" s="15">
        <f t="shared" si="0"/>
        <v>-0.17863894139886582</v>
      </c>
      <c r="E15" s="4">
        <f t="shared" si="1"/>
        <v>-0.1529223378702963</v>
      </c>
      <c r="F15" s="4">
        <f t="shared" si="2"/>
        <v>-4.6585108356881122E-2</v>
      </c>
      <c r="G15" s="4">
        <f t="shared" si="3"/>
        <v>-3.6468248127458081E-2</v>
      </c>
    </row>
    <row r="16" spans="1:13" ht="14.25" customHeight="1">
      <c r="A16" s="1">
        <v>1941</v>
      </c>
      <c r="B16" s="1">
        <v>8.69</v>
      </c>
      <c r="C16" s="15">
        <f t="shared" si="0"/>
        <v>0.12428078250863073</v>
      </c>
      <c r="E16" s="4">
        <f t="shared" si="1"/>
        <v>-0.17863894139886582</v>
      </c>
      <c r="F16" s="4">
        <f t="shared" si="2"/>
        <v>-0.1274319166488368</v>
      </c>
      <c r="G16" s="4">
        <f t="shared" si="3"/>
        <v>6.8073438589046908E-3</v>
      </c>
    </row>
    <row r="17" spans="1:21" ht="14.25" customHeight="1">
      <c r="A17" s="1">
        <v>1942</v>
      </c>
      <c r="B17" s="1">
        <v>9.77</v>
      </c>
      <c r="C17" s="15">
        <f t="shared" si="0"/>
        <v>0.19447287615148423</v>
      </c>
      <c r="E17" s="4">
        <f t="shared" si="1"/>
        <v>0.12428078250863073</v>
      </c>
      <c r="F17" s="4">
        <f t="shared" si="2"/>
        <v>-1.5244487001877305E-2</v>
      </c>
      <c r="G17" s="4">
        <f t="shared" si="3"/>
        <v>3.5541561920328979E-2</v>
      </c>
    </row>
    <row r="18" spans="1:21" ht="14.25" customHeight="1">
      <c r="A18" s="1">
        <v>1943</v>
      </c>
      <c r="B18" s="1">
        <v>11.67</v>
      </c>
      <c r="C18" s="15">
        <f t="shared" si="0"/>
        <v>0.13796058269065981</v>
      </c>
      <c r="E18" s="4">
        <f t="shared" si="1"/>
        <v>0.19447287615148423</v>
      </c>
      <c r="F18" s="4">
        <f t="shared" si="2"/>
        <v>-2.4485772743993994E-2</v>
      </c>
      <c r="G18" s="4">
        <f t="shared" si="3"/>
        <v>1.4553487839812362E-2</v>
      </c>
      <c r="H18" s="4">
        <f t="shared" ref="H18:H97" si="4">EXP(LN(B18/B3)/15)-1</f>
        <v>-4.785126950522145E-2</v>
      </c>
    </row>
    <row r="19" spans="1:21" ht="14.25" customHeight="1">
      <c r="A19" s="1">
        <v>1944</v>
      </c>
      <c r="B19" s="1">
        <v>13.28</v>
      </c>
      <c r="C19" s="15">
        <f t="shared" si="0"/>
        <v>0.30722891566265065</v>
      </c>
      <c r="E19" s="4">
        <f t="shared" si="1"/>
        <v>0.13796058269065981</v>
      </c>
      <c r="F19" s="4">
        <f t="shared" si="2"/>
        <v>1.2341701909150071E-2</v>
      </c>
      <c r="G19" s="4">
        <f t="shared" si="3"/>
        <v>3.4064067030238565E-2</v>
      </c>
      <c r="H19" s="4">
        <f t="shared" si="4"/>
        <v>-3.1458906273649445E-2</v>
      </c>
    </row>
    <row r="20" spans="1:21" ht="14.25" customHeight="1">
      <c r="A20" s="1">
        <v>1945</v>
      </c>
      <c r="B20" s="1">
        <v>17.36</v>
      </c>
      <c r="C20" s="15">
        <f t="shared" si="0"/>
        <v>-0.11866359447004604</v>
      </c>
      <c r="E20" s="4">
        <f t="shared" si="1"/>
        <v>0.30722891566265065</v>
      </c>
      <c r="F20" s="4">
        <f t="shared" si="2"/>
        <v>0.10411118800958552</v>
      </c>
      <c r="G20" s="4">
        <f t="shared" si="3"/>
        <v>2.6000023722277499E-2</v>
      </c>
      <c r="H20" s="4">
        <f t="shared" si="4"/>
        <v>8.2810943531106407E-3</v>
      </c>
    </row>
    <row r="21" spans="1:21" ht="14.25" customHeight="1">
      <c r="A21" s="1">
        <v>1946</v>
      </c>
      <c r="B21" s="1">
        <v>15.3</v>
      </c>
      <c r="C21" s="15">
        <f t="shared" si="0"/>
        <v>0</v>
      </c>
      <c r="E21" s="4">
        <f t="shared" si="1"/>
        <v>-0.11866359447004604</v>
      </c>
      <c r="F21" s="4">
        <f t="shared" si="2"/>
        <v>0.11978418841420213</v>
      </c>
      <c r="G21" s="4">
        <f t="shared" si="3"/>
        <v>-1.1522411457134729E-2</v>
      </c>
      <c r="H21" s="4">
        <f t="shared" si="4"/>
        <v>4.3139426011916671E-2</v>
      </c>
    </row>
    <row r="22" spans="1:21" ht="14.25" customHeight="1">
      <c r="A22" s="1">
        <v>1947</v>
      </c>
      <c r="B22" s="1">
        <v>15.3</v>
      </c>
      <c r="C22" s="15">
        <f t="shared" si="0"/>
        <v>-6.5359477124183885E-3</v>
      </c>
      <c r="E22" s="4">
        <f t="shared" si="1"/>
        <v>0</v>
      </c>
      <c r="F22" s="4">
        <f t="shared" si="2"/>
        <v>9.3854035643371914E-2</v>
      </c>
      <c r="G22" s="4">
        <f t="shared" si="3"/>
        <v>3.7872242626738384E-2</v>
      </c>
      <c r="H22" s="4">
        <f t="shared" si="4"/>
        <v>5.4625206764033596E-2</v>
      </c>
    </row>
    <row r="23" spans="1:21" ht="14.25" customHeight="1">
      <c r="A23" s="1">
        <v>1948</v>
      </c>
      <c r="B23" s="1">
        <v>15.2</v>
      </c>
      <c r="C23" s="15">
        <f t="shared" si="0"/>
        <v>0.10263157894736863</v>
      </c>
      <c r="E23" s="4">
        <f t="shared" si="1"/>
        <v>-6.5359477124183885E-3</v>
      </c>
      <c r="F23" s="4">
        <f t="shared" si="2"/>
        <v>5.4276549160151344E-2</v>
      </c>
      <c r="G23" s="4">
        <f t="shared" si="3"/>
        <v>1.4131043390396281E-2</v>
      </c>
      <c r="H23" s="4">
        <f t="shared" si="4"/>
        <v>2.7625362179823032E-2</v>
      </c>
      <c r="I23" s="4">
        <f t="shared" ref="I23:I97" si="5">EXP(LN(B23/B3)/20)-1</f>
        <v>-2.3286408690414206E-2</v>
      </c>
    </row>
    <row r="24" spans="1:21" ht="14.25" customHeight="1">
      <c r="A24" s="1">
        <v>1949</v>
      </c>
      <c r="B24" s="1">
        <v>16.760000000000002</v>
      </c>
      <c r="C24" s="15">
        <f t="shared" si="0"/>
        <v>0.21778042959427202</v>
      </c>
      <c r="E24" s="4">
        <f t="shared" si="1"/>
        <v>0.10263157894736863</v>
      </c>
      <c r="F24" s="4">
        <f t="shared" si="2"/>
        <v>4.7647516599062634E-2</v>
      </c>
      <c r="G24" s="4">
        <f t="shared" si="3"/>
        <v>2.9843323013160949E-2</v>
      </c>
      <c r="H24" s="4">
        <f t="shared" si="4"/>
        <v>3.857220120624838E-2</v>
      </c>
      <c r="I24" s="4">
        <f t="shared" si="5"/>
        <v>-1.2260695126604215E-2</v>
      </c>
    </row>
    <row r="25" spans="1:21" ht="14.25" customHeight="1">
      <c r="A25" s="1">
        <v>1950</v>
      </c>
      <c r="B25" s="1">
        <v>20.41</v>
      </c>
      <c r="C25" s="15">
        <f t="shared" si="0"/>
        <v>0.16462518373346402</v>
      </c>
      <c r="E25" s="4">
        <f t="shared" si="1"/>
        <v>0.21778042959427202</v>
      </c>
      <c r="F25" s="4">
        <f t="shared" si="2"/>
        <v>3.2900902225590611E-2</v>
      </c>
      <c r="G25" s="4">
        <f t="shared" si="3"/>
        <v>6.7912656658993598E-2</v>
      </c>
      <c r="H25" s="4">
        <f t="shared" si="4"/>
        <v>2.8295178483403571E-2</v>
      </c>
      <c r="I25" s="4">
        <f t="shared" si="5"/>
        <v>1.4380477393714619E-2</v>
      </c>
    </row>
    <row r="26" spans="1:21" ht="14.25" customHeight="1">
      <c r="A26" s="1">
        <v>1951</v>
      </c>
      <c r="B26" s="1">
        <v>23.77</v>
      </c>
      <c r="C26" s="15">
        <f t="shared" si="0"/>
        <v>0.11779554059739161</v>
      </c>
      <c r="E26" s="4">
        <f t="shared" si="1"/>
        <v>0.16462518373346402</v>
      </c>
      <c r="F26" s="4">
        <f t="shared" si="2"/>
        <v>9.2112933132347585E-2</v>
      </c>
      <c r="G26" s="4">
        <f t="shared" si="3"/>
        <v>0.10586201421527242</v>
      </c>
      <c r="H26" s="4">
        <f t="shared" si="4"/>
        <v>2.1881181562916519E-2</v>
      </c>
      <c r="I26" s="4">
        <f t="shared" si="5"/>
        <v>5.5172970278587474E-2</v>
      </c>
    </row>
    <row r="27" spans="1:21" ht="14.25" customHeight="1">
      <c r="A27" s="1">
        <v>1952</v>
      </c>
      <c r="B27" s="1">
        <v>26.57</v>
      </c>
      <c r="C27" s="15">
        <f t="shared" si="0"/>
        <v>-6.6240120436582672E-2</v>
      </c>
      <c r="E27" s="4">
        <f t="shared" si="1"/>
        <v>0.11779554059739161</v>
      </c>
      <c r="F27" s="4">
        <f t="shared" si="2"/>
        <v>0.1167090216380493</v>
      </c>
      <c r="G27" s="4">
        <f t="shared" si="3"/>
        <v>0.10522245270268638</v>
      </c>
      <c r="H27" s="4">
        <f t="shared" si="4"/>
        <v>6.3512518530569828E-2</v>
      </c>
      <c r="I27" s="4">
        <f t="shared" si="5"/>
        <v>6.9814836755013765E-2</v>
      </c>
    </row>
    <row r="28" spans="1:21" ht="14.25" customHeight="1">
      <c r="A28" s="1">
        <v>1953</v>
      </c>
      <c r="B28" s="1">
        <v>24.81</v>
      </c>
      <c r="C28" s="15">
        <f t="shared" si="0"/>
        <v>0.45022168480451419</v>
      </c>
      <c r="E28" s="4">
        <f t="shared" si="1"/>
        <v>-6.6240120436582672E-2</v>
      </c>
      <c r="F28" s="4">
        <f t="shared" si="2"/>
        <v>0.10295205771186478</v>
      </c>
      <c r="G28" s="4">
        <f t="shared" si="3"/>
        <v>7.8339691049881033E-2</v>
      </c>
      <c r="H28" s="4">
        <f t="shared" si="4"/>
        <v>4.2913437296437262E-2</v>
      </c>
      <c r="I28" s="4">
        <f t="shared" si="5"/>
        <v>4.5960465137551365E-2</v>
      </c>
      <c r="J28" s="4">
        <f t="shared" ref="J28:J97" si="6">EXP(LN(B28/B3)/25)-1</f>
        <v>7.488781963644886E-4</v>
      </c>
    </row>
    <row r="29" spans="1:21" ht="14.25" customHeight="1">
      <c r="A29" s="1">
        <v>1954</v>
      </c>
      <c r="B29" s="1">
        <v>35.979999999999997</v>
      </c>
      <c r="C29" s="15">
        <f t="shared" si="0"/>
        <v>0.26403557531962196</v>
      </c>
      <c r="E29" s="4">
        <f t="shared" si="1"/>
        <v>0.45022168480451419</v>
      </c>
      <c r="F29" s="4">
        <f t="shared" si="2"/>
        <v>0.16508451178776218</v>
      </c>
      <c r="G29" s="4">
        <f t="shared" si="3"/>
        <v>0.10480672309797257</v>
      </c>
      <c r="H29" s="4">
        <f t="shared" si="4"/>
        <v>7.3082835196018658E-2</v>
      </c>
      <c r="I29" s="4">
        <f t="shared" si="5"/>
        <v>6.8850285759909591E-2</v>
      </c>
      <c r="J29" s="4">
        <f t="shared" si="6"/>
        <v>2.0905055645201731E-2</v>
      </c>
      <c r="U29" s="15">
        <v>6.6799999999999998E-2</v>
      </c>
    </row>
    <row r="30" spans="1:21" ht="14.25" customHeight="1">
      <c r="A30" s="1">
        <v>1955</v>
      </c>
      <c r="B30" s="1">
        <v>45.48</v>
      </c>
      <c r="C30" s="15">
        <f t="shared" si="0"/>
        <v>2.6165347405453065E-2</v>
      </c>
      <c r="E30" s="4">
        <f t="shared" si="1"/>
        <v>0.26403557531962196</v>
      </c>
      <c r="F30" s="4">
        <f t="shared" si="2"/>
        <v>0.17380374357111816</v>
      </c>
      <c r="G30" s="4">
        <f t="shared" si="3"/>
        <v>0.10110078819805768</v>
      </c>
      <c r="H30" s="4">
        <f t="shared" si="4"/>
        <v>0.10210334169877222</v>
      </c>
      <c r="I30" s="4">
        <f t="shared" si="5"/>
        <v>6.2887310495249871E-2</v>
      </c>
      <c r="J30" s="4">
        <f t="shared" si="6"/>
        <v>4.4431120528665602E-2</v>
      </c>
    </row>
    <row r="31" spans="1:21" ht="14.25" customHeight="1">
      <c r="A31" s="1">
        <v>1956</v>
      </c>
      <c r="B31" s="1">
        <v>46.67</v>
      </c>
      <c r="C31" s="15">
        <f t="shared" si="0"/>
        <v>-0.14313263338332971</v>
      </c>
      <c r="E31" s="4">
        <f t="shared" si="1"/>
        <v>2.6165347405453065E-2</v>
      </c>
      <c r="F31" s="4">
        <f t="shared" si="2"/>
        <v>0.14446291343025774</v>
      </c>
      <c r="G31" s="4">
        <f t="shared" si="3"/>
        <v>0.11798155138960631</v>
      </c>
      <c r="H31" s="4">
        <f t="shared" si="4"/>
        <v>0.11858210773371169</v>
      </c>
      <c r="I31" s="4">
        <f t="shared" si="5"/>
        <v>5.1237227248450035E-2</v>
      </c>
      <c r="J31" s="4">
        <f t="shared" si="6"/>
        <v>7.2455475455561302E-2</v>
      </c>
    </row>
    <row r="32" spans="1:21" ht="14.25" customHeight="1">
      <c r="A32" s="1">
        <v>1957</v>
      </c>
      <c r="B32" s="1">
        <v>39.99</v>
      </c>
      <c r="C32" s="15">
        <f t="shared" si="0"/>
        <v>0.3805951487871968</v>
      </c>
      <c r="E32" s="4">
        <f t="shared" si="1"/>
        <v>-0.14313263338332971</v>
      </c>
      <c r="F32" s="4">
        <f t="shared" si="2"/>
        <v>8.520545945391178E-2</v>
      </c>
      <c r="G32" s="4">
        <f t="shared" si="3"/>
        <v>0.10084455165252448</v>
      </c>
      <c r="H32" s="4">
        <f t="shared" si="4"/>
        <v>9.8509429869573006E-2</v>
      </c>
      <c r="I32" s="4">
        <f t="shared" si="5"/>
        <v>6.8894757965924258E-2</v>
      </c>
      <c r="J32" s="4">
        <f t="shared" si="6"/>
        <v>7.2875399599963586E-2</v>
      </c>
    </row>
    <row r="33" spans="1:30" ht="14.25" customHeight="1">
      <c r="A33" s="1">
        <v>1958</v>
      </c>
      <c r="B33" s="1">
        <v>55.21</v>
      </c>
      <c r="C33" s="15">
        <f t="shared" si="0"/>
        <v>8.4767252309364327E-2</v>
      </c>
      <c r="E33" s="4">
        <f t="shared" si="1"/>
        <v>0.3805951487871968</v>
      </c>
      <c r="F33" s="4">
        <f t="shared" si="2"/>
        <v>0.17348676699566878</v>
      </c>
      <c r="G33" s="4">
        <f t="shared" si="3"/>
        <v>0.13767290745429839</v>
      </c>
      <c r="H33" s="4">
        <f t="shared" si="4"/>
        <v>0.10916577273135597</v>
      </c>
      <c r="I33" s="4">
        <f t="shared" si="5"/>
        <v>7.4127279550060265E-2</v>
      </c>
      <c r="J33" s="4">
        <f t="shared" si="6"/>
        <v>7.0305740986603693E-2</v>
      </c>
      <c r="K33" s="4">
        <f t="shared" ref="K33:K97" si="7">EXP(LN(B33/B3)/30)-1</f>
        <v>2.7662776602529693E-2</v>
      </c>
      <c r="U33" s="52" t="s">
        <v>165</v>
      </c>
      <c r="V33" s="50"/>
      <c r="W33" s="50"/>
      <c r="X33" s="50"/>
      <c r="Y33" s="50"/>
      <c r="Z33" s="50"/>
      <c r="AA33" s="50"/>
      <c r="AB33" s="50"/>
      <c r="AC33" s="50"/>
      <c r="AD33" s="51"/>
    </row>
    <row r="34" spans="1:30" ht="14.25" customHeight="1">
      <c r="A34" s="1">
        <v>1959</v>
      </c>
      <c r="B34" s="1">
        <v>59.89</v>
      </c>
      <c r="C34" s="15">
        <f t="shared" si="0"/>
        <v>-2.972115545166143E-2</v>
      </c>
      <c r="E34" s="4">
        <f t="shared" si="1"/>
        <v>8.4767252309364327E-2</v>
      </c>
      <c r="F34" s="4">
        <f t="shared" si="2"/>
        <v>0.10728299624226589</v>
      </c>
      <c r="G34" s="4">
        <f t="shared" si="3"/>
        <v>0.1358161246820766</v>
      </c>
      <c r="H34" s="4">
        <f t="shared" si="4"/>
        <v>0.10563153155421667</v>
      </c>
      <c r="I34" s="4">
        <f t="shared" si="5"/>
        <v>8.1532547903446329E-2</v>
      </c>
      <c r="J34" s="4">
        <f t="shared" si="6"/>
        <v>7.6428600366900357E-2</v>
      </c>
      <c r="K34" s="4">
        <f t="shared" si="7"/>
        <v>3.4818618323936512E-2</v>
      </c>
      <c r="U34" s="10" t="s">
        <v>177</v>
      </c>
      <c r="V34" s="10">
        <v>1</v>
      </c>
      <c r="W34" s="10">
        <v>5</v>
      </c>
      <c r="X34" s="10">
        <v>10</v>
      </c>
      <c r="Y34" s="10">
        <v>15</v>
      </c>
      <c r="Z34" s="10">
        <v>20</v>
      </c>
      <c r="AA34" s="10">
        <v>25</v>
      </c>
      <c r="AB34" s="10">
        <v>30</v>
      </c>
      <c r="AC34" s="10">
        <v>35</v>
      </c>
      <c r="AD34" s="10">
        <v>40</v>
      </c>
    </row>
    <row r="35" spans="1:30" ht="14.25" customHeight="1">
      <c r="A35" s="1">
        <v>1960</v>
      </c>
      <c r="B35" s="1">
        <v>58.11</v>
      </c>
      <c r="C35" s="15">
        <f t="shared" si="0"/>
        <v>0.23128549303045953</v>
      </c>
      <c r="E35" s="4">
        <f t="shared" si="1"/>
        <v>-2.972115545166143E-2</v>
      </c>
      <c r="F35" s="4">
        <f t="shared" si="2"/>
        <v>5.0234024110863862E-2</v>
      </c>
      <c r="G35" s="4">
        <f t="shared" si="3"/>
        <v>0.11030114344131525</v>
      </c>
      <c r="H35" s="4">
        <f t="shared" si="4"/>
        <v>8.3877190595023743E-2</v>
      </c>
      <c r="I35" s="4">
        <f t="shared" si="5"/>
        <v>8.8900658363256335E-2</v>
      </c>
      <c r="J35" s="4">
        <f t="shared" si="6"/>
        <v>6.0344515798241405E-2</v>
      </c>
      <c r="K35" s="4">
        <f t="shared" si="7"/>
        <v>4.539603972730144E-2</v>
      </c>
      <c r="U35" s="34" t="s">
        <v>178</v>
      </c>
      <c r="V35" s="15">
        <f>MAX(E4:E97)</f>
        <v>0.4658925979680697</v>
      </c>
      <c r="W35" s="15">
        <f>MAX(F8:F97)</f>
        <v>0.26184358542130859</v>
      </c>
      <c r="X35" s="15">
        <f>MAX(G13:G97)</f>
        <v>0.16038631798297609</v>
      </c>
      <c r="Y35" s="15">
        <f>MAX(H18:H97)</f>
        <v>0.15589140932402801</v>
      </c>
      <c r="Z35" s="15">
        <f>MAX(I23:I97)</f>
        <v>0.13945102729265613</v>
      </c>
      <c r="AA35" s="15">
        <f>MAX(J28:J97)</f>
        <v>0.13042302700246067</v>
      </c>
      <c r="AB35" s="15">
        <f>MAX(K33:K97)</f>
        <v>0.10047480705650269</v>
      </c>
      <c r="AC35" s="15">
        <f>MAX(L38:L97)</f>
        <v>8.886204573432166E-2</v>
      </c>
      <c r="AD35" s="15">
        <f>MAX(M43:M97)</f>
        <v>9.5838181339774176E-2</v>
      </c>
    </row>
    <row r="36" spans="1:30" ht="14.25" customHeight="1">
      <c r="A36" s="1">
        <v>1961</v>
      </c>
      <c r="B36" s="1">
        <v>71.55</v>
      </c>
      <c r="C36" s="15">
        <f t="shared" si="0"/>
        <v>-0.11809923130677846</v>
      </c>
      <c r="E36" s="4">
        <f t="shared" si="1"/>
        <v>0.23128549303045953</v>
      </c>
      <c r="F36" s="4">
        <f t="shared" si="2"/>
        <v>8.9216890780893898E-2</v>
      </c>
      <c r="G36" s="4">
        <f t="shared" si="3"/>
        <v>0.1164982472805538</v>
      </c>
      <c r="H36" s="4">
        <f t="shared" si="4"/>
        <v>0.10830990311939703</v>
      </c>
      <c r="I36" s="4">
        <f t="shared" si="5"/>
        <v>0.11116740440200767</v>
      </c>
      <c r="J36" s="4">
        <f t="shared" si="6"/>
        <v>5.8725708947269251E-2</v>
      </c>
      <c r="K36" s="4">
        <f t="shared" si="7"/>
        <v>7.5231024563228832E-2</v>
      </c>
      <c r="U36" s="10" t="s">
        <v>179</v>
      </c>
      <c r="V36" s="15">
        <f>MIN(E4:E97)</f>
        <v>-0.47066492829204698</v>
      </c>
      <c r="W36" s="15">
        <f>MIN(F8:F97)</f>
        <v>-0.16138141716513799</v>
      </c>
      <c r="X36" s="15">
        <f>MIN(G13:G97)</f>
        <v>-5.932330376200512E-2</v>
      </c>
      <c r="Y36" s="15">
        <f>MIN(H18:H97)</f>
        <v>-4.785126950522145E-2</v>
      </c>
      <c r="Z36" s="15">
        <f>MIN(I23:I97)</f>
        <v>-2.3286408690414206E-2</v>
      </c>
      <c r="AA36" s="15">
        <f>MIN(J28:J97)</f>
        <v>7.488781963644886E-4</v>
      </c>
      <c r="AB36" s="15">
        <f>MIN(K33:K97)</f>
        <v>2.7662776602529693E-2</v>
      </c>
      <c r="AC36" s="15">
        <f>MIN(L38:L97)</f>
        <v>3.2671594820311567E-2</v>
      </c>
      <c r="AD36" s="15">
        <f>MIN(M43:M97)</f>
        <v>3.6928315160164704E-2</v>
      </c>
    </row>
    <row r="37" spans="1:30" ht="14.25" customHeight="1">
      <c r="A37" s="1">
        <v>1962</v>
      </c>
      <c r="B37" s="1">
        <v>63.1</v>
      </c>
      <c r="C37" s="15">
        <f t="shared" si="0"/>
        <v>0.18890649762282075</v>
      </c>
      <c r="E37" s="4">
        <f t="shared" si="1"/>
        <v>-0.11809923130677846</v>
      </c>
      <c r="F37" s="4">
        <f t="shared" si="2"/>
        <v>9.5508094990863102E-2</v>
      </c>
      <c r="G37" s="4">
        <f t="shared" si="3"/>
        <v>9.0344608626116374E-2</v>
      </c>
      <c r="H37" s="4">
        <f t="shared" si="4"/>
        <v>9.906285066373588E-2</v>
      </c>
      <c r="I37" s="4">
        <f t="shared" si="5"/>
        <v>9.7758326152394437E-2</v>
      </c>
      <c r="J37" s="4">
        <f t="shared" si="6"/>
        <v>7.4165194223541953E-2</v>
      </c>
      <c r="K37" s="4">
        <f t="shared" si="7"/>
        <v>7.6614780749322042E-2</v>
      </c>
      <c r="U37" s="10" t="s">
        <v>37</v>
      </c>
      <c r="V37" s="15">
        <f>AVERAGE(E4:E97)</f>
        <v>7.4043781539166853E-2</v>
      </c>
      <c r="W37" s="15">
        <f>AVERAGE(F8:F97)</f>
        <v>6.675878117203092E-2</v>
      </c>
      <c r="X37" s="15">
        <f>AVERAGE(G13:G97)</f>
        <v>6.6729129393909389E-2</v>
      </c>
      <c r="Y37" s="15">
        <f>AVERAGE(H18:H97)</f>
        <v>6.7322615093830571E-2</v>
      </c>
      <c r="Z37" s="15">
        <f>AVERAGE(I23:I97)</f>
        <v>6.9229292388623798E-2</v>
      </c>
      <c r="AA37" s="15">
        <f>AVERAGE(J28:J97)</f>
        <v>7.1313916814975703E-2</v>
      </c>
      <c r="AB37" s="15">
        <f>AVERAGE(K33:K97)</f>
        <v>7.1367262138254242E-2</v>
      </c>
      <c r="AC37" s="15">
        <f>AVERAGE(L38:L97)</f>
        <v>7.0569408127731062E-2</v>
      </c>
      <c r="AD37" s="15">
        <f>AVERAGE(M43:M97)</f>
        <v>6.9377549018693044E-2</v>
      </c>
    </row>
    <row r="38" spans="1:30" ht="14.25" customHeight="1">
      <c r="A38" s="1">
        <v>1963</v>
      </c>
      <c r="B38" s="1">
        <v>75.02</v>
      </c>
      <c r="C38" s="15">
        <f t="shared" si="0"/>
        <v>0.12969874700079975</v>
      </c>
      <c r="E38" s="4">
        <f t="shared" si="1"/>
        <v>0.18890649762282075</v>
      </c>
      <c r="F38" s="4">
        <f t="shared" si="2"/>
        <v>6.3241360618438325E-2</v>
      </c>
      <c r="G38" s="4">
        <f t="shared" si="3"/>
        <v>0.11700477474727355</v>
      </c>
      <c r="H38" s="4">
        <f t="shared" si="4"/>
        <v>0.11230075358823721</v>
      </c>
      <c r="I38" s="4">
        <f t="shared" si="5"/>
        <v>9.7501974350031384E-2</v>
      </c>
      <c r="J38" s="4">
        <f t="shared" si="6"/>
        <v>7.1941215700504157E-2</v>
      </c>
      <c r="K38" s="4">
        <f t="shared" si="7"/>
        <v>6.9125093129425386E-2</v>
      </c>
      <c r="L38" s="4">
        <f t="shared" ref="L38:L97" si="8">EXP(LN(B38/B3)/35)-1</f>
        <v>3.2671594820311567E-2</v>
      </c>
    </row>
    <row r="39" spans="1:30" ht="14.25" customHeight="1">
      <c r="A39" s="1">
        <v>1964</v>
      </c>
      <c r="B39" s="1">
        <v>84.75</v>
      </c>
      <c r="C39" s="15">
        <f t="shared" si="0"/>
        <v>9.0619469026548716E-2</v>
      </c>
      <c r="E39" s="4">
        <f t="shared" si="1"/>
        <v>0.12969874700079975</v>
      </c>
      <c r="F39" s="4">
        <f t="shared" si="2"/>
        <v>7.19069301576436E-2</v>
      </c>
      <c r="G39" s="4">
        <f t="shared" si="3"/>
        <v>8.9451383641236504E-2</v>
      </c>
      <c r="H39" s="4">
        <f t="shared" si="4"/>
        <v>0.11410052659505832</v>
      </c>
      <c r="I39" s="4">
        <f t="shared" si="5"/>
        <v>9.7102189012138851E-2</v>
      </c>
      <c r="J39" s="4">
        <f t="shared" si="6"/>
        <v>7.9600534103310139E-2</v>
      </c>
      <c r="K39" s="4">
        <f t="shared" si="7"/>
        <v>7.5673666253325278E-2</v>
      </c>
      <c r="L39" s="4">
        <f t="shared" si="8"/>
        <v>4.0037325988164563E-2</v>
      </c>
    </row>
    <row r="40" spans="1:30" ht="14.25" customHeight="1">
      <c r="A40" s="1">
        <v>1965</v>
      </c>
      <c r="B40" s="1">
        <v>92.43</v>
      </c>
      <c r="C40" s="15">
        <f t="shared" si="0"/>
        <v>-0.13090987774532081</v>
      </c>
      <c r="E40" s="4">
        <f t="shared" si="1"/>
        <v>9.0619469026548716E-2</v>
      </c>
      <c r="F40" s="4">
        <f t="shared" si="2"/>
        <v>9.7267246109440819E-2</v>
      </c>
      <c r="G40" s="4">
        <f t="shared" si="3"/>
        <v>7.3493081210383782E-2</v>
      </c>
      <c r="H40" s="4">
        <f t="shared" si="4"/>
        <v>0.10593939860805457</v>
      </c>
      <c r="I40" s="4">
        <f t="shared" si="5"/>
        <v>8.720930728444154E-2</v>
      </c>
      <c r="J40" s="4">
        <f t="shared" si="6"/>
        <v>9.056885670836512E-2</v>
      </c>
      <c r="K40" s="4">
        <f t="shared" si="7"/>
        <v>6.6410873577111174E-2</v>
      </c>
      <c r="L40" s="4">
        <f t="shared" si="8"/>
        <v>5.2653308548289646E-2</v>
      </c>
    </row>
    <row r="41" spans="1:30" ht="14.25" customHeight="1">
      <c r="A41" s="1">
        <v>1966</v>
      </c>
      <c r="B41" s="1">
        <v>80.33</v>
      </c>
      <c r="C41" s="15">
        <f t="shared" si="0"/>
        <v>0.20092120004979463</v>
      </c>
      <c r="E41" s="4">
        <f t="shared" si="1"/>
        <v>-0.13090987774532081</v>
      </c>
      <c r="F41" s="4">
        <f t="shared" si="2"/>
        <v>2.3419354158683348E-2</v>
      </c>
      <c r="G41" s="4">
        <f t="shared" si="3"/>
        <v>5.5805686147650801E-2</v>
      </c>
      <c r="H41" s="4">
        <f t="shared" si="4"/>
        <v>8.4567465195237279E-2</v>
      </c>
      <c r="I41" s="4">
        <f t="shared" si="5"/>
        <v>8.6448930675215196E-2</v>
      </c>
      <c r="J41" s="4">
        <f t="shared" si="6"/>
        <v>9.303563155221295E-2</v>
      </c>
      <c r="K41" s="4">
        <f t="shared" si="7"/>
        <v>5.2757846239298578E-2</v>
      </c>
      <c r="L41" s="4">
        <f t="shared" si="8"/>
        <v>6.7671780114369806E-2</v>
      </c>
    </row>
    <row r="42" spans="1:30" ht="14.25" customHeight="1">
      <c r="A42" s="1">
        <v>1967</v>
      </c>
      <c r="B42" s="1">
        <v>96.47</v>
      </c>
      <c r="C42" s="15">
        <f t="shared" si="0"/>
        <v>7.6604125634912368E-2</v>
      </c>
      <c r="E42" s="4">
        <f t="shared" si="1"/>
        <v>0.20092120004979463</v>
      </c>
      <c r="F42" s="4">
        <f t="shared" si="2"/>
        <v>8.8610662790262751E-2</v>
      </c>
      <c r="G42" s="4">
        <f t="shared" si="3"/>
        <v>9.2053933365976892E-2</v>
      </c>
      <c r="H42" s="4">
        <f t="shared" si="4"/>
        <v>8.9766320026789304E-2</v>
      </c>
      <c r="I42" s="4">
        <f t="shared" si="5"/>
        <v>9.6440432789964392E-2</v>
      </c>
      <c r="J42" s="4">
        <f t="shared" si="6"/>
        <v>9.5922664583798944E-2</v>
      </c>
      <c r="K42" s="4">
        <f t="shared" si="7"/>
        <v>7.6559391590395043E-2</v>
      </c>
      <c r="L42" s="4">
        <f t="shared" si="8"/>
        <v>7.8320350869401034E-2</v>
      </c>
    </row>
    <row r="43" spans="1:30" ht="14.25" customHeight="1">
      <c r="A43" s="1">
        <v>1968</v>
      </c>
      <c r="B43" s="1">
        <v>103.86</v>
      </c>
      <c r="C43" s="15">
        <f t="shared" si="0"/>
        <v>-0.11361448103215865</v>
      </c>
      <c r="E43" s="4">
        <f t="shared" si="1"/>
        <v>7.6604125634912368E-2</v>
      </c>
      <c r="F43" s="4">
        <f t="shared" si="2"/>
        <v>6.7220727971482042E-2</v>
      </c>
      <c r="G43" s="4">
        <f t="shared" si="3"/>
        <v>6.522918608560424E-2</v>
      </c>
      <c r="H43" s="4">
        <f t="shared" si="4"/>
        <v>0.10015726310809381</v>
      </c>
      <c r="I43" s="4">
        <f t="shared" si="5"/>
        <v>0.10085529713908592</v>
      </c>
      <c r="J43" s="4">
        <f t="shared" si="6"/>
        <v>9.137775740157239E-2</v>
      </c>
      <c r="K43" s="4">
        <f t="shared" si="7"/>
        <v>7.1153020270541267E-2</v>
      </c>
      <c r="L43" s="4">
        <f t="shared" si="8"/>
        <v>6.8852833053546725E-2</v>
      </c>
      <c r="M43" s="4">
        <f t="shared" ref="M43:M97" si="9">EXP(LN(B43/B3)/40)-1</f>
        <v>3.6928315160164704E-2</v>
      </c>
    </row>
    <row r="44" spans="1:30" ht="14.25" customHeight="1">
      <c r="A44" s="1">
        <v>1969</v>
      </c>
      <c r="B44" s="1">
        <v>92.06</v>
      </c>
      <c r="C44" s="15">
        <f t="shared" si="0"/>
        <v>9.7762328915917962E-4</v>
      </c>
      <c r="E44" s="4">
        <f t="shared" si="1"/>
        <v>-0.11361448103215865</v>
      </c>
      <c r="F44" s="4">
        <f t="shared" si="2"/>
        <v>1.6684617574212579E-2</v>
      </c>
      <c r="G44" s="4">
        <f t="shared" si="3"/>
        <v>4.3930690880612078E-2</v>
      </c>
      <c r="H44" s="4">
        <f t="shared" si="4"/>
        <v>6.463479052673704E-2</v>
      </c>
      <c r="I44" s="4">
        <f t="shared" si="5"/>
        <v>8.8904638502701916E-2</v>
      </c>
      <c r="J44" s="4">
        <f t="shared" si="6"/>
        <v>8.0525239487720501E-2</v>
      </c>
      <c r="K44" s="4">
        <f t="shared" si="7"/>
        <v>6.8850466373454156E-2</v>
      </c>
      <c r="L44" s="4">
        <f t="shared" si="8"/>
        <v>6.7041604927459364E-2</v>
      </c>
      <c r="M44" s="4">
        <f t="shared" si="9"/>
        <v>3.7089152728961405E-2</v>
      </c>
    </row>
    <row r="45" spans="1:30" ht="14.25" customHeight="1">
      <c r="A45" s="1">
        <v>1970</v>
      </c>
      <c r="B45" s="1">
        <v>92.15</v>
      </c>
      <c r="C45" s="15">
        <f t="shared" si="0"/>
        <v>0.10786760716223553</v>
      </c>
      <c r="E45" s="4">
        <f t="shared" si="1"/>
        <v>9.7762328915917962E-4</v>
      </c>
      <c r="F45" s="4">
        <f t="shared" si="2"/>
        <v>-6.065993763332278E-4</v>
      </c>
      <c r="G45" s="4">
        <f t="shared" si="3"/>
        <v>4.7187492516158613E-2</v>
      </c>
      <c r="H45" s="4">
        <f t="shared" si="4"/>
        <v>4.8202019844532318E-2</v>
      </c>
      <c r="I45" s="4">
        <f t="shared" si="5"/>
        <v>7.8282648630745078E-2</v>
      </c>
      <c r="J45" s="4">
        <f t="shared" si="6"/>
        <v>6.9049524659309469E-2</v>
      </c>
      <c r="K45" s="4">
        <f t="shared" si="7"/>
        <v>7.4814843982935253E-2</v>
      </c>
      <c r="L45" s="4">
        <f t="shared" si="8"/>
        <v>5.6568588425087274E-2</v>
      </c>
      <c r="M45" s="4">
        <f t="shared" si="9"/>
        <v>4.5843615405006144E-2</v>
      </c>
    </row>
    <row r="46" spans="1:30" ht="14.25" customHeight="1">
      <c r="A46" s="1">
        <v>1971</v>
      </c>
      <c r="B46" s="1">
        <v>102.09</v>
      </c>
      <c r="C46" s="15">
        <f t="shared" si="0"/>
        <v>0.15633264766382604</v>
      </c>
      <c r="E46" s="4">
        <f t="shared" si="1"/>
        <v>0.10786760716223553</v>
      </c>
      <c r="F46" s="4">
        <f t="shared" si="2"/>
        <v>4.9110146570512159E-2</v>
      </c>
      <c r="G46" s="4">
        <f t="shared" si="3"/>
        <v>3.6185132418196542E-2</v>
      </c>
      <c r="H46" s="4">
        <f t="shared" si="4"/>
        <v>5.3569105073964618E-2</v>
      </c>
      <c r="I46" s="4">
        <f t="shared" si="5"/>
        <v>7.5592341086103465E-2</v>
      </c>
      <c r="J46" s="4">
        <f t="shared" si="6"/>
        <v>7.8876344703751267E-2</v>
      </c>
      <c r="K46" s="4">
        <f t="shared" si="7"/>
        <v>8.5589033749307708E-2</v>
      </c>
      <c r="L46" s="4">
        <f t="shared" si="8"/>
        <v>5.2235970811833621E-2</v>
      </c>
      <c r="M46" s="4">
        <f t="shared" si="9"/>
        <v>6.5333734260172305E-2</v>
      </c>
    </row>
    <row r="47" spans="1:30" ht="14.25" customHeight="1">
      <c r="A47" s="1">
        <v>1972</v>
      </c>
      <c r="B47" s="1">
        <v>118.05</v>
      </c>
      <c r="C47" s="15">
        <f t="shared" si="0"/>
        <v>-0.17365523083439216</v>
      </c>
      <c r="E47" s="4">
        <f t="shared" si="1"/>
        <v>0.15633264766382604</v>
      </c>
      <c r="F47" s="4">
        <f t="shared" si="2"/>
        <v>4.1201398053016591E-2</v>
      </c>
      <c r="G47" s="4">
        <f t="shared" si="3"/>
        <v>6.4642167130648076E-2</v>
      </c>
      <c r="H47" s="4">
        <f t="shared" si="4"/>
        <v>7.4832952030544631E-2</v>
      </c>
      <c r="I47" s="4">
        <f t="shared" si="5"/>
        <v>7.7416747153545407E-2</v>
      </c>
      <c r="J47" s="4">
        <f t="shared" si="6"/>
        <v>8.5163012242390757E-2</v>
      </c>
      <c r="K47" s="4">
        <f t="shared" si="7"/>
        <v>8.6606705915301951E-2</v>
      </c>
      <c r="L47" s="4">
        <f t="shared" si="8"/>
        <v>7.1435670479624847E-2</v>
      </c>
      <c r="M47" s="4">
        <f t="shared" si="9"/>
        <v>7.3609063613561343E-2</v>
      </c>
    </row>
    <row r="48" spans="1:30" ht="14.25" customHeight="1">
      <c r="A48" s="1">
        <v>1973</v>
      </c>
      <c r="B48" s="1">
        <v>97.55</v>
      </c>
      <c r="C48" s="15">
        <f t="shared" si="0"/>
        <v>-0.29718093285494618</v>
      </c>
      <c r="E48" s="4">
        <f t="shared" si="1"/>
        <v>-0.17365523083439216</v>
      </c>
      <c r="F48" s="4">
        <f t="shared" si="2"/>
        <v>-1.2457508997624989E-2</v>
      </c>
      <c r="G48" s="4">
        <f t="shared" si="3"/>
        <v>2.6608891521169964E-2</v>
      </c>
      <c r="H48" s="4">
        <f t="shared" si="4"/>
        <v>3.867728748006205E-2</v>
      </c>
      <c r="I48" s="4">
        <f t="shared" si="5"/>
        <v>7.0853413697296252E-2</v>
      </c>
      <c r="J48" s="4">
        <f t="shared" si="6"/>
        <v>7.7197526335161193E-2</v>
      </c>
      <c r="K48" s="4">
        <f t="shared" si="7"/>
        <v>7.3343046833737935E-2</v>
      </c>
      <c r="L48" s="4">
        <f t="shared" si="8"/>
        <v>5.8788633103567189E-2</v>
      </c>
      <c r="M48" s="4">
        <f t="shared" si="9"/>
        <v>5.8333753919319387E-2</v>
      </c>
    </row>
    <row r="49" spans="1:13" ht="14.25" customHeight="1">
      <c r="A49" s="1">
        <v>1974</v>
      </c>
      <c r="B49" s="1">
        <v>68.56</v>
      </c>
      <c r="C49" s="15">
        <f t="shared" si="0"/>
        <v>0.31549008168027992</v>
      </c>
      <c r="E49" s="4">
        <f t="shared" si="1"/>
        <v>-0.29718093285494618</v>
      </c>
      <c r="F49" s="4">
        <f t="shared" si="2"/>
        <v>-5.724256165075936E-2</v>
      </c>
      <c r="G49" s="4">
        <f t="shared" si="3"/>
        <v>-2.097651423811997E-2</v>
      </c>
      <c r="H49" s="4">
        <f t="shared" si="4"/>
        <v>9.0540574418886965E-3</v>
      </c>
      <c r="I49" s="4">
        <f t="shared" si="5"/>
        <v>3.2762553145952555E-2</v>
      </c>
      <c r="J49" s="4">
        <f t="shared" si="6"/>
        <v>5.7966391823654151E-2</v>
      </c>
      <c r="K49" s="4">
        <f t="shared" si="7"/>
        <v>5.6239548090522895E-2</v>
      </c>
      <c r="L49" s="4">
        <f t="shared" si="8"/>
        <v>4.9853766310599346E-2</v>
      </c>
      <c r="M49" s="4">
        <f t="shared" si="9"/>
        <v>5.0651488388126387E-2</v>
      </c>
    </row>
    <row r="50" spans="1:13" ht="14.25" customHeight="1">
      <c r="A50" s="1">
        <v>1975</v>
      </c>
      <c r="B50" s="1">
        <v>90.19</v>
      </c>
      <c r="C50" s="15">
        <f t="shared" si="0"/>
        <v>0.19148464353032479</v>
      </c>
      <c r="E50" s="4">
        <f t="shared" si="1"/>
        <v>0.31549008168027992</v>
      </c>
      <c r="F50" s="4">
        <f t="shared" si="2"/>
        <v>-4.2905945729249106E-3</v>
      </c>
      <c r="G50" s="4">
        <f t="shared" si="3"/>
        <v>-2.4502976178409908E-3</v>
      </c>
      <c r="H50" s="4">
        <f t="shared" si="4"/>
        <v>2.9739014347827997E-2</v>
      </c>
      <c r="I50" s="4">
        <f t="shared" si="5"/>
        <v>3.4824962817734173E-2</v>
      </c>
      <c r="J50" s="4">
        <f t="shared" si="6"/>
        <v>6.1237567031156015E-2</v>
      </c>
      <c r="K50" s="4">
        <f t="shared" si="7"/>
        <v>5.6461371710964547E-2</v>
      </c>
      <c r="L50" s="4">
        <f t="shared" si="8"/>
        <v>6.3140466572490173E-2</v>
      </c>
      <c r="M50" s="4">
        <f t="shared" si="9"/>
        <v>4.8762280768472666E-2</v>
      </c>
    </row>
    <row r="51" spans="1:13" ht="14.25" customHeight="1">
      <c r="A51" s="1">
        <v>1976</v>
      </c>
      <c r="B51" s="1">
        <v>107.46</v>
      </c>
      <c r="C51" s="15">
        <f t="shared" si="0"/>
        <v>-0.11501954215522059</v>
      </c>
      <c r="E51" s="4">
        <f t="shared" si="1"/>
        <v>0.19148464353032479</v>
      </c>
      <c r="F51" s="4">
        <f t="shared" si="2"/>
        <v>1.0305521478764401E-2</v>
      </c>
      <c r="G51" s="4">
        <f t="shared" si="3"/>
        <v>2.9525023357656943E-2</v>
      </c>
      <c r="H51" s="4">
        <f t="shared" si="4"/>
        <v>2.7485763639123917E-2</v>
      </c>
      <c r="I51" s="4">
        <f t="shared" si="5"/>
        <v>4.2582550061292412E-2</v>
      </c>
      <c r="J51" s="4">
        <f t="shared" si="6"/>
        <v>6.2205892200114743E-2</v>
      </c>
      <c r="K51" s="4">
        <f t="shared" si="7"/>
        <v>6.7132909789327622E-2</v>
      </c>
      <c r="L51" s="4">
        <f t="shared" si="8"/>
        <v>7.4500167238520598E-2</v>
      </c>
      <c r="M51" s="4">
        <f t="shared" si="9"/>
        <v>4.6900945220726964E-2</v>
      </c>
    </row>
    <row r="52" spans="1:13" ht="14.25" customHeight="1">
      <c r="A52" s="1">
        <v>1977</v>
      </c>
      <c r="B52" s="1">
        <v>95.1</v>
      </c>
      <c r="C52" s="15">
        <f t="shared" si="0"/>
        <v>1.0620399579390094E-2</v>
      </c>
      <c r="E52" s="4">
        <f t="shared" si="1"/>
        <v>-0.11501954215522059</v>
      </c>
      <c r="F52" s="4">
        <f t="shared" si="2"/>
        <v>-4.2314515118229479E-2</v>
      </c>
      <c r="G52" s="4">
        <f t="shared" si="3"/>
        <v>-1.4292885558976343E-3</v>
      </c>
      <c r="H52" s="4">
        <f t="shared" si="4"/>
        <v>2.7724580498541318E-2</v>
      </c>
      <c r="I52" s="4">
        <f t="shared" si="5"/>
        <v>4.426676341660607E-2</v>
      </c>
      <c r="J52" s="4">
        <f t="shared" si="6"/>
        <v>5.2329047697133424E-2</v>
      </c>
      <c r="K52" s="4">
        <f t="shared" si="7"/>
        <v>6.2795327022056036E-2</v>
      </c>
      <c r="L52" s="4">
        <f t="shared" si="8"/>
        <v>6.717769993714473E-2</v>
      </c>
      <c r="M52" s="4">
        <f t="shared" si="9"/>
        <v>5.6509001066272102E-2</v>
      </c>
    </row>
    <row r="53" spans="1:13" ht="14.25" customHeight="1">
      <c r="A53" s="1">
        <v>1978</v>
      </c>
      <c r="B53" s="1">
        <v>96.11</v>
      </c>
      <c r="C53" s="15">
        <f t="shared" si="0"/>
        <v>0.12308812818645309</v>
      </c>
      <c r="E53" s="4">
        <f t="shared" si="1"/>
        <v>1.0620399579390094E-2</v>
      </c>
      <c r="F53" s="4">
        <f t="shared" si="2"/>
        <v>-2.9699206808724288E-3</v>
      </c>
      <c r="G53" s="4">
        <f t="shared" si="3"/>
        <v>-7.7250541633600012E-3</v>
      </c>
      <c r="H53" s="4">
        <f t="shared" si="4"/>
        <v>1.665304985753524E-2</v>
      </c>
      <c r="I53" s="4">
        <f t="shared" si="5"/>
        <v>2.8105166277604621E-2</v>
      </c>
      <c r="J53" s="4">
        <f t="shared" si="6"/>
        <v>5.566390500074414E-2</v>
      </c>
      <c r="K53" s="4">
        <f t="shared" si="7"/>
        <v>6.3402065774895933E-2</v>
      </c>
      <c r="L53" s="4">
        <f t="shared" si="8"/>
        <v>6.2093600425226825E-2</v>
      </c>
      <c r="M53" s="4">
        <f t="shared" si="9"/>
        <v>5.0864313479683121E-2</v>
      </c>
    </row>
    <row r="54" spans="1:13" ht="14.25" customHeight="1">
      <c r="A54" s="1">
        <v>1979</v>
      </c>
      <c r="B54" s="1">
        <v>107.94</v>
      </c>
      <c r="C54" s="15">
        <f t="shared" si="0"/>
        <v>0.25773577913655732</v>
      </c>
      <c r="E54" s="4">
        <f t="shared" si="1"/>
        <v>0.12308812818645309</v>
      </c>
      <c r="F54" s="4">
        <f t="shared" si="2"/>
        <v>9.5020679611614645E-2</v>
      </c>
      <c r="G54" s="4">
        <f t="shared" si="3"/>
        <v>1.6040791922298014E-2</v>
      </c>
      <c r="H54" s="4">
        <f t="shared" si="4"/>
        <v>1.6255355159181306E-2</v>
      </c>
      <c r="I54" s="4">
        <f t="shared" si="5"/>
        <v>2.9891336925565559E-2</v>
      </c>
      <c r="J54" s="4">
        <f t="shared" si="6"/>
        <v>4.4924351144087549E-2</v>
      </c>
      <c r="K54" s="4">
        <f t="shared" si="7"/>
        <v>6.4053864396860227E-2</v>
      </c>
      <c r="L54" s="4">
        <f t="shared" si="8"/>
        <v>6.1694463304556191E-2</v>
      </c>
      <c r="M54" s="4">
        <f t="shared" si="9"/>
        <v>5.5396134960135957E-2</v>
      </c>
    </row>
    <row r="55" spans="1:13" ht="14.25" customHeight="1">
      <c r="A55" s="1">
        <v>1980</v>
      </c>
      <c r="B55" s="1">
        <v>135.76</v>
      </c>
      <c r="C55" s="15">
        <f t="shared" si="0"/>
        <v>-9.7304065998821465E-2</v>
      </c>
      <c r="E55" s="4">
        <f t="shared" si="1"/>
        <v>0.25773577913655732</v>
      </c>
      <c r="F55" s="4">
        <f t="shared" si="2"/>
        <v>8.5232243015744391E-2</v>
      </c>
      <c r="G55" s="4">
        <f t="shared" si="3"/>
        <v>3.9507552374439481E-2</v>
      </c>
      <c r="H55" s="4">
        <f t="shared" si="4"/>
        <v>2.5960384744789344E-2</v>
      </c>
      <c r="I55" s="4">
        <f t="shared" si="5"/>
        <v>4.3340456046154996E-2</v>
      </c>
      <c r="J55" s="4">
        <f t="shared" si="6"/>
        <v>4.4715540258355002E-2</v>
      </c>
      <c r="K55" s="4">
        <f t="shared" si="7"/>
        <v>6.5199516945225078E-2</v>
      </c>
      <c r="L55" s="4">
        <f t="shared" si="8"/>
        <v>6.0524318631678176E-2</v>
      </c>
      <c r="M55" s="4">
        <f t="shared" si="9"/>
        <v>6.5877154969407492E-2</v>
      </c>
    </row>
    <row r="56" spans="1:13" ht="14.25" customHeight="1">
      <c r="A56" s="1">
        <v>1981</v>
      </c>
      <c r="B56" s="1">
        <v>122.55</v>
      </c>
      <c r="C56" s="15">
        <f t="shared" si="0"/>
        <v>0.14761321909424718</v>
      </c>
      <c r="E56" s="4">
        <f t="shared" si="1"/>
        <v>-9.7304065998821465E-2</v>
      </c>
      <c r="F56" s="4">
        <f t="shared" si="2"/>
        <v>2.6628451371699891E-2</v>
      </c>
      <c r="G56" s="4">
        <f t="shared" si="3"/>
        <v>1.8434285031695863E-2</v>
      </c>
      <c r="H56" s="4">
        <f t="shared" si="4"/>
        <v>2.8558592442698094E-2</v>
      </c>
      <c r="I56" s="4">
        <f t="shared" si="5"/>
        <v>2.7271368478066327E-2</v>
      </c>
      <c r="J56" s="4">
        <f t="shared" si="6"/>
        <v>3.9372018074238735E-2</v>
      </c>
      <c r="K56" s="4">
        <f t="shared" si="7"/>
        <v>5.6191831728667596E-2</v>
      </c>
      <c r="L56" s="4">
        <f t="shared" si="8"/>
        <v>6.1250158552460743E-2</v>
      </c>
      <c r="M56" s="4">
        <f t="shared" si="9"/>
        <v>6.8396209338217107E-2</v>
      </c>
    </row>
    <row r="57" spans="1:13" ht="14.25" customHeight="1">
      <c r="A57" s="1">
        <v>1982</v>
      </c>
      <c r="B57" s="1">
        <v>140.63999999999999</v>
      </c>
      <c r="C57" s="15">
        <f t="shared" si="0"/>
        <v>0.17271046643913546</v>
      </c>
      <c r="E57" s="4">
        <f t="shared" si="1"/>
        <v>0.14761321909424718</v>
      </c>
      <c r="F57" s="4">
        <f t="shared" si="2"/>
        <v>8.1398264258512931E-2</v>
      </c>
      <c r="G57" s="4">
        <f t="shared" si="3"/>
        <v>1.7663707251427407E-2</v>
      </c>
      <c r="H57" s="4">
        <f t="shared" si="4"/>
        <v>2.5449880035368855E-2</v>
      </c>
      <c r="I57" s="4">
        <f t="shared" si="5"/>
        <v>4.0887935706034106E-2</v>
      </c>
      <c r="J57" s="4">
        <f t="shared" si="6"/>
        <v>5.1589638183574316E-2</v>
      </c>
      <c r="K57" s="4">
        <f t="shared" si="7"/>
        <v>5.7119076612496045E-2</v>
      </c>
      <c r="L57" s="4">
        <f t="shared" si="8"/>
        <v>6.543316681432465E-2</v>
      </c>
      <c r="M57" s="4">
        <f t="shared" si="9"/>
        <v>6.8944992978065889E-2</v>
      </c>
    </row>
    <row r="58" spans="1:13" ht="14.25" customHeight="1">
      <c r="A58" s="1">
        <v>1983</v>
      </c>
      <c r="B58" s="1">
        <v>164.93</v>
      </c>
      <c r="C58" s="15">
        <f t="shared" si="0"/>
        <v>1.4005941914751796E-2</v>
      </c>
      <c r="E58" s="4">
        <f t="shared" si="1"/>
        <v>0.17271046643913546</v>
      </c>
      <c r="F58" s="4">
        <f t="shared" si="2"/>
        <v>0.11405393340967684</v>
      </c>
      <c r="G58" s="4">
        <f t="shared" si="3"/>
        <v>5.3919010926947841E-2</v>
      </c>
      <c r="H58" s="4">
        <f t="shared" si="4"/>
        <v>3.1312043450473448E-2</v>
      </c>
      <c r="I58" s="4">
        <f t="shared" si="5"/>
        <v>4.0174325563173019E-2</v>
      </c>
      <c r="J58" s="4">
        <f t="shared" si="6"/>
        <v>4.4747345774913461E-2</v>
      </c>
      <c r="K58" s="4">
        <f t="shared" si="7"/>
        <v>6.5178593069203705E-2</v>
      </c>
      <c r="L58" s="4">
        <f t="shared" si="8"/>
        <v>7.0494546487497312E-2</v>
      </c>
      <c r="M58" s="4">
        <f t="shared" si="9"/>
        <v>6.8453731321012734E-2</v>
      </c>
    </row>
    <row r="59" spans="1:13" ht="14.25" customHeight="1">
      <c r="A59" s="1">
        <v>1984</v>
      </c>
      <c r="B59" s="1">
        <v>167.24</v>
      </c>
      <c r="C59" s="15">
        <f t="shared" si="0"/>
        <v>0.26333413059076771</v>
      </c>
      <c r="E59" s="4">
        <f t="shared" si="1"/>
        <v>1.4005941914751796E-2</v>
      </c>
      <c r="F59" s="4">
        <f t="shared" si="2"/>
        <v>9.1519626276091781E-2</v>
      </c>
      <c r="G59" s="4">
        <f t="shared" si="3"/>
        <v>9.3268751485315882E-2</v>
      </c>
      <c r="H59" s="4">
        <f t="shared" si="4"/>
        <v>4.0601895280379496E-2</v>
      </c>
      <c r="I59" s="4">
        <f t="shared" si="5"/>
        <v>3.4570337847404486E-2</v>
      </c>
      <c r="J59" s="4">
        <f t="shared" si="6"/>
        <v>4.1932137872469077E-2</v>
      </c>
      <c r="K59" s="4">
        <f t="shared" si="7"/>
        <v>5.2549752174951614E-2</v>
      </c>
      <c r="L59" s="4">
        <f t="shared" si="8"/>
        <v>6.7934820197647072E-2</v>
      </c>
      <c r="M59" s="4">
        <f t="shared" si="9"/>
        <v>6.5377577359039041E-2</v>
      </c>
    </row>
    <row r="60" spans="1:13" ht="14.25" customHeight="1">
      <c r="A60" s="1">
        <v>1985</v>
      </c>
      <c r="B60" s="1">
        <v>211.28</v>
      </c>
      <c r="C60" s="15">
        <f t="shared" si="0"/>
        <v>0.14620408936009088</v>
      </c>
      <c r="E60" s="4">
        <f t="shared" si="1"/>
        <v>0.26333413059076771</v>
      </c>
      <c r="F60" s="4">
        <f t="shared" si="2"/>
        <v>9.2489601006275013E-2</v>
      </c>
      <c r="G60" s="4">
        <f t="shared" si="3"/>
        <v>8.8854875624578167E-2</v>
      </c>
      <c r="H60" s="4">
        <f t="shared" si="4"/>
        <v>5.6876407322471012E-2</v>
      </c>
      <c r="I60" s="4">
        <f t="shared" si="5"/>
        <v>4.2202886733989198E-2</v>
      </c>
      <c r="J60" s="4">
        <f t="shared" si="6"/>
        <v>5.2990130197475782E-2</v>
      </c>
      <c r="K60" s="4">
        <f t="shared" si="7"/>
        <v>5.2530277417921489E-2</v>
      </c>
      <c r="L60" s="4">
        <f t="shared" si="8"/>
        <v>6.9055961161056167E-2</v>
      </c>
      <c r="M60" s="4">
        <f t="shared" si="9"/>
        <v>6.4468260934024135E-2</v>
      </c>
    </row>
    <row r="61" spans="1:13" ht="14.25" customHeight="1">
      <c r="A61" s="1">
        <v>1986</v>
      </c>
      <c r="B61" s="1">
        <v>242.17</v>
      </c>
      <c r="C61" s="15">
        <f t="shared" si="0"/>
        <v>2.0275013420324672E-2</v>
      </c>
      <c r="E61" s="4">
        <f t="shared" si="1"/>
        <v>0.14620408936009088</v>
      </c>
      <c r="F61" s="4">
        <f t="shared" si="2"/>
        <v>0.14593874964111286</v>
      </c>
      <c r="G61" s="4">
        <f t="shared" si="3"/>
        <v>8.4644330603759643E-2</v>
      </c>
      <c r="H61" s="4">
        <f t="shared" si="4"/>
        <v>5.9276024243687608E-2</v>
      </c>
      <c r="I61" s="4">
        <f t="shared" si="5"/>
        <v>5.6725356845186203E-2</v>
      </c>
      <c r="J61" s="4">
        <f t="shared" si="6"/>
        <v>4.9978552861675185E-2</v>
      </c>
      <c r="K61" s="4">
        <f t="shared" si="7"/>
        <v>5.6418710970574049E-2</v>
      </c>
      <c r="L61" s="4">
        <f t="shared" si="8"/>
        <v>6.8569083057053781E-2</v>
      </c>
      <c r="M61" s="4">
        <f t="shared" si="9"/>
        <v>7.1484080125242766E-2</v>
      </c>
    </row>
    <row r="62" spans="1:13" ht="14.25" customHeight="1">
      <c r="A62" s="1">
        <v>1987</v>
      </c>
      <c r="B62" s="1">
        <v>247.08</v>
      </c>
      <c r="C62" s="15">
        <f t="shared" si="0"/>
        <v>0.12400841832604836</v>
      </c>
      <c r="E62" s="4">
        <f t="shared" si="1"/>
        <v>2.0275013420324672E-2</v>
      </c>
      <c r="F62" s="4">
        <f t="shared" si="2"/>
        <v>0.11929804958236501</v>
      </c>
      <c r="G62" s="4">
        <f t="shared" si="3"/>
        <v>0.10018496990565562</v>
      </c>
      <c r="H62" s="4">
        <f t="shared" si="4"/>
        <v>5.0472707506802328E-2</v>
      </c>
      <c r="I62" s="4">
        <f t="shared" si="5"/>
        <v>4.8147169112619848E-2</v>
      </c>
      <c r="J62" s="4">
        <f t="shared" si="6"/>
        <v>5.6117719691142209E-2</v>
      </c>
      <c r="K62" s="4">
        <f t="shared" si="7"/>
        <v>6.2583023220800005E-2</v>
      </c>
      <c r="L62" s="4">
        <f t="shared" si="8"/>
        <v>6.5785694935615702E-2</v>
      </c>
      <c r="M62" s="4">
        <f t="shared" si="9"/>
        <v>7.202189144131621E-2</v>
      </c>
    </row>
    <row r="63" spans="1:13" ht="14.25" customHeight="1">
      <c r="A63" s="1">
        <v>1988</v>
      </c>
      <c r="B63" s="1">
        <v>277.72000000000003</v>
      </c>
      <c r="C63" s="15">
        <f t="shared" si="0"/>
        <v>0.27250468097364222</v>
      </c>
      <c r="E63" s="4">
        <f t="shared" si="1"/>
        <v>0.12400841832604836</v>
      </c>
      <c r="F63" s="4">
        <f t="shared" si="2"/>
        <v>0.10984287814588778</v>
      </c>
      <c r="G63" s="4">
        <f t="shared" si="3"/>
        <v>0.11194641231722269</v>
      </c>
      <c r="H63" s="4">
        <f t="shared" si="4"/>
        <v>7.2239969405017979E-2</v>
      </c>
      <c r="I63" s="4">
        <f t="shared" si="5"/>
        <v>5.0407809403242299E-2</v>
      </c>
      <c r="J63" s="4">
        <f t="shared" si="6"/>
        <v>5.3749068859835214E-2</v>
      </c>
      <c r="K63" s="4">
        <f t="shared" si="7"/>
        <v>5.5325211936732233E-2</v>
      </c>
      <c r="L63" s="4">
        <f t="shared" si="8"/>
        <v>7.1447432170230751E-2</v>
      </c>
      <c r="M63" s="4">
        <f t="shared" si="9"/>
        <v>7.5335762047288535E-2</v>
      </c>
    </row>
    <row r="64" spans="1:13" ht="14.25" customHeight="1">
      <c r="A64" s="1">
        <v>1989</v>
      </c>
      <c r="B64" s="1">
        <v>353.4</v>
      </c>
      <c r="C64" s="15">
        <f t="shared" si="0"/>
        <v>-6.5591397849462219E-2</v>
      </c>
      <c r="E64" s="4">
        <f t="shared" si="1"/>
        <v>0.27250468097364222</v>
      </c>
      <c r="F64" s="4">
        <f t="shared" si="2"/>
        <v>0.16140924097559228</v>
      </c>
      <c r="G64" s="4">
        <f t="shared" si="3"/>
        <v>0.12592228002792361</v>
      </c>
      <c r="H64" s="4">
        <f t="shared" si="4"/>
        <v>0.11552604813931877</v>
      </c>
      <c r="I64" s="4">
        <f t="shared" si="5"/>
        <v>6.9571393148924354E-2</v>
      </c>
      <c r="J64" s="4">
        <f t="shared" si="6"/>
        <v>5.8778401943523129E-2</v>
      </c>
      <c r="K64" s="4">
        <f t="shared" si="7"/>
        <v>6.095527005481971E-2</v>
      </c>
      <c r="L64" s="4">
        <f t="shared" si="8"/>
        <v>6.7452909561468655E-2</v>
      </c>
      <c r="M64" s="4">
        <f t="shared" si="9"/>
        <v>7.9194723490464636E-2</v>
      </c>
    </row>
    <row r="65" spans="1:13" ht="14.25" customHeight="1">
      <c r="A65" s="1">
        <v>1990</v>
      </c>
      <c r="B65" s="1">
        <v>330.22</v>
      </c>
      <c r="C65" s="15">
        <f t="shared" si="0"/>
        <v>0.26306704621161625</v>
      </c>
      <c r="E65" s="4">
        <f t="shared" si="1"/>
        <v>-6.5591397849462219E-2</v>
      </c>
      <c r="F65" s="4">
        <f t="shared" si="2"/>
        <v>9.3424994014704943E-2</v>
      </c>
      <c r="G65" s="4">
        <f t="shared" si="3"/>
        <v>9.2957197442522732E-2</v>
      </c>
      <c r="H65" s="4">
        <f t="shared" si="4"/>
        <v>9.0376122087853838E-2</v>
      </c>
      <c r="I65" s="4">
        <f t="shared" si="5"/>
        <v>6.5897397108888534E-2</v>
      </c>
      <c r="J65" s="4">
        <f t="shared" si="6"/>
        <v>5.2251653339153936E-2</v>
      </c>
      <c r="K65" s="4">
        <f t="shared" si="7"/>
        <v>5.962391121904842E-2</v>
      </c>
      <c r="L65" s="4">
        <f t="shared" si="8"/>
        <v>5.8277376237254819E-2</v>
      </c>
      <c r="M65" s="4">
        <f t="shared" si="9"/>
        <v>7.2072137742227316E-2</v>
      </c>
    </row>
    <row r="66" spans="1:13" ht="14.25" customHeight="1">
      <c r="A66" s="1">
        <v>1991</v>
      </c>
      <c r="B66" s="1">
        <v>417.09</v>
      </c>
      <c r="C66" s="15">
        <f t="shared" si="0"/>
        <v>4.4642643074636279E-2</v>
      </c>
      <c r="E66" s="4">
        <f t="shared" si="1"/>
        <v>0.26306704621161625</v>
      </c>
      <c r="F66" s="4">
        <f t="shared" si="2"/>
        <v>0.11486398775527196</v>
      </c>
      <c r="G66" s="4">
        <f t="shared" si="3"/>
        <v>0.13029458290667795</v>
      </c>
      <c r="H66" s="4">
        <f t="shared" si="4"/>
        <v>9.4625420164232921E-2</v>
      </c>
      <c r="I66" s="4">
        <f t="shared" si="5"/>
        <v>7.2907617373351385E-2</v>
      </c>
      <c r="J66" s="4">
        <f t="shared" si="6"/>
        <v>6.8105325466995215E-2</v>
      </c>
      <c r="K66" s="4">
        <f t="shared" si="7"/>
        <v>6.0524415436176371E-2</v>
      </c>
      <c r="L66" s="4">
        <f t="shared" si="8"/>
        <v>6.4576594399993859E-2</v>
      </c>
      <c r="M66" s="4">
        <f t="shared" si="9"/>
        <v>7.4249140534781377E-2</v>
      </c>
    </row>
    <row r="67" spans="1:13" ht="14.25" customHeight="1">
      <c r="A67" s="1">
        <v>1992</v>
      </c>
      <c r="B67" s="1">
        <v>435.71</v>
      </c>
      <c r="C67" s="15">
        <f t="shared" si="0"/>
        <v>7.0551513621445405E-2</v>
      </c>
      <c r="E67" s="4">
        <f t="shared" si="1"/>
        <v>4.4642643074636279E-2</v>
      </c>
      <c r="F67" s="4">
        <f t="shared" si="2"/>
        <v>0.12013917695026866</v>
      </c>
      <c r="G67" s="4">
        <f t="shared" si="3"/>
        <v>0.11971853428494761</v>
      </c>
      <c r="H67" s="4">
        <f t="shared" si="4"/>
        <v>0.10679656013892846</v>
      </c>
      <c r="I67" s="4">
        <f t="shared" si="5"/>
        <v>6.7472207918573668E-2</v>
      </c>
      <c r="J67" s="4">
        <f t="shared" si="6"/>
        <v>6.2165546193894361E-2</v>
      </c>
      <c r="K67" s="4">
        <f t="shared" si="7"/>
        <v>6.6528026104334836E-2</v>
      </c>
      <c r="L67" s="4">
        <f t="shared" si="8"/>
        <v>7.0620619874224966E-2</v>
      </c>
      <c r="M67" s="4">
        <f t="shared" si="9"/>
        <v>7.2432950786408323E-2</v>
      </c>
    </row>
    <row r="68" spans="1:13" ht="14.25" customHeight="1">
      <c r="A68" s="1">
        <v>1993</v>
      </c>
      <c r="B68" s="1">
        <v>466.45</v>
      </c>
      <c r="C68" s="15">
        <f t="shared" si="0"/>
        <v>-1.5392860971165212E-2</v>
      </c>
      <c r="E68" s="4">
        <f t="shared" si="1"/>
        <v>7.0551513621445405E-2</v>
      </c>
      <c r="F68" s="4">
        <f t="shared" si="2"/>
        <v>0.10927592683374487</v>
      </c>
      <c r="G68" s="4">
        <f t="shared" si="3"/>
        <v>0.10955936627794305</v>
      </c>
      <c r="H68" s="4">
        <f t="shared" si="4"/>
        <v>0.11105553692352488</v>
      </c>
      <c r="I68" s="4">
        <f t="shared" si="5"/>
        <v>8.1381389645845958E-2</v>
      </c>
      <c r="J68" s="4">
        <f t="shared" si="6"/>
        <v>6.1926041688007638E-2</v>
      </c>
      <c r="K68" s="4">
        <f t="shared" si="7"/>
        <v>6.280666170964655E-2</v>
      </c>
      <c r="L68" s="4">
        <f t="shared" si="8"/>
        <v>6.2868750671024376E-2</v>
      </c>
      <c r="M68" s="4">
        <f t="shared" si="9"/>
        <v>7.6104526805356398E-2</v>
      </c>
    </row>
    <row r="69" spans="1:13" ht="14.25" customHeight="1">
      <c r="A69" s="1">
        <v>1994</v>
      </c>
      <c r="B69" s="1">
        <v>459.27</v>
      </c>
      <c r="C69" s="15">
        <f t="shared" si="0"/>
        <v>0.34110653863740281</v>
      </c>
      <c r="E69" s="4">
        <f t="shared" si="1"/>
        <v>-1.5392860971165212E-2</v>
      </c>
      <c r="F69" s="4">
        <f t="shared" si="2"/>
        <v>5.3805125392435649E-2</v>
      </c>
      <c r="G69" s="4">
        <f t="shared" si="3"/>
        <v>0.10629969303901454</v>
      </c>
      <c r="H69" s="4">
        <f t="shared" si="4"/>
        <v>0.10135089976669098</v>
      </c>
      <c r="I69" s="4">
        <f t="shared" si="5"/>
        <v>9.9764922234452547E-2</v>
      </c>
      <c r="J69" s="4">
        <f t="shared" si="6"/>
        <v>6.6399380932114171E-2</v>
      </c>
      <c r="K69" s="4">
        <f t="shared" si="7"/>
        <v>5.794789559660396E-2</v>
      </c>
      <c r="L69" s="4">
        <f t="shared" si="8"/>
        <v>5.9930858206645565E-2</v>
      </c>
      <c r="M69" s="4">
        <f t="shared" si="9"/>
        <v>6.5737317047317001E-2</v>
      </c>
    </row>
    <row r="70" spans="1:13" ht="14.25" customHeight="1">
      <c r="A70" s="1">
        <v>1995</v>
      </c>
      <c r="B70" s="1">
        <v>615.92999999999995</v>
      </c>
      <c r="C70" s="15">
        <f t="shared" si="0"/>
        <v>0.20263666325718832</v>
      </c>
      <c r="E70" s="4">
        <f t="shared" si="1"/>
        <v>0.34110653863740281</v>
      </c>
      <c r="F70" s="4">
        <f t="shared" si="2"/>
        <v>0.13278006333100212</v>
      </c>
      <c r="G70" s="4">
        <f t="shared" si="3"/>
        <v>0.11292858439689568</v>
      </c>
      <c r="H70" s="4">
        <f t="shared" si="4"/>
        <v>0.10607345214114883</v>
      </c>
      <c r="I70" s="4">
        <f t="shared" si="5"/>
        <v>0.10082592417807801</v>
      </c>
      <c r="J70" s="4">
        <f t="shared" si="6"/>
        <v>7.8950301528307731E-2</v>
      </c>
      <c r="K70" s="4">
        <f t="shared" si="7"/>
        <v>6.5264072666834316E-2</v>
      </c>
      <c r="L70" s="4">
        <f t="shared" si="8"/>
        <v>6.9778161802533489E-2</v>
      </c>
      <c r="M70" s="4">
        <f t="shared" si="9"/>
        <v>6.7315392026357612E-2</v>
      </c>
    </row>
    <row r="71" spans="1:13" ht="14.25" customHeight="1">
      <c r="A71" s="1">
        <v>1996</v>
      </c>
      <c r="B71" s="1">
        <v>740.74</v>
      </c>
      <c r="C71" s="15">
        <f t="shared" si="0"/>
        <v>0.31008181008180991</v>
      </c>
      <c r="E71" s="4">
        <f t="shared" si="1"/>
        <v>0.20263666325718832</v>
      </c>
      <c r="F71" s="4">
        <f t="shared" si="2"/>
        <v>0.12172707868902277</v>
      </c>
      <c r="G71" s="4">
        <f t="shared" si="3"/>
        <v>0.11829026827577982</v>
      </c>
      <c r="H71" s="4">
        <f t="shared" si="4"/>
        <v>0.1274315019936445</v>
      </c>
      <c r="I71" s="4">
        <f t="shared" si="5"/>
        <v>0.10133882136910177</v>
      </c>
      <c r="J71" s="4">
        <f t="shared" si="6"/>
        <v>8.2498501257604051E-2</v>
      </c>
      <c r="K71" s="4">
        <f t="shared" si="7"/>
        <v>7.6860881806995573E-2</v>
      </c>
      <c r="L71" s="4">
        <f t="shared" si="8"/>
        <v>6.9058828964383645E-2</v>
      </c>
      <c r="M71" s="4">
        <f t="shared" si="9"/>
        <v>7.1558041761852653E-2</v>
      </c>
    </row>
    <row r="72" spans="1:13" ht="14.25" customHeight="1">
      <c r="A72" s="1">
        <v>1997</v>
      </c>
      <c r="B72" s="1">
        <v>970.43</v>
      </c>
      <c r="C72" s="15">
        <f t="shared" si="0"/>
        <v>0.26668590212586185</v>
      </c>
      <c r="E72" s="4">
        <f t="shared" si="1"/>
        <v>0.31008181008180991</v>
      </c>
      <c r="F72" s="4">
        <f t="shared" si="2"/>
        <v>0.17368981870995093</v>
      </c>
      <c r="G72" s="4">
        <f t="shared" si="3"/>
        <v>0.14660191327446981</v>
      </c>
      <c r="H72" s="4">
        <f t="shared" si="4"/>
        <v>0.13742741166600525</v>
      </c>
      <c r="I72" s="4">
        <f t="shared" si="5"/>
        <v>0.12315368113613001</v>
      </c>
      <c r="J72" s="4">
        <f t="shared" si="6"/>
        <v>8.7917415137477528E-2</v>
      </c>
      <c r="K72" s="4">
        <f t="shared" si="7"/>
        <v>7.9988334586001519E-2</v>
      </c>
      <c r="L72" s="4">
        <f t="shared" si="8"/>
        <v>8.1215901880949293E-2</v>
      </c>
      <c r="M72" s="4">
        <f t="shared" si="9"/>
        <v>8.2992178835781472E-2</v>
      </c>
    </row>
    <row r="73" spans="1:13" ht="14.25" customHeight="1">
      <c r="A73" s="1">
        <v>1998</v>
      </c>
      <c r="B73" s="35">
        <v>1229.23</v>
      </c>
      <c r="C73" s="15">
        <f t="shared" si="0"/>
        <v>0.19526044759727634</v>
      </c>
      <c r="E73" s="4">
        <f t="shared" si="1"/>
        <v>0.26668590212586185</v>
      </c>
      <c r="F73" s="4">
        <f t="shared" si="2"/>
        <v>0.21385164357208475</v>
      </c>
      <c r="G73" s="4">
        <f t="shared" si="3"/>
        <v>0.16038631798297609</v>
      </c>
      <c r="H73" s="4">
        <f t="shared" si="4"/>
        <v>0.14328779199386399</v>
      </c>
      <c r="I73" s="4">
        <f t="shared" si="5"/>
        <v>0.13590818431031759</v>
      </c>
      <c r="J73" s="4">
        <f t="shared" si="6"/>
        <v>0.10666515330103477</v>
      </c>
      <c r="K73" s="4">
        <f t="shared" si="7"/>
        <v>8.585748098595869E-2</v>
      </c>
      <c r="L73" s="4">
        <f t="shared" si="8"/>
        <v>8.3175293426489105E-2</v>
      </c>
      <c r="M73" s="4">
        <f t="shared" si="9"/>
        <v>8.0663255925013333E-2</v>
      </c>
    </row>
    <row r="74" spans="1:13" ht="14.25" customHeight="1">
      <c r="A74" s="1">
        <v>1999</v>
      </c>
      <c r="B74" s="35">
        <v>1469.25</v>
      </c>
      <c r="C74" s="15">
        <f t="shared" si="0"/>
        <v>-0.10139186659860477</v>
      </c>
      <c r="E74" s="4">
        <f t="shared" si="1"/>
        <v>0.19526044759727634</v>
      </c>
      <c r="F74" s="4">
        <f t="shared" si="2"/>
        <v>0.26184358542130859</v>
      </c>
      <c r="G74" s="4">
        <f t="shared" si="3"/>
        <v>0.15314233196103877</v>
      </c>
      <c r="H74" s="4">
        <f t="shared" si="4"/>
        <v>0.15589140932402801</v>
      </c>
      <c r="I74" s="4">
        <f t="shared" si="5"/>
        <v>0.13945102729265613</v>
      </c>
      <c r="J74" s="4">
        <f t="shared" si="6"/>
        <v>0.13042302700246067</v>
      </c>
      <c r="K74" s="4">
        <f t="shared" si="7"/>
        <v>9.6732780252734241E-2</v>
      </c>
      <c r="L74" s="4">
        <f t="shared" si="8"/>
        <v>8.4922566452663384E-2</v>
      </c>
      <c r="M74" s="4">
        <f t="shared" si="9"/>
        <v>8.3287008072949531E-2</v>
      </c>
    </row>
    <row r="75" spans="1:13" ht="14.25" customHeight="1">
      <c r="A75" s="1">
        <v>2000</v>
      </c>
      <c r="B75" s="35">
        <v>1320.28</v>
      </c>
      <c r="C75" s="15">
        <f t="shared" si="0"/>
        <v>-0.1304268791468477</v>
      </c>
      <c r="E75" s="4">
        <f t="shared" si="1"/>
        <v>-0.10139186659860477</v>
      </c>
      <c r="F75" s="4">
        <f t="shared" si="2"/>
        <v>0.16473449378911975</v>
      </c>
      <c r="G75" s="4">
        <f t="shared" si="3"/>
        <v>0.14864616555240451</v>
      </c>
      <c r="H75" s="4">
        <f t="shared" si="4"/>
        <v>0.12993599525627997</v>
      </c>
      <c r="I75" s="4">
        <f t="shared" si="5"/>
        <v>0.12045575278779119</v>
      </c>
      <c r="J75" s="4">
        <f t="shared" si="6"/>
        <v>0.1133207571958359</v>
      </c>
      <c r="K75" s="4">
        <f t="shared" si="7"/>
        <v>9.2795815864426645E-2</v>
      </c>
      <c r="L75" s="4">
        <f t="shared" si="8"/>
        <v>7.8936294433188614E-2</v>
      </c>
      <c r="M75" s="4">
        <f t="shared" si="9"/>
        <v>8.1210810199912942E-2</v>
      </c>
    </row>
    <row r="76" spans="1:13" ht="14.25" customHeight="1">
      <c r="A76" s="1">
        <v>2001</v>
      </c>
      <c r="B76" s="35">
        <v>1148.08</v>
      </c>
      <c r="C76" s="15">
        <f t="shared" si="0"/>
        <v>-0.23365967528395226</v>
      </c>
      <c r="E76" s="4">
        <f t="shared" si="1"/>
        <v>-0.1304268791468477</v>
      </c>
      <c r="F76" s="4">
        <f t="shared" si="2"/>
        <v>9.1594329168262378E-2</v>
      </c>
      <c r="G76" s="4">
        <f t="shared" si="3"/>
        <v>0.10655814034844946</v>
      </c>
      <c r="H76" s="4">
        <f t="shared" si="4"/>
        <v>0.10931985779794151</v>
      </c>
      <c r="I76" s="4">
        <f t="shared" si="5"/>
        <v>0.11836338982780537</v>
      </c>
      <c r="J76" s="4">
        <f t="shared" si="6"/>
        <v>9.9382988651528281E-2</v>
      </c>
      <c r="K76" s="4">
        <f t="shared" si="7"/>
        <v>8.4009192111753395E-2</v>
      </c>
      <c r="L76" s="4">
        <f t="shared" si="8"/>
        <v>7.89534218398662E-2</v>
      </c>
      <c r="M76" s="4">
        <f t="shared" si="9"/>
        <v>7.1850124748874977E-2</v>
      </c>
    </row>
    <row r="77" spans="1:13" ht="14.25" customHeight="1">
      <c r="A77" s="1">
        <v>2002</v>
      </c>
      <c r="B77" s="1">
        <v>879.82</v>
      </c>
      <c r="C77" s="15">
        <f t="shared" si="0"/>
        <v>0.26380395990088878</v>
      </c>
      <c r="E77" s="4">
        <f t="shared" si="1"/>
        <v>-0.23365967528395226</v>
      </c>
      <c r="F77" s="4">
        <f t="shared" si="2"/>
        <v>-1.9413469883708956E-2</v>
      </c>
      <c r="G77" s="4">
        <f t="shared" si="3"/>
        <v>7.280213775029809E-2</v>
      </c>
      <c r="H77" s="4">
        <f t="shared" si="4"/>
        <v>8.8354596625973114E-2</v>
      </c>
      <c r="I77" s="4">
        <f t="shared" si="5"/>
        <v>9.6009323527643353E-2</v>
      </c>
      <c r="J77" s="4">
        <f t="shared" si="6"/>
        <v>9.3071403286634879E-2</v>
      </c>
      <c r="K77" s="4">
        <f t="shared" si="7"/>
        <v>6.9245902421496197E-2</v>
      </c>
      <c r="L77" s="4">
        <f t="shared" si="8"/>
        <v>6.5193765201645437E-2</v>
      </c>
      <c r="M77" s="4">
        <f t="shared" si="9"/>
        <v>6.8093105623875605E-2</v>
      </c>
    </row>
    <row r="78" spans="1:13" ht="14.25" customHeight="1">
      <c r="A78" s="1">
        <v>2003</v>
      </c>
      <c r="B78" s="35">
        <v>1111.92</v>
      </c>
      <c r="C78" s="15">
        <f t="shared" si="0"/>
        <v>8.9934527663860786E-2</v>
      </c>
      <c r="E78" s="4">
        <f t="shared" si="1"/>
        <v>0.26380395990088878</v>
      </c>
      <c r="F78" s="4">
        <f t="shared" si="2"/>
        <v>-1.9860079275864861E-2</v>
      </c>
      <c r="G78" s="4">
        <f t="shared" si="3"/>
        <v>9.075407572083094E-2</v>
      </c>
      <c r="H78" s="4">
        <f t="shared" si="4"/>
        <v>9.6893405922410247E-2</v>
      </c>
      <c r="I78" s="4">
        <f t="shared" si="5"/>
        <v>0.10011653974562562</v>
      </c>
      <c r="J78" s="4">
        <f t="shared" si="6"/>
        <v>0.10288999906691298</v>
      </c>
      <c r="K78" s="4">
        <f t="shared" si="7"/>
        <v>8.4496635313734414E-2</v>
      </c>
      <c r="L78" s="4">
        <f t="shared" si="8"/>
        <v>7.0083982850283055E-2</v>
      </c>
      <c r="M78" s="4">
        <f t="shared" si="9"/>
        <v>6.9725656311373063E-2</v>
      </c>
    </row>
    <row r="79" spans="1:13" ht="14.25" customHeight="1">
      <c r="A79" s="1">
        <v>2004</v>
      </c>
      <c r="B79" s="35">
        <v>1211.92</v>
      </c>
      <c r="C79" s="15">
        <f t="shared" si="0"/>
        <v>3.0010231698461842E-2</v>
      </c>
      <c r="E79" s="4">
        <f t="shared" si="1"/>
        <v>8.9934527663860786E-2</v>
      </c>
      <c r="F79" s="4">
        <f t="shared" si="2"/>
        <v>-3.777718386196105E-2</v>
      </c>
      <c r="G79" s="4">
        <f t="shared" si="3"/>
        <v>0.10189595166232079</v>
      </c>
      <c r="H79" s="4">
        <f t="shared" si="4"/>
        <v>8.5626644923309625E-2</v>
      </c>
      <c r="I79" s="4">
        <f t="shared" si="5"/>
        <v>0.10409562678463602</v>
      </c>
      <c r="J79" s="4">
        <f t="shared" si="6"/>
        <v>0.10156888816433773</v>
      </c>
      <c r="K79" s="4">
        <f t="shared" si="7"/>
        <v>0.10047480705650269</v>
      </c>
      <c r="L79" s="4">
        <f t="shared" si="8"/>
        <v>7.6422934452961222E-2</v>
      </c>
      <c r="M79" s="4">
        <f t="shared" si="9"/>
        <v>6.8767788445377231E-2</v>
      </c>
    </row>
    <row r="80" spans="1:13" ht="14.25" customHeight="1">
      <c r="A80" s="1">
        <v>2005</v>
      </c>
      <c r="B80" s="35">
        <v>1248.29</v>
      </c>
      <c r="C80" s="15">
        <f t="shared" si="0"/>
        <v>0.13619431382130753</v>
      </c>
      <c r="E80" s="4">
        <f t="shared" si="1"/>
        <v>3.0010231698461842E-2</v>
      </c>
      <c r="F80" s="4">
        <f t="shared" si="2"/>
        <v>-1.1151203330318271E-2</v>
      </c>
      <c r="G80" s="4">
        <f t="shared" si="3"/>
        <v>7.3194438404822426E-2</v>
      </c>
      <c r="H80" s="4">
        <f t="shared" si="4"/>
        <v>9.2699659864977857E-2</v>
      </c>
      <c r="I80" s="4">
        <f t="shared" si="5"/>
        <v>9.2880948281422127E-2</v>
      </c>
      <c r="J80" s="4">
        <f t="shared" si="6"/>
        <v>9.2802667613050227E-2</v>
      </c>
      <c r="K80" s="4">
        <f t="shared" si="7"/>
        <v>9.1537272716919915E-2</v>
      </c>
      <c r="L80" s="4">
        <f t="shared" si="8"/>
        <v>7.7302626383156658E-2</v>
      </c>
      <c r="M80" s="4">
        <f t="shared" si="9"/>
        <v>6.7241153233643658E-2</v>
      </c>
    </row>
    <row r="81" spans="1:13" ht="14.25" customHeight="1">
      <c r="A81" s="1">
        <v>2006</v>
      </c>
      <c r="B81" s="35">
        <v>1418.3</v>
      </c>
      <c r="C81" s="15">
        <f t="shared" si="0"/>
        <v>3.5295776633998521E-2</v>
      </c>
      <c r="E81" s="4">
        <f t="shared" si="1"/>
        <v>0.13619431382130753</v>
      </c>
      <c r="F81" s="4">
        <f t="shared" si="2"/>
        <v>4.3179851514027812E-2</v>
      </c>
      <c r="G81" s="4">
        <f t="shared" si="3"/>
        <v>6.7112557425552444E-2</v>
      </c>
      <c r="H81" s="4">
        <f t="shared" si="4"/>
        <v>8.5015365123971787E-2</v>
      </c>
      <c r="I81" s="4">
        <f t="shared" si="5"/>
        <v>9.2401752160748973E-2</v>
      </c>
      <c r="J81" s="4">
        <f t="shared" si="6"/>
        <v>0.10290521814446807</v>
      </c>
      <c r="K81" s="4">
        <f t="shared" si="7"/>
        <v>8.9809799888712627E-2</v>
      </c>
      <c r="L81" s="4">
        <f t="shared" si="8"/>
        <v>7.8080019401061795E-2</v>
      </c>
      <c r="M81" s="4">
        <f t="shared" si="9"/>
        <v>7.441548358648209E-2</v>
      </c>
    </row>
    <row r="82" spans="1:13" ht="14.25" customHeight="1">
      <c r="A82" s="1">
        <v>2007</v>
      </c>
      <c r="B82" s="35">
        <v>1468.36</v>
      </c>
      <c r="C82" s="15">
        <f t="shared" si="0"/>
        <v>-0.38485793674575708</v>
      </c>
      <c r="E82" s="4">
        <f t="shared" si="1"/>
        <v>3.5295776633998521E-2</v>
      </c>
      <c r="F82" s="4">
        <f t="shared" si="2"/>
        <v>0.10786729791141547</v>
      </c>
      <c r="G82" s="4">
        <f t="shared" si="3"/>
        <v>4.2285829073899661E-2</v>
      </c>
      <c r="H82" s="4">
        <f t="shared" si="4"/>
        <v>8.4365440480525633E-2</v>
      </c>
      <c r="I82" s="4">
        <f t="shared" si="5"/>
        <v>9.320031366396897E-2</v>
      </c>
      <c r="J82" s="4">
        <f t="shared" si="6"/>
        <v>9.8370721000050176E-2</v>
      </c>
      <c r="K82" s="4">
        <f t="shared" si="7"/>
        <v>9.5523591465459745E-2</v>
      </c>
      <c r="L82" s="4">
        <f t="shared" si="8"/>
        <v>7.4679697478675866E-2</v>
      </c>
      <c r="M82" s="4">
        <f t="shared" si="9"/>
        <v>7.0436739858977804E-2</v>
      </c>
    </row>
    <row r="83" spans="1:13" ht="14.25" customHeight="1">
      <c r="A83" s="1">
        <v>2008</v>
      </c>
      <c r="B83" s="1">
        <v>903.25</v>
      </c>
      <c r="C83" s="15">
        <f t="shared" si="0"/>
        <v>0.23454193191253792</v>
      </c>
      <c r="E83" s="4">
        <f t="shared" si="1"/>
        <v>-0.38485793674575708</v>
      </c>
      <c r="F83" s="4">
        <f t="shared" si="2"/>
        <v>-4.0716696271202779E-2</v>
      </c>
      <c r="G83" s="4">
        <f t="shared" si="3"/>
        <v>-3.0344462569965147E-2</v>
      </c>
      <c r="H83" s="4">
        <f t="shared" si="4"/>
        <v>4.5041470280226648E-2</v>
      </c>
      <c r="I83" s="4">
        <f t="shared" si="5"/>
        <v>6.0742673220155696E-2</v>
      </c>
      <c r="J83" s="4">
        <f t="shared" si="6"/>
        <v>7.0385783845346994E-2</v>
      </c>
      <c r="K83" s="4">
        <f t="shared" si="7"/>
        <v>7.754309049315844E-2</v>
      </c>
      <c r="L83" s="4">
        <f t="shared" si="8"/>
        <v>6.5654912538462895E-2</v>
      </c>
      <c r="M83" s="4">
        <f t="shared" si="9"/>
        <v>5.5562592989029325E-2</v>
      </c>
    </row>
    <row r="84" spans="1:13" ht="14.25" customHeight="1">
      <c r="A84" s="1">
        <v>2009</v>
      </c>
      <c r="B84" s="35">
        <v>1115.0999999999999</v>
      </c>
      <c r="C84" s="15">
        <f t="shared" si="0"/>
        <v>0.12782710070845682</v>
      </c>
      <c r="E84" s="4">
        <f t="shared" si="1"/>
        <v>0.23454193191253792</v>
      </c>
      <c r="F84" s="4">
        <f t="shared" si="2"/>
        <v>-1.6514474282041225E-2</v>
      </c>
      <c r="G84" s="4">
        <f t="shared" si="3"/>
        <v>-2.7203920553061645E-2</v>
      </c>
      <c r="H84" s="4">
        <f t="shared" si="4"/>
        <v>6.0921007889018552E-2</v>
      </c>
      <c r="I84" s="4">
        <f t="shared" si="5"/>
        <v>5.9137545163987948E-2</v>
      </c>
      <c r="J84" s="4">
        <f t="shared" si="6"/>
        <v>7.8844734551712703E-2</v>
      </c>
      <c r="K84" s="4">
        <f t="shared" si="7"/>
        <v>8.094694903124422E-2</v>
      </c>
      <c r="L84" s="4">
        <f t="shared" si="8"/>
        <v>8.29463529440988E-2</v>
      </c>
      <c r="M84" s="4">
        <f t="shared" si="9"/>
        <v>6.4341683726320209E-2</v>
      </c>
    </row>
    <row r="85" spans="1:13" ht="14.25" customHeight="1">
      <c r="A85" s="1">
        <v>2010</v>
      </c>
      <c r="B85" s="35">
        <v>1257.6400000000001</v>
      </c>
      <c r="C85" s="15">
        <f t="shared" si="0"/>
        <v>-3.1805604147616684E-5</v>
      </c>
      <c r="E85" s="4">
        <f t="shared" si="1"/>
        <v>0.12782710070845682</v>
      </c>
      <c r="F85" s="4">
        <f t="shared" si="2"/>
        <v>1.4935810938248029E-3</v>
      </c>
      <c r="G85" s="4">
        <f t="shared" si="3"/>
        <v>-4.8488946210032413E-3</v>
      </c>
      <c r="H85" s="4">
        <f t="shared" si="4"/>
        <v>4.8741206273916093E-2</v>
      </c>
      <c r="I85" s="4">
        <f t="shared" si="5"/>
        <v>6.9147558262572684E-2</v>
      </c>
      <c r="J85" s="4">
        <f t="shared" si="6"/>
        <v>7.3959534918070613E-2</v>
      </c>
      <c r="K85" s="4">
        <f t="shared" si="7"/>
        <v>7.7025907964178408E-2</v>
      </c>
      <c r="L85" s="4">
        <f t="shared" si="8"/>
        <v>7.8194431276720877E-2</v>
      </c>
      <c r="M85" s="4">
        <f t="shared" si="9"/>
        <v>6.7521240761700296E-2</v>
      </c>
    </row>
    <row r="86" spans="1:13" ht="14.25" customHeight="1">
      <c r="A86" s="1">
        <v>2011</v>
      </c>
      <c r="B86" s="35">
        <v>1257.5999999999999</v>
      </c>
      <c r="C86" s="15">
        <f t="shared" si="0"/>
        <v>0.13405693384223927</v>
      </c>
      <c r="E86" s="4">
        <f t="shared" si="1"/>
        <v>-3.1805604147616684E-5</v>
      </c>
      <c r="F86" s="4">
        <f t="shared" si="2"/>
        <v>-2.3763850836074352E-2</v>
      </c>
      <c r="G86" s="4">
        <f t="shared" si="3"/>
        <v>9.1530513888615772E-3</v>
      </c>
      <c r="H86" s="4">
        <f t="shared" si="4"/>
        <v>3.5917370387194891E-2</v>
      </c>
      <c r="I86" s="4">
        <f t="shared" si="5"/>
        <v>5.6733894541015406E-2</v>
      </c>
      <c r="J86" s="4">
        <f t="shared" si="6"/>
        <v>6.8112229172640593E-2</v>
      </c>
      <c r="K86" s="4">
        <f t="shared" si="7"/>
        <v>8.0706193577580132E-2</v>
      </c>
      <c r="L86" s="4">
        <f t="shared" si="8"/>
        <v>7.2809804881636575E-2</v>
      </c>
      <c r="M86" s="4">
        <f t="shared" si="9"/>
        <v>6.4790047375379523E-2</v>
      </c>
    </row>
    <row r="87" spans="1:13" ht="14.25" customHeight="1">
      <c r="A87" s="1">
        <v>2012</v>
      </c>
      <c r="B87" s="35">
        <v>1426.19</v>
      </c>
      <c r="C87" s="15">
        <f t="shared" si="0"/>
        <v>0.29601245275874866</v>
      </c>
      <c r="E87" s="4">
        <f t="shared" si="1"/>
        <v>0.13405693384223927</v>
      </c>
      <c r="F87" s="4">
        <f t="shared" si="2"/>
        <v>-5.8109663989115434E-3</v>
      </c>
      <c r="G87" s="4">
        <f t="shared" si="3"/>
        <v>4.9490122997257746E-2</v>
      </c>
      <c r="H87" s="4">
        <f t="shared" si="4"/>
        <v>2.6000434918967752E-2</v>
      </c>
      <c r="I87" s="4">
        <f t="shared" si="5"/>
        <v>6.1082111572559494E-2</v>
      </c>
      <c r="J87" s="4">
        <f t="shared" si="6"/>
        <v>7.2639020693676892E-2</v>
      </c>
      <c r="K87" s="4">
        <f t="shared" si="7"/>
        <v>8.0278213729258363E-2</v>
      </c>
      <c r="L87" s="4">
        <f t="shared" si="8"/>
        <v>8.0438149894111577E-2</v>
      </c>
      <c r="M87" s="4">
        <f t="shared" si="9"/>
        <v>6.4272363835152113E-2</v>
      </c>
    </row>
    <row r="88" spans="1:13" ht="14.25" customHeight="1">
      <c r="A88" s="1">
        <v>2013</v>
      </c>
      <c r="B88" s="35">
        <v>1848.36</v>
      </c>
      <c r="C88" s="15">
        <f t="shared" si="0"/>
        <v>0.11390638187366098</v>
      </c>
      <c r="E88" s="4">
        <f t="shared" si="1"/>
        <v>0.29601245275874866</v>
      </c>
      <c r="F88" s="4">
        <f t="shared" si="2"/>
        <v>0.15397318780628555</v>
      </c>
      <c r="G88" s="4">
        <f t="shared" si="3"/>
        <v>5.2134597859639475E-2</v>
      </c>
      <c r="H88" s="4">
        <f t="shared" si="4"/>
        <v>2.7567186415917488E-2</v>
      </c>
      <c r="I88" s="4">
        <f t="shared" si="5"/>
        <v>7.1270321077877785E-2</v>
      </c>
      <c r="J88" s="4">
        <f t="shared" si="6"/>
        <v>7.8765816366645813E-2</v>
      </c>
      <c r="K88" s="4">
        <f t="shared" si="7"/>
        <v>8.388422798876527E-2</v>
      </c>
      <c r="L88" s="4">
        <f t="shared" si="8"/>
        <v>8.8143640228328213E-2</v>
      </c>
      <c r="M88" s="4">
        <f t="shared" si="9"/>
        <v>7.6313982299564431E-2</v>
      </c>
    </row>
    <row r="89" spans="1:13" ht="14.25" customHeight="1">
      <c r="A89" s="1">
        <v>2014</v>
      </c>
      <c r="B89" s="35">
        <v>2058.9</v>
      </c>
      <c r="C89" s="15">
        <f t="shared" si="0"/>
        <v>-7.26601583369757E-3</v>
      </c>
      <c r="E89" s="4">
        <f t="shared" si="1"/>
        <v>0.11390638187366098</v>
      </c>
      <c r="F89" s="4">
        <f t="shared" si="2"/>
        <v>0.13048365510767201</v>
      </c>
      <c r="G89" s="4">
        <f t="shared" si="3"/>
        <v>5.4426058033055336E-2</v>
      </c>
      <c r="H89" s="4">
        <f t="shared" si="4"/>
        <v>2.2749565377664371E-2</v>
      </c>
      <c r="I89" s="4">
        <f t="shared" si="5"/>
        <v>7.7899719210411167E-2</v>
      </c>
      <c r="J89" s="4">
        <f t="shared" si="6"/>
        <v>7.3037125905038414E-2</v>
      </c>
      <c r="K89" s="4">
        <f t="shared" si="7"/>
        <v>8.7284432202505924E-2</v>
      </c>
      <c r="L89" s="4">
        <f t="shared" si="8"/>
        <v>8.78884523391259E-2</v>
      </c>
      <c r="M89" s="4">
        <f t="shared" si="9"/>
        <v>8.8777434039655434E-2</v>
      </c>
    </row>
    <row r="90" spans="1:13" ht="14.25" customHeight="1">
      <c r="A90" s="1">
        <v>2015</v>
      </c>
      <c r="B90" s="35">
        <v>2043.94</v>
      </c>
      <c r="C90" s="15">
        <f t="shared" si="0"/>
        <v>9.5350157049619799E-2</v>
      </c>
      <c r="E90" s="4">
        <f t="shared" si="1"/>
        <v>-7.26601583369757E-3</v>
      </c>
      <c r="F90" s="4">
        <f t="shared" si="2"/>
        <v>0.10200194288210818</v>
      </c>
      <c r="G90" s="4">
        <f t="shared" si="3"/>
        <v>5.0546463584240975E-2</v>
      </c>
      <c r="H90" s="4">
        <f t="shared" si="4"/>
        <v>2.9564295662300566E-2</v>
      </c>
      <c r="I90" s="4">
        <f t="shared" si="5"/>
        <v>6.1810068705539178E-2</v>
      </c>
      <c r="J90" s="4">
        <f t="shared" si="6"/>
        <v>7.5639125118065254E-2</v>
      </c>
      <c r="K90" s="4">
        <f t="shared" si="7"/>
        <v>7.8583217512451675E-2</v>
      </c>
      <c r="L90" s="4">
        <f t="shared" si="8"/>
        <v>8.0558953132254807E-2</v>
      </c>
      <c r="M90" s="4">
        <f t="shared" si="9"/>
        <v>8.1142012033740052E-2</v>
      </c>
    </row>
    <row r="91" spans="1:13" ht="14.25" customHeight="1">
      <c r="A91" s="1">
        <v>2016</v>
      </c>
      <c r="B91" s="35">
        <v>2238.83</v>
      </c>
      <c r="C91" s="15">
        <f t="shared" si="0"/>
        <v>0.19419964892376829</v>
      </c>
      <c r="E91" s="4">
        <f t="shared" si="1"/>
        <v>9.5350157049619799E-2</v>
      </c>
      <c r="F91" s="4">
        <f t="shared" si="2"/>
        <v>0.12226577263625438</v>
      </c>
      <c r="G91" s="4">
        <f t="shared" si="3"/>
        <v>4.6707416720114248E-2</v>
      </c>
      <c r="H91" s="4">
        <f t="shared" si="4"/>
        <v>4.5530238235085063E-2</v>
      </c>
      <c r="I91" s="4">
        <f t="shared" si="5"/>
        <v>5.6860742166390699E-2</v>
      </c>
      <c r="J91" s="4">
        <f t="shared" si="6"/>
        <v>6.9526755913737581E-2</v>
      </c>
      <c r="K91" s="4">
        <f t="shared" si="7"/>
        <v>7.6952856536623315E-2</v>
      </c>
      <c r="L91" s="4">
        <f t="shared" si="8"/>
        <v>8.6547693802020431E-2</v>
      </c>
      <c r="M91" s="4">
        <f t="shared" si="9"/>
        <v>7.887059656327966E-2</v>
      </c>
    </row>
    <row r="92" spans="1:13" ht="14.25" customHeight="1">
      <c r="A92" s="1">
        <v>2017</v>
      </c>
      <c r="B92" s="35">
        <v>2673.61</v>
      </c>
      <c r="C92" s="15">
        <f t="shared" si="0"/>
        <v>-6.2372597349650949E-2</v>
      </c>
      <c r="E92" s="4">
        <f t="shared" si="1"/>
        <v>0.19419964892376829</v>
      </c>
      <c r="F92" s="4">
        <f t="shared" si="2"/>
        <v>0.13392448710722649</v>
      </c>
      <c r="G92" s="4">
        <f t="shared" si="3"/>
        <v>6.1760467343620506E-2</v>
      </c>
      <c r="H92" s="4">
        <f t="shared" si="4"/>
        <v>7.691216234204945E-2</v>
      </c>
      <c r="I92" s="4">
        <f t="shared" si="5"/>
        <v>5.1978083889173243E-2</v>
      </c>
      <c r="J92" s="4">
        <f t="shared" si="6"/>
        <v>7.5266266360287437E-2</v>
      </c>
      <c r="K92" s="4">
        <f t="shared" si="7"/>
        <v>8.2618262384015706E-2</v>
      </c>
      <c r="L92" s="4">
        <f t="shared" si="8"/>
        <v>8.7783704378827654E-2</v>
      </c>
      <c r="M92" s="4">
        <f t="shared" si="9"/>
        <v>8.6983466937127663E-2</v>
      </c>
    </row>
    <row r="93" spans="1:13" ht="14.25" customHeight="1">
      <c r="A93" s="1">
        <v>2018</v>
      </c>
      <c r="B93" s="35">
        <v>2506.85</v>
      </c>
      <c r="C93" s="15">
        <f t="shared" si="0"/>
        <v>0.28878074077028959</v>
      </c>
      <c r="E93" s="4">
        <f t="shared" si="1"/>
        <v>-6.2372597349650949E-2</v>
      </c>
      <c r="F93" s="4">
        <f t="shared" si="2"/>
        <v>6.284114198776436E-2</v>
      </c>
      <c r="G93" s="4">
        <f t="shared" si="3"/>
        <v>0.10747017149505811</v>
      </c>
      <c r="H93" s="4">
        <f t="shared" si="4"/>
        <v>5.5691408320450053E-2</v>
      </c>
      <c r="I93" s="4">
        <f t="shared" si="5"/>
        <v>3.6274376952732279E-2</v>
      </c>
      <c r="J93" s="4">
        <f t="shared" si="6"/>
        <v>6.9579154142051847E-2</v>
      </c>
      <c r="K93" s="4">
        <f t="shared" si="7"/>
        <v>7.609523020764497E-2</v>
      </c>
      <c r="L93" s="4">
        <f t="shared" si="8"/>
        <v>8.0852755265313325E-2</v>
      </c>
      <c r="M93" s="4">
        <f t="shared" si="9"/>
        <v>8.4948176629503269E-2</v>
      </c>
    </row>
    <row r="94" spans="1:13" ht="14.25" customHeight="1">
      <c r="A94" s="1">
        <v>2019</v>
      </c>
      <c r="B94" s="35">
        <v>3230.78</v>
      </c>
      <c r="C94" s="15">
        <f t="shared" si="0"/>
        <v>0.16258921994069531</v>
      </c>
      <c r="E94" s="4">
        <f t="shared" si="1"/>
        <v>0.28878074077028959</v>
      </c>
      <c r="F94" s="4">
        <f t="shared" si="2"/>
        <v>9.4295029118029339E-2</v>
      </c>
      <c r="G94" s="4">
        <f t="shared" si="3"/>
        <v>0.11224216980094148</v>
      </c>
      <c r="H94" s="4">
        <f t="shared" si="4"/>
        <v>6.7551648569835976E-2</v>
      </c>
      <c r="I94" s="4">
        <f t="shared" si="5"/>
        <v>4.0184994209160774E-2</v>
      </c>
      <c r="J94" s="4">
        <f t="shared" si="6"/>
        <v>8.1159010980631496E-2</v>
      </c>
      <c r="K94" s="4">
        <f t="shared" si="7"/>
        <v>7.6551213142793006E-2</v>
      </c>
      <c r="L94" s="4">
        <f t="shared" si="8"/>
        <v>8.8283189515689031E-2</v>
      </c>
      <c r="M94" s="4">
        <f t="shared" si="9"/>
        <v>8.868721872998675E-2</v>
      </c>
    </row>
    <row r="95" spans="1:13" ht="14.25" customHeight="1">
      <c r="A95" s="1">
        <v>2020</v>
      </c>
      <c r="B95" s="35">
        <v>3756.07</v>
      </c>
      <c r="C95" s="15">
        <f t="shared" si="0"/>
        <v>0.268927362908572</v>
      </c>
      <c r="E95" s="4">
        <f t="shared" si="1"/>
        <v>0.16258921994069531</v>
      </c>
      <c r="F95" s="4">
        <f t="shared" si="2"/>
        <v>0.12941384405182332</v>
      </c>
      <c r="G95" s="4">
        <f t="shared" si="3"/>
        <v>0.11562370468857441</v>
      </c>
      <c r="H95" s="4">
        <f t="shared" si="4"/>
        <v>7.6203860851062233E-2</v>
      </c>
      <c r="I95" s="4">
        <f t="shared" si="5"/>
        <v>5.3667007601474692E-2</v>
      </c>
      <c r="J95" s="4">
        <f t="shared" si="6"/>
        <v>7.4999080522740069E-2</v>
      </c>
      <c r="K95" s="4">
        <f t="shared" si="7"/>
        <v>8.4420394818048194E-2</v>
      </c>
      <c r="L95" s="4">
        <f t="shared" si="8"/>
        <v>8.5702211730265931E-2</v>
      </c>
      <c r="M95" s="4">
        <f t="shared" si="9"/>
        <v>8.6548323909143798E-2</v>
      </c>
    </row>
    <row r="96" spans="1:13" ht="14.25" customHeight="1">
      <c r="A96" s="1">
        <v>2021</v>
      </c>
      <c r="B96" s="35">
        <v>4766.18</v>
      </c>
      <c r="C96" s="15">
        <f t="shared" si="0"/>
        <v>-0.16259142541825955</v>
      </c>
      <c r="E96" s="4">
        <f t="shared" si="1"/>
        <v>0.268927362908572</v>
      </c>
      <c r="F96" s="4">
        <f t="shared" si="2"/>
        <v>0.1631343039742077</v>
      </c>
      <c r="G96" s="4">
        <f t="shared" si="3"/>
        <v>0.14251731642428345</v>
      </c>
      <c r="H96" s="4">
        <f t="shared" si="4"/>
        <v>8.4160272495933608E-2</v>
      </c>
      <c r="I96" s="4">
        <f t="shared" si="5"/>
        <v>7.3766658140482111E-2</v>
      </c>
      <c r="J96" s="4">
        <f t="shared" si="6"/>
        <v>7.7308746202589651E-2</v>
      </c>
      <c r="K96" s="4">
        <f t="shared" si="7"/>
        <v>8.4587734540217063E-2</v>
      </c>
      <c r="L96" s="4">
        <f t="shared" si="8"/>
        <v>8.886204573432166E-2</v>
      </c>
      <c r="M96" s="4">
        <f t="shared" si="9"/>
        <v>9.5838181339774176E-2</v>
      </c>
    </row>
    <row r="97" spans="1:13" ht="14.25" customHeight="1">
      <c r="A97" s="1">
        <v>2022</v>
      </c>
      <c r="B97" s="35">
        <v>3991.24</v>
      </c>
      <c r="C97" s="23">
        <v>6.7000000000000004E-2</v>
      </c>
      <c r="E97" s="4">
        <f t="shared" si="1"/>
        <v>-0.16259142541825955</v>
      </c>
      <c r="F97" s="4">
        <f t="shared" si="2"/>
        <v>8.3432745009027975E-2</v>
      </c>
      <c r="G97" s="4">
        <f t="shared" si="3"/>
        <v>0.10839114021158447</v>
      </c>
      <c r="H97" s="4">
        <f t="shared" si="4"/>
        <v>6.893595792770113E-2</v>
      </c>
      <c r="I97" s="4">
        <f t="shared" si="5"/>
        <v>7.8538619646847385E-2</v>
      </c>
      <c r="J97" s="4">
        <f t="shared" si="6"/>
        <v>5.8195097544690988E-2</v>
      </c>
      <c r="K97" s="4">
        <f t="shared" si="7"/>
        <v>7.6623058857529847E-2</v>
      </c>
      <c r="L97" s="4">
        <f t="shared" si="8"/>
        <v>8.2734579546458242E-2</v>
      </c>
      <c r="M97" s="4">
        <f t="shared" si="9"/>
        <v>8.7238880337517699E-2</v>
      </c>
    </row>
    <row r="98" spans="1:13" ht="14.25" customHeight="1">
      <c r="C98" s="23">
        <v>6.7000000000000004E-2</v>
      </c>
    </row>
    <row r="99" spans="1:13" ht="14.25" customHeight="1">
      <c r="C99" s="23">
        <v>6.7000000000000004E-2</v>
      </c>
    </row>
    <row r="100" spans="1:13" ht="14.25" customHeight="1">
      <c r="C100" s="15">
        <f>U29</f>
        <v>6.6799999999999998E-2</v>
      </c>
    </row>
    <row r="101" spans="1:13" ht="14.25" customHeight="1">
      <c r="C101" s="15">
        <f t="shared" ref="C101:C200" si="10">C100</f>
        <v>6.6799999999999998E-2</v>
      </c>
    </row>
    <row r="102" spans="1:13" ht="14.25" customHeight="1">
      <c r="C102" s="15">
        <f t="shared" si="10"/>
        <v>6.6799999999999998E-2</v>
      </c>
    </row>
    <row r="103" spans="1:13" ht="14.25" customHeight="1">
      <c r="C103" s="15">
        <f t="shared" si="10"/>
        <v>6.6799999999999998E-2</v>
      </c>
    </row>
    <row r="104" spans="1:13" ht="14.25" customHeight="1">
      <c r="C104" s="15">
        <f t="shared" si="10"/>
        <v>6.6799999999999998E-2</v>
      </c>
    </row>
    <row r="105" spans="1:13" ht="14.25" customHeight="1">
      <c r="C105" s="15">
        <f t="shared" si="10"/>
        <v>6.6799999999999998E-2</v>
      </c>
    </row>
    <row r="106" spans="1:13" ht="14.25" customHeight="1">
      <c r="C106" s="15">
        <f t="shared" si="10"/>
        <v>6.6799999999999998E-2</v>
      </c>
    </row>
    <row r="107" spans="1:13" ht="14.25" customHeight="1">
      <c r="C107" s="15">
        <f t="shared" si="10"/>
        <v>6.6799999999999998E-2</v>
      </c>
    </row>
    <row r="108" spans="1:13" ht="14.25" customHeight="1">
      <c r="C108" s="15">
        <f t="shared" si="10"/>
        <v>6.6799999999999998E-2</v>
      </c>
    </row>
    <row r="109" spans="1:13" ht="14.25" customHeight="1">
      <c r="C109" s="15">
        <f t="shared" si="10"/>
        <v>6.6799999999999998E-2</v>
      </c>
    </row>
    <row r="110" spans="1:13" ht="14.25" customHeight="1">
      <c r="C110" s="15">
        <f t="shared" si="10"/>
        <v>6.6799999999999998E-2</v>
      </c>
    </row>
    <row r="111" spans="1:13" ht="14.25" customHeight="1">
      <c r="C111" s="15">
        <f t="shared" si="10"/>
        <v>6.6799999999999998E-2</v>
      </c>
    </row>
    <row r="112" spans="1:13" ht="14.25" customHeight="1">
      <c r="C112" s="15">
        <f t="shared" si="10"/>
        <v>6.6799999999999998E-2</v>
      </c>
    </row>
    <row r="113" spans="3:3" ht="14.25" customHeight="1">
      <c r="C113" s="15">
        <f t="shared" si="10"/>
        <v>6.6799999999999998E-2</v>
      </c>
    </row>
    <row r="114" spans="3:3" ht="14.25" customHeight="1">
      <c r="C114" s="15">
        <f t="shared" si="10"/>
        <v>6.6799999999999998E-2</v>
      </c>
    </row>
    <row r="115" spans="3:3" ht="14.25" customHeight="1">
      <c r="C115" s="15">
        <f t="shared" si="10"/>
        <v>6.6799999999999998E-2</v>
      </c>
    </row>
    <row r="116" spans="3:3" ht="14.25" customHeight="1">
      <c r="C116" s="15">
        <f t="shared" si="10"/>
        <v>6.6799999999999998E-2</v>
      </c>
    </row>
    <row r="117" spans="3:3" ht="14.25" customHeight="1">
      <c r="C117" s="15">
        <f t="shared" si="10"/>
        <v>6.6799999999999998E-2</v>
      </c>
    </row>
    <row r="118" spans="3:3" ht="14.25" customHeight="1">
      <c r="C118" s="15">
        <f t="shared" si="10"/>
        <v>6.6799999999999998E-2</v>
      </c>
    </row>
    <row r="119" spans="3:3" ht="14.25" customHeight="1">
      <c r="C119" s="15">
        <f t="shared" si="10"/>
        <v>6.6799999999999998E-2</v>
      </c>
    </row>
    <row r="120" spans="3:3" ht="14.25" customHeight="1">
      <c r="C120" s="15">
        <f t="shared" si="10"/>
        <v>6.6799999999999998E-2</v>
      </c>
    </row>
    <row r="121" spans="3:3" ht="14.25" customHeight="1">
      <c r="C121" s="15">
        <f t="shared" si="10"/>
        <v>6.6799999999999998E-2</v>
      </c>
    </row>
    <row r="122" spans="3:3" ht="14.25" customHeight="1">
      <c r="C122" s="15">
        <f t="shared" si="10"/>
        <v>6.6799999999999998E-2</v>
      </c>
    </row>
    <row r="123" spans="3:3" ht="14.25" customHeight="1">
      <c r="C123" s="15">
        <f t="shared" si="10"/>
        <v>6.6799999999999998E-2</v>
      </c>
    </row>
    <row r="124" spans="3:3" ht="14.25" customHeight="1">
      <c r="C124" s="15">
        <f t="shared" si="10"/>
        <v>6.6799999999999998E-2</v>
      </c>
    </row>
    <row r="125" spans="3:3" ht="14.25" customHeight="1">
      <c r="C125" s="15">
        <f t="shared" si="10"/>
        <v>6.6799999999999998E-2</v>
      </c>
    </row>
    <row r="126" spans="3:3" ht="14.25" customHeight="1">
      <c r="C126" s="15">
        <f t="shared" si="10"/>
        <v>6.6799999999999998E-2</v>
      </c>
    </row>
    <row r="127" spans="3:3" ht="14.25" customHeight="1">
      <c r="C127" s="15">
        <f t="shared" si="10"/>
        <v>6.6799999999999998E-2</v>
      </c>
    </row>
    <row r="128" spans="3:3" ht="14.25" customHeight="1">
      <c r="C128" s="15">
        <f t="shared" si="10"/>
        <v>6.6799999999999998E-2</v>
      </c>
    </row>
    <row r="129" spans="3:3" ht="14.25" customHeight="1">
      <c r="C129" s="15">
        <f t="shared" si="10"/>
        <v>6.6799999999999998E-2</v>
      </c>
    </row>
    <row r="130" spans="3:3" ht="14.25" customHeight="1">
      <c r="C130" s="15">
        <f t="shared" si="10"/>
        <v>6.6799999999999998E-2</v>
      </c>
    </row>
    <row r="131" spans="3:3" ht="14.25" customHeight="1">
      <c r="C131" s="15">
        <f t="shared" si="10"/>
        <v>6.6799999999999998E-2</v>
      </c>
    </row>
    <row r="132" spans="3:3" ht="14.25" customHeight="1">
      <c r="C132" s="15">
        <f t="shared" si="10"/>
        <v>6.6799999999999998E-2</v>
      </c>
    </row>
    <row r="133" spans="3:3" ht="14.25" customHeight="1">
      <c r="C133" s="15">
        <f t="shared" si="10"/>
        <v>6.6799999999999998E-2</v>
      </c>
    </row>
    <row r="134" spans="3:3" ht="14.25" customHeight="1">
      <c r="C134" s="15">
        <f t="shared" si="10"/>
        <v>6.6799999999999998E-2</v>
      </c>
    </row>
    <row r="135" spans="3:3" ht="14.25" customHeight="1">
      <c r="C135" s="15">
        <f t="shared" si="10"/>
        <v>6.6799999999999998E-2</v>
      </c>
    </row>
    <row r="136" spans="3:3" ht="14.25" customHeight="1">
      <c r="C136" s="15">
        <f t="shared" si="10"/>
        <v>6.6799999999999998E-2</v>
      </c>
    </row>
    <row r="137" spans="3:3" ht="14.25" customHeight="1">
      <c r="C137" s="15">
        <f t="shared" si="10"/>
        <v>6.6799999999999998E-2</v>
      </c>
    </row>
    <row r="138" spans="3:3" ht="14.25" customHeight="1">
      <c r="C138" s="15">
        <f t="shared" si="10"/>
        <v>6.6799999999999998E-2</v>
      </c>
    </row>
    <row r="139" spans="3:3" ht="14.25" customHeight="1">
      <c r="C139" s="15">
        <f t="shared" si="10"/>
        <v>6.6799999999999998E-2</v>
      </c>
    </row>
    <row r="140" spans="3:3" ht="14.25" customHeight="1">
      <c r="C140" s="15">
        <f t="shared" si="10"/>
        <v>6.6799999999999998E-2</v>
      </c>
    </row>
    <row r="141" spans="3:3" ht="14.25" customHeight="1">
      <c r="C141" s="15">
        <f t="shared" si="10"/>
        <v>6.6799999999999998E-2</v>
      </c>
    </row>
    <row r="142" spans="3:3" ht="14.25" customHeight="1">
      <c r="C142" s="15">
        <f t="shared" si="10"/>
        <v>6.6799999999999998E-2</v>
      </c>
    </row>
    <row r="143" spans="3:3" ht="14.25" customHeight="1">
      <c r="C143" s="15">
        <f t="shared" si="10"/>
        <v>6.6799999999999998E-2</v>
      </c>
    </row>
    <row r="144" spans="3:3" ht="14.25" customHeight="1">
      <c r="C144" s="15">
        <f t="shared" si="10"/>
        <v>6.6799999999999998E-2</v>
      </c>
    </row>
    <row r="145" spans="3:3" ht="14.25" customHeight="1">
      <c r="C145" s="15">
        <f t="shared" si="10"/>
        <v>6.6799999999999998E-2</v>
      </c>
    </row>
    <row r="146" spans="3:3" ht="14.25" customHeight="1">
      <c r="C146" s="15">
        <f t="shared" si="10"/>
        <v>6.6799999999999998E-2</v>
      </c>
    </row>
    <row r="147" spans="3:3" ht="14.25" customHeight="1">
      <c r="C147" s="15">
        <f t="shared" si="10"/>
        <v>6.6799999999999998E-2</v>
      </c>
    </row>
    <row r="148" spans="3:3" ht="14.25" customHeight="1">
      <c r="C148" s="15">
        <f t="shared" si="10"/>
        <v>6.6799999999999998E-2</v>
      </c>
    </row>
    <row r="149" spans="3:3" ht="14.25" customHeight="1">
      <c r="C149" s="15">
        <f t="shared" si="10"/>
        <v>6.6799999999999998E-2</v>
      </c>
    </row>
    <row r="150" spans="3:3" ht="14.25" customHeight="1">
      <c r="C150" s="15">
        <f t="shared" si="10"/>
        <v>6.6799999999999998E-2</v>
      </c>
    </row>
    <row r="151" spans="3:3" ht="14.25" customHeight="1">
      <c r="C151" s="15">
        <f t="shared" si="10"/>
        <v>6.6799999999999998E-2</v>
      </c>
    </row>
    <row r="152" spans="3:3" ht="14.25" customHeight="1">
      <c r="C152" s="15">
        <f t="shared" si="10"/>
        <v>6.6799999999999998E-2</v>
      </c>
    </row>
    <row r="153" spans="3:3" ht="14.25" customHeight="1">
      <c r="C153" s="15">
        <f t="shared" si="10"/>
        <v>6.6799999999999998E-2</v>
      </c>
    </row>
    <row r="154" spans="3:3" ht="14.25" customHeight="1">
      <c r="C154" s="15">
        <f t="shared" si="10"/>
        <v>6.6799999999999998E-2</v>
      </c>
    </row>
    <row r="155" spans="3:3" ht="14.25" customHeight="1">
      <c r="C155" s="15">
        <f t="shared" si="10"/>
        <v>6.6799999999999998E-2</v>
      </c>
    </row>
    <row r="156" spans="3:3" ht="14.25" customHeight="1">
      <c r="C156" s="15">
        <f t="shared" si="10"/>
        <v>6.6799999999999998E-2</v>
      </c>
    </row>
    <row r="157" spans="3:3" ht="14.25" customHeight="1">
      <c r="C157" s="15">
        <f t="shared" si="10"/>
        <v>6.6799999999999998E-2</v>
      </c>
    </row>
    <row r="158" spans="3:3" ht="14.25" customHeight="1">
      <c r="C158" s="15">
        <f t="shared" si="10"/>
        <v>6.6799999999999998E-2</v>
      </c>
    </row>
    <row r="159" spans="3:3" ht="14.25" customHeight="1">
      <c r="C159" s="15">
        <f t="shared" si="10"/>
        <v>6.6799999999999998E-2</v>
      </c>
    </row>
    <row r="160" spans="3:3" ht="14.25" customHeight="1">
      <c r="C160" s="15">
        <f t="shared" si="10"/>
        <v>6.6799999999999998E-2</v>
      </c>
    </row>
    <row r="161" spans="3:3" ht="14.25" customHeight="1">
      <c r="C161" s="15">
        <f t="shared" si="10"/>
        <v>6.6799999999999998E-2</v>
      </c>
    </row>
    <row r="162" spans="3:3" ht="14.25" customHeight="1">
      <c r="C162" s="15">
        <f t="shared" si="10"/>
        <v>6.6799999999999998E-2</v>
      </c>
    </row>
    <row r="163" spans="3:3" ht="14.25" customHeight="1">
      <c r="C163" s="15">
        <f t="shared" si="10"/>
        <v>6.6799999999999998E-2</v>
      </c>
    </row>
    <row r="164" spans="3:3" ht="14.25" customHeight="1">
      <c r="C164" s="15">
        <f t="shared" si="10"/>
        <v>6.6799999999999998E-2</v>
      </c>
    </row>
    <row r="165" spans="3:3" ht="14.25" customHeight="1">
      <c r="C165" s="15">
        <f t="shared" si="10"/>
        <v>6.6799999999999998E-2</v>
      </c>
    </row>
    <row r="166" spans="3:3" ht="14.25" customHeight="1">
      <c r="C166" s="15">
        <f t="shared" si="10"/>
        <v>6.6799999999999998E-2</v>
      </c>
    </row>
    <row r="167" spans="3:3" ht="14.25" customHeight="1">
      <c r="C167" s="15">
        <f t="shared" si="10"/>
        <v>6.6799999999999998E-2</v>
      </c>
    </row>
    <row r="168" spans="3:3" ht="14.25" customHeight="1">
      <c r="C168" s="15">
        <f t="shared" si="10"/>
        <v>6.6799999999999998E-2</v>
      </c>
    </row>
    <row r="169" spans="3:3" ht="14.25" customHeight="1">
      <c r="C169" s="15">
        <f t="shared" si="10"/>
        <v>6.6799999999999998E-2</v>
      </c>
    </row>
    <row r="170" spans="3:3" ht="14.25" customHeight="1">
      <c r="C170" s="15">
        <f t="shared" si="10"/>
        <v>6.6799999999999998E-2</v>
      </c>
    </row>
    <row r="171" spans="3:3" ht="14.25" customHeight="1">
      <c r="C171" s="15">
        <f t="shared" si="10"/>
        <v>6.6799999999999998E-2</v>
      </c>
    </row>
    <row r="172" spans="3:3" ht="14.25" customHeight="1">
      <c r="C172" s="15">
        <f t="shared" si="10"/>
        <v>6.6799999999999998E-2</v>
      </c>
    </row>
    <row r="173" spans="3:3" ht="14.25" customHeight="1">
      <c r="C173" s="15">
        <f t="shared" si="10"/>
        <v>6.6799999999999998E-2</v>
      </c>
    </row>
    <row r="174" spans="3:3" ht="14.25" customHeight="1">
      <c r="C174" s="15">
        <f t="shared" si="10"/>
        <v>6.6799999999999998E-2</v>
      </c>
    </row>
    <row r="175" spans="3:3" ht="14.25" customHeight="1">
      <c r="C175" s="15">
        <f t="shared" si="10"/>
        <v>6.6799999999999998E-2</v>
      </c>
    </row>
    <row r="176" spans="3:3" ht="14.25" customHeight="1">
      <c r="C176" s="15">
        <f t="shared" si="10"/>
        <v>6.6799999999999998E-2</v>
      </c>
    </row>
    <row r="177" spans="3:3" ht="14.25" customHeight="1">
      <c r="C177" s="15">
        <f t="shared" si="10"/>
        <v>6.6799999999999998E-2</v>
      </c>
    </row>
    <row r="178" spans="3:3" ht="14.25" customHeight="1">
      <c r="C178" s="15">
        <f t="shared" si="10"/>
        <v>6.6799999999999998E-2</v>
      </c>
    </row>
    <row r="179" spans="3:3" ht="14.25" customHeight="1">
      <c r="C179" s="15">
        <f t="shared" si="10"/>
        <v>6.6799999999999998E-2</v>
      </c>
    </row>
    <row r="180" spans="3:3" ht="14.25" customHeight="1">
      <c r="C180" s="15">
        <f t="shared" si="10"/>
        <v>6.6799999999999998E-2</v>
      </c>
    </row>
    <row r="181" spans="3:3" ht="14.25" customHeight="1">
      <c r="C181" s="15">
        <f t="shared" si="10"/>
        <v>6.6799999999999998E-2</v>
      </c>
    </row>
    <row r="182" spans="3:3" ht="14.25" customHeight="1">
      <c r="C182" s="15">
        <f t="shared" si="10"/>
        <v>6.6799999999999998E-2</v>
      </c>
    </row>
    <row r="183" spans="3:3" ht="14.25" customHeight="1">
      <c r="C183" s="15">
        <f t="shared" si="10"/>
        <v>6.6799999999999998E-2</v>
      </c>
    </row>
    <row r="184" spans="3:3" ht="14.25" customHeight="1">
      <c r="C184" s="15">
        <f t="shared" si="10"/>
        <v>6.6799999999999998E-2</v>
      </c>
    </row>
    <row r="185" spans="3:3" ht="14.25" customHeight="1">
      <c r="C185" s="15">
        <f t="shared" si="10"/>
        <v>6.6799999999999998E-2</v>
      </c>
    </row>
    <row r="186" spans="3:3" ht="14.25" customHeight="1">
      <c r="C186" s="15">
        <f t="shared" si="10"/>
        <v>6.6799999999999998E-2</v>
      </c>
    </row>
    <row r="187" spans="3:3" ht="14.25" customHeight="1">
      <c r="C187" s="15">
        <f t="shared" si="10"/>
        <v>6.6799999999999998E-2</v>
      </c>
    </row>
    <row r="188" spans="3:3" ht="14.25" customHeight="1">
      <c r="C188" s="15">
        <f t="shared" si="10"/>
        <v>6.6799999999999998E-2</v>
      </c>
    </row>
    <row r="189" spans="3:3" ht="14.25" customHeight="1">
      <c r="C189" s="15">
        <f t="shared" si="10"/>
        <v>6.6799999999999998E-2</v>
      </c>
    </row>
    <row r="190" spans="3:3" ht="14.25" customHeight="1">
      <c r="C190" s="15">
        <f t="shared" si="10"/>
        <v>6.6799999999999998E-2</v>
      </c>
    </row>
    <row r="191" spans="3:3" ht="14.25" customHeight="1">
      <c r="C191" s="15">
        <f t="shared" si="10"/>
        <v>6.6799999999999998E-2</v>
      </c>
    </row>
    <row r="192" spans="3:3" ht="14.25" customHeight="1">
      <c r="C192" s="15">
        <f t="shared" si="10"/>
        <v>6.6799999999999998E-2</v>
      </c>
    </row>
    <row r="193" spans="3:3" ht="14.25" customHeight="1">
      <c r="C193" s="15">
        <f t="shared" si="10"/>
        <v>6.6799999999999998E-2</v>
      </c>
    </row>
    <row r="194" spans="3:3" ht="14.25" customHeight="1">
      <c r="C194" s="15">
        <f t="shared" si="10"/>
        <v>6.6799999999999998E-2</v>
      </c>
    </row>
    <row r="195" spans="3:3" ht="14.25" customHeight="1">
      <c r="C195" s="15">
        <f t="shared" si="10"/>
        <v>6.6799999999999998E-2</v>
      </c>
    </row>
    <row r="196" spans="3:3" ht="14.25" customHeight="1">
      <c r="C196" s="15">
        <f t="shared" si="10"/>
        <v>6.6799999999999998E-2</v>
      </c>
    </row>
    <row r="197" spans="3:3" ht="14.25" customHeight="1">
      <c r="C197" s="15">
        <f t="shared" si="10"/>
        <v>6.6799999999999998E-2</v>
      </c>
    </row>
    <row r="198" spans="3:3" ht="14.25" customHeight="1">
      <c r="C198" s="15">
        <f t="shared" si="10"/>
        <v>6.6799999999999998E-2</v>
      </c>
    </row>
    <row r="199" spans="3:3" ht="14.25" customHeight="1">
      <c r="C199" s="15">
        <f t="shared" si="10"/>
        <v>6.6799999999999998E-2</v>
      </c>
    </row>
    <row r="200" spans="3:3" ht="14.25" customHeight="1">
      <c r="C200" s="15">
        <f t="shared" si="10"/>
        <v>6.6799999999999998E-2</v>
      </c>
    </row>
    <row r="201" spans="3:3" ht="14.25" customHeight="1">
      <c r="C201" s="15"/>
    </row>
    <row r="202" spans="3:3" ht="14.25" customHeight="1">
      <c r="C202" s="15"/>
    </row>
    <row r="203" spans="3:3" ht="14.25" customHeight="1">
      <c r="C203" s="15"/>
    </row>
    <row r="204" spans="3:3" ht="14.25" customHeight="1">
      <c r="C204" s="15"/>
    </row>
    <row r="205" spans="3:3" ht="14.25" customHeight="1">
      <c r="C205" s="15"/>
    </row>
    <row r="206" spans="3:3" ht="14.25" customHeight="1">
      <c r="C206" s="15"/>
    </row>
    <row r="207" spans="3:3" ht="14.25" customHeight="1">
      <c r="C207" s="15"/>
    </row>
    <row r="208" spans="3:3" ht="14.25" customHeight="1">
      <c r="C208" s="15"/>
    </row>
    <row r="209" spans="3:3" ht="14.25" customHeight="1">
      <c r="C209" s="15"/>
    </row>
    <row r="210" spans="3:3" ht="14.25" customHeight="1">
      <c r="C210" s="15"/>
    </row>
    <row r="211" spans="3:3" ht="14.25" customHeight="1">
      <c r="C211" s="15"/>
    </row>
    <row r="212" spans="3:3" ht="14.25" customHeight="1">
      <c r="C212" s="15"/>
    </row>
    <row r="213" spans="3:3" ht="14.25" customHeight="1">
      <c r="C213" s="15"/>
    </row>
    <row r="214" spans="3:3" ht="14.25" customHeight="1">
      <c r="C214" s="15"/>
    </row>
    <row r="215" spans="3:3" ht="14.25" customHeight="1">
      <c r="C215" s="15"/>
    </row>
    <row r="216" spans="3:3" ht="14.25" customHeight="1">
      <c r="C216" s="15"/>
    </row>
    <row r="217" spans="3:3" ht="14.25" customHeight="1">
      <c r="C217" s="15"/>
    </row>
    <row r="218" spans="3:3" ht="14.25" customHeight="1">
      <c r="C218" s="15"/>
    </row>
    <row r="219" spans="3:3" ht="14.25" customHeight="1">
      <c r="C219" s="15"/>
    </row>
    <row r="220" spans="3:3" ht="14.25" customHeight="1">
      <c r="C220" s="15"/>
    </row>
    <row r="221" spans="3:3" ht="14.25" customHeight="1">
      <c r="C221" s="15"/>
    </row>
    <row r="222" spans="3:3" ht="14.25" customHeight="1">
      <c r="C222" s="15"/>
    </row>
    <row r="223" spans="3:3" ht="14.25" customHeight="1">
      <c r="C223" s="15"/>
    </row>
    <row r="224" spans="3:3" ht="14.25" customHeight="1">
      <c r="C224" s="15"/>
    </row>
    <row r="225" spans="3:3" ht="14.25" customHeight="1">
      <c r="C225" s="15"/>
    </row>
    <row r="226" spans="3:3" ht="14.25" customHeight="1">
      <c r="C226" s="15"/>
    </row>
    <row r="227" spans="3:3" ht="14.25" customHeight="1">
      <c r="C227" s="15"/>
    </row>
    <row r="228" spans="3:3" ht="14.25" customHeight="1">
      <c r="C228" s="15"/>
    </row>
    <row r="229" spans="3:3" ht="14.25" customHeight="1">
      <c r="C229" s="15"/>
    </row>
    <row r="230" spans="3:3" ht="14.25" customHeight="1">
      <c r="C230" s="15"/>
    </row>
    <row r="231" spans="3:3" ht="14.25" customHeight="1">
      <c r="C231" s="15"/>
    </row>
    <row r="232" spans="3:3" ht="14.25" customHeight="1">
      <c r="C232" s="15"/>
    </row>
    <row r="233" spans="3:3" ht="14.25" customHeight="1">
      <c r="C233" s="15"/>
    </row>
    <row r="234" spans="3:3" ht="14.25" customHeight="1">
      <c r="C234" s="15"/>
    </row>
    <row r="235" spans="3:3" ht="14.25" customHeight="1">
      <c r="C235" s="15"/>
    </row>
    <row r="236" spans="3:3" ht="14.25" customHeight="1">
      <c r="C236" s="15"/>
    </row>
    <row r="237" spans="3:3" ht="14.25" customHeight="1">
      <c r="C237" s="15"/>
    </row>
    <row r="238" spans="3:3" ht="14.25" customHeight="1">
      <c r="C238" s="15"/>
    </row>
    <row r="239" spans="3:3" ht="14.25" customHeight="1">
      <c r="C239" s="15"/>
    </row>
    <row r="240" spans="3:3" ht="14.25" customHeight="1">
      <c r="C240" s="15"/>
    </row>
    <row r="241" spans="3:3" ht="14.25" customHeight="1">
      <c r="C241" s="15"/>
    </row>
    <row r="242" spans="3:3" ht="14.25" customHeight="1">
      <c r="C242" s="15"/>
    </row>
    <row r="243" spans="3:3" ht="14.25" customHeight="1">
      <c r="C243" s="15"/>
    </row>
    <row r="244" spans="3:3" ht="14.25" customHeight="1">
      <c r="C244" s="15"/>
    </row>
    <row r="245" spans="3:3" ht="14.25" customHeight="1">
      <c r="C245" s="15"/>
    </row>
    <row r="246" spans="3:3" ht="14.25" customHeight="1">
      <c r="C246" s="15"/>
    </row>
    <row r="247" spans="3:3" ht="14.25" customHeight="1">
      <c r="C247" s="15"/>
    </row>
    <row r="248" spans="3:3" ht="14.25" customHeight="1">
      <c r="C248" s="15"/>
    </row>
    <row r="249" spans="3:3" ht="14.25" customHeight="1">
      <c r="C249" s="15"/>
    </row>
    <row r="250" spans="3:3" ht="14.25" customHeight="1">
      <c r="C250" s="15"/>
    </row>
    <row r="251" spans="3:3" ht="14.25" customHeight="1">
      <c r="C251" s="15"/>
    </row>
    <row r="252" spans="3:3" ht="14.25" customHeight="1">
      <c r="C252" s="15"/>
    </row>
    <row r="253" spans="3:3" ht="14.25" customHeight="1">
      <c r="C253" s="15"/>
    </row>
    <row r="254" spans="3:3" ht="14.25" customHeight="1">
      <c r="C254" s="15"/>
    </row>
    <row r="255" spans="3:3" ht="14.25" customHeight="1">
      <c r="C255" s="15"/>
    </row>
    <row r="256" spans="3:3" ht="14.25" customHeight="1">
      <c r="C256" s="15"/>
    </row>
    <row r="257" spans="3:3" ht="14.25" customHeight="1">
      <c r="C257" s="15"/>
    </row>
    <row r="258" spans="3:3" ht="14.25" customHeight="1">
      <c r="C258" s="15"/>
    </row>
    <row r="259" spans="3:3" ht="14.25" customHeight="1">
      <c r="C259" s="15"/>
    </row>
    <row r="260" spans="3:3" ht="14.25" customHeight="1">
      <c r="C260" s="15"/>
    </row>
    <row r="261" spans="3:3" ht="14.25" customHeight="1">
      <c r="C261" s="15"/>
    </row>
    <row r="262" spans="3:3" ht="14.25" customHeight="1">
      <c r="C262" s="15"/>
    </row>
    <row r="263" spans="3:3" ht="14.25" customHeight="1">
      <c r="C263" s="15"/>
    </row>
    <row r="264" spans="3:3" ht="14.25" customHeight="1">
      <c r="C264" s="15"/>
    </row>
    <row r="265" spans="3:3" ht="14.25" customHeight="1">
      <c r="C265" s="15"/>
    </row>
    <row r="266" spans="3:3" ht="14.25" customHeight="1">
      <c r="C266" s="15"/>
    </row>
    <row r="267" spans="3:3" ht="14.25" customHeight="1">
      <c r="C267" s="15"/>
    </row>
    <row r="268" spans="3:3" ht="14.25" customHeight="1">
      <c r="C268" s="15"/>
    </row>
    <row r="269" spans="3:3" ht="14.25" customHeight="1">
      <c r="C269" s="15"/>
    </row>
    <row r="270" spans="3:3" ht="14.25" customHeight="1">
      <c r="C270" s="15"/>
    </row>
    <row r="271" spans="3:3" ht="14.25" customHeight="1">
      <c r="C271" s="15"/>
    </row>
    <row r="272" spans="3:3" ht="14.25" customHeight="1">
      <c r="C272" s="15"/>
    </row>
    <row r="273" spans="3:3" ht="14.25" customHeight="1">
      <c r="C273" s="15"/>
    </row>
    <row r="274" spans="3:3" ht="14.25" customHeight="1">
      <c r="C274" s="15"/>
    </row>
    <row r="275" spans="3:3" ht="14.25" customHeight="1">
      <c r="C275" s="15"/>
    </row>
    <row r="276" spans="3:3" ht="14.25" customHeight="1">
      <c r="C276" s="15"/>
    </row>
    <row r="277" spans="3:3" ht="14.25" customHeight="1">
      <c r="C277" s="15"/>
    </row>
    <row r="278" spans="3:3" ht="14.25" customHeight="1">
      <c r="C278" s="15"/>
    </row>
    <row r="279" spans="3:3" ht="14.25" customHeight="1"/>
    <row r="280" spans="3:3" ht="14.25" customHeight="1"/>
    <row r="281" spans="3:3" ht="14.25" customHeight="1"/>
    <row r="282" spans="3:3" ht="14.25" customHeight="1"/>
    <row r="283" spans="3:3" ht="14.25" customHeight="1"/>
    <row r="284" spans="3:3" ht="14.25" customHeight="1"/>
    <row r="285" spans="3:3" ht="14.25" customHeight="1"/>
    <row r="286" spans="3:3" ht="14.25" customHeight="1"/>
    <row r="287" spans="3:3" ht="14.25" customHeight="1"/>
    <row r="288" spans="3:3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1:K1"/>
    <mergeCell ref="U33:AD33"/>
  </mergeCells>
  <conditionalFormatting sqref="E4:M97">
    <cfRule type="colorScale" priority="1">
      <colorScale>
        <cfvo type="formula" val="-0.1"/>
        <cfvo type="formula" val="0.1"/>
        <color rgb="FFFF0000"/>
        <color rgb="FF00B050"/>
      </colorScale>
    </cfRule>
  </conditionalFormatting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insurance_policy_comp</vt:lpstr>
      <vt:lpstr>college_finacial_aid</vt:lpstr>
      <vt:lpstr>net_income</vt:lpstr>
      <vt:lpstr>rental_home_invest</vt:lpstr>
      <vt:lpstr>US_mortality_table</vt:lpstr>
      <vt:lpstr>SPY_return_study</vt:lpstr>
      <vt:lpstr>SPY_yearly_history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ma</cp:lastModifiedBy>
  <dcterms:modified xsi:type="dcterms:W3CDTF">2022-05-24T18:10:51Z</dcterms:modified>
</cp:coreProperties>
</file>