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8800" windowHeight="7920" tabRatio="500" activeTab="1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N2O" sheetId="16" r:id="rId13"/>
  </sheets>
  <externalReferences>
    <externalReference r:id="rId14"/>
    <externalReference r:id="rId15"/>
  </externalReferences>
  <definedNames>
    <definedName name="carbon">Parameters!$B$63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Parameters!$C$63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Parameters!$E$63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Parameters!$D$63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Parameters!$F$63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19" l="1"/>
  <c r="H41" i="19"/>
  <c r="F41" i="19"/>
  <c r="G41" i="19"/>
  <c r="H40" i="19"/>
  <c r="G40" i="19"/>
  <c r="F72" i="19"/>
  <c r="H70" i="19"/>
  <c r="G70" i="19"/>
  <c r="F70" i="19"/>
  <c r="H71" i="19"/>
  <c r="G71" i="19"/>
  <c r="F71" i="19"/>
  <c r="H5" i="19"/>
  <c r="G5" i="19"/>
  <c r="F5" i="19"/>
  <c r="H3" i="19"/>
  <c r="G3" i="19"/>
  <c r="F3" i="19"/>
  <c r="G24" i="16"/>
  <c r="C19" i="16"/>
  <c r="C23" i="16"/>
  <c r="D11" i="16"/>
  <c r="D15" i="16"/>
  <c r="D19" i="16"/>
  <c r="D7" i="16"/>
  <c r="D23" i="16"/>
  <c r="C20" i="16"/>
  <c r="D12" i="16"/>
  <c r="D16" i="16"/>
  <c r="D20" i="16"/>
  <c r="D8" i="16"/>
  <c r="D24" i="16"/>
  <c r="C21" i="16"/>
  <c r="C25" i="16"/>
  <c r="D13" i="16"/>
  <c r="D17" i="16"/>
  <c r="D21" i="16"/>
  <c r="D9" i="16"/>
  <c r="D25" i="16"/>
  <c r="B20" i="16"/>
  <c r="B24" i="16"/>
  <c r="B21" i="16"/>
  <c r="B25" i="16"/>
  <c r="B19" i="16"/>
  <c r="B23" i="16"/>
  <c r="G25" i="16"/>
  <c r="F25" i="16"/>
  <c r="E25" i="16"/>
  <c r="F24" i="16"/>
  <c r="E24" i="16"/>
  <c r="G20" i="16"/>
  <c r="G21" i="16"/>
  <c r="F21" i="16"/>
  <c r="E21" i="16"/>
  <c r="F20" i="16"/>
  <c r="E20" i="16"/>
  <c r="E12" i="16"/>
  <c r="G13" i="16"/>
  <c r="F13" i="16"/>
  <c r="E13" i="16"/>
  <c r="G12" i="16"/>
  <c r="F12" i="16"/>
  <c r="F9" i="16"/>
  <c r="E9" i="16"/>
  <c r="E8" i="16"/>
  <c r="G17" i="16"/>
  <c r="F17" i="16"/>
  <c r="E17" i="16"/>
  <c r="G16" i="16"/>
  <c r="F16" i="16"/>
  <c r="E16" i="16"/>
  <c r="G9" i="16"/>
  <c r="G8" i="16"/>
  <c r="F8" i="16"/>
  <c r="E4" i="16"/>
  <c r="F4" i="16"/>
  <c r="G4" i="16"/>
  <c r="D4" i="16"/>
  <c r="D5" i="16"/>
  <c r="D3" i="16"/>
  <c r="E5" i="16"/>
  <c r="F5" i="16"/>
  <c r="G5" i="16"/>
  <c r="D6" i="16"/>
  <c r="F47" i="19"/>
  <c r="F45" i="19"/>
  <c r="C94" i="9"/>
  <c r="F30" i="19"/>
  <c r="E42" i="15"/>
  <c r="E43" i="15"/>
  <c r="D52" i="15"/>
  <c r="F74" i="10"/>
  <c r="E51" i="10"/>
  <c r="D51" i="10"/>
  <c r="D73" i="10"/>
  <c r="C74" i="10"/>
  <c r="C71" i="10"/>
  <c r="E18" i="10"/>
  <c r="D18" i="10"/>
  <c r="E19" i="10"/>
  <c r="D20" i="10"/>
  <c r="D21" i="10"/>
  <c r="C22" i="10"/>
  <c r="E25" i="10"/>
  <c r="D25" i="10"/>
  <c r="D26" i="10"/>
  <c r="C26" i="10"/>
  <c r="E24" i="10"/>
  <c r="D27" i="10"/>
  <c r="E28" i="10"/>
  <c r="D28" i="10"/>
  <c r="D29" i="10"/>
  <c r="C30" i="10"/>
  <c r="C16" i="10"/>
  <c r="G4" i="17"/>
  <c r="G5" i="17"/>
  <c r="F14" i="10"/>
  <c r="C14" i="10"/>
  <c r="E15" i="10"/>
  <c r="O8" i="19"/>
  <c r="F8" i="19"/>
  <c r="C14" i="9"/>
  <c r="C15" i="10"/>
  <c r="C12" i="10"/>
  <c r="C75" i="10"/>
  <c r="D24" i="10"/>
  <c r="D37" i="10"/>
  <c r="E36" i="10"/>
  <c r="D38" i="10"/>
  <c r="G39" i="10"/>
  <c r="C39" i="10"/>
  <c r="F40" i="10"/>
  <c r="G40" i="10"/>
  <c r="C40" i="10"/>
  <c r="F41" i="10"/>
  <c r="E41" i="10"/>
  <c r="G41" i="10"/>
  <c r="C41" i="10"/>
  <c r="C32" i="10"/>
  <c r="C42" i="10"/>
  <c r="C31" i="10"/>
  <c r="C77" i="10"/>
  <c r="F17" i="10"/>
  <c r="F23" i="10"/>
  <c r="D66" i="10"/>
  <c r="F67" i="10"/>
  <c r="D67" i="10"/>
  <c r="C68" i="10"/>
  <c r="C63" i="10"/>
  <c r="D44" i="10"/>
  <c r="E45" i="10"/>
  <c r="D46" i="10"/>
  <c r="E47" i="10"/>
  <c r="D47" i="10"/>
  <c r="E48" i="10"/>
  <c r="D48" i="10"/>
  <c r="D57" i="10"/>
  <c r="F56" i="10"/>
  <c r="D58" i="10"/>
  <c r="G60" i="10"/>
  <c r="C60" i="10"/>
  <c r="G59" i="10"/>
  <c r="C59" i="10"/>
  <c r="C61" i="10"/>
  <c r="C62" i="10"/>
  <c r="C50" i="10"/>
  <c r="C46" i="10"/>
  <c r="C47" i="10"/>
  <c r="C48" i="10"/>
  <c r="C49" i="10"/>
  <c r="C43" i="10"/>
  <c r="C69" i="10"/>
  <c r="C70" i="10"/>
  <c r="E40" i="10"/>
  <c r="F24" i="10"/>
  <c r="G33" i="10"/>
  <c r="E34" i="10"/>
  <c r="D35" i="10"/>
  <c r="E95" i="9"/>
  <c r="F95" i="9"/>
  <c r="E94" i="9"/>
  <c r="F94" i="9"/>
  <c r="G95" i="9"/>
  <c r="F55" i="19"/>
  <c r="G94" i="9"/>
  <c r="C95" i="9"/>
  <c r="D95" i="9"/>
  <c r="C96" i="9"/>
  <c r="D96" i="9"/>
  <c r="E96" i="9"/>
  <c r="F96" i="9"/>
  <c r="G96" i="9"/>
  <c r="F57" i="19"/>
  <c r="F41" i="15"/>
  <c r="F39" i="19"/>
  <c r="E53" i="15"/>
  <c r="E54" i="15"/>
  <c r="E57" i="15"/>
  <c r="D77" i="15"/>
  <c r="E78" i="15"/>
  <c r="D78" i="15"/>
  <c r="D81" i="15"/>
  <c r="F84" i="15"/>
  <c r="F82" i="15"/>
  <c r="G81" i="15"/>
  <c r="D82" i="15"/>
  <c r="O10" i="19"/>
  <c r="G8" i="19"/>
  <c r="O9" i="19"/>
  <c r="H8" i="19"/>
  <c r="G31" i="15"/>
  <c r="E27" i="15"/>
  <c r="E16" i="15"/>
  <c r="F15" i="15"/>
  <c r="D17" i="15"/>
  <c r="E18" i="15"/>
  <c r="D21" i="15"/>
  <c r="E19" i="15"/>
  <c r="D19" i="15"/>
  <c r="D23" i="15"/>
  <c r="D28" i="15"/>
  <c r="D30" i="15"/>
  <c r="C31" i="15"/>
  <c r="D22" i="15"/>
  <c r="C24" i="15"/>
  <c r="D26" i="15"/>
  <c r="C26" i="15"/>
  <c r="C14" i="15"/>
  <c r="C53" i="15"/>
  <c r="E49" i="15"/>
  <c r="G48" i="15"/>
  <c r="C51" i="15"/>
  <c r="E44" i="15"/>
  <c r="D54" i="15"/>
  <c r="D55" i="15"/>
  <c r="D57" i="15"/>
  <c r="D58" i="15"/>
  <c r="C59" i="15"/>
  <c r="C47" i="15"/>
  <c r="E35" i="15"/>
  <c r="F34" i="15"/>
  <c r="D36" i="15"/>
  <c r="E37" i="15"/>
  <c r="D38" i="15"/>
  <c r="C39" i="15"/>
  <c r="D42" i="15"/>
  <c r="D45" i="15"/>
  <c r="D40" i="15"/>
  <c r="C33" i="15"/>
  <c r="D65" i="15"/>
  <c r="D66" i="15"/>
  <c r="F68" i="15"/>
  <c r="D68" i="15"/>
  <c r="D67" i="15"/>
  <c r="F69" i="15"/>
  <c r="D69" i="15"/>
  <c r="D39" i="15"/>
  <c r="D70" i="15"/>
  <c r="D71" i="15"/>
  <c r="G66" i="9"/>
  <c r="J66" i="9"/>
  <c r="C3" i="9"/>
  <c r="G68" i="9"/>
  <c r="J68" i="9"/>
  <c r="C4" i="9"/>
  <c r="G67" i="9"/>
  <c r="J67" i="9"/>
  <c r="C2" i="9"/>
  <c r="J27" i="9"/>
  <c r="F61" i="15"/>
  <c r="D72" i="15"/>
  <c r="D73" i="15"/>
  <c r="C74" i="15"/>
  <c r="C60" i="15"/>
  <c r="C10" i="15"/>
  <c r="C75" i="15"/>
  <c r="G79" i="15"/>
  <c r="D79" i="15"/>
  <c r="D80" i="15"/>
  <c r="D84" i="15"/>
  <c r="C85" i="15"/>
  <c r="D56" i="15"/>
  <c r="E29" i="15"/>
  <c r="E21" i="15"/>
  <c r="E8" i="1"/>
  <c r="C36" i="19"/>
  <c r="J36" i="19"/>
  <c r="C33" i="19"/>
  <c r="C32" i="19"/>
  <c r="H31" i="19"/>
  <c r="G31" i="19"/>
  <c r="D52" i="17"/>
  <c r="F52" i="17"/>
  <c r="F87" i="17"/>
  <c r="E10" i="17"/>
  <c r="D19" i="17"/>
  <c r="F27" i="9"/>
  <c r="F13" i="17"/>
  <c r="D20" i="17"/>
  <c r="E22" i="17"/>
  <c r="G20" i="17"/>
  <c r="D23" i="17"/>
  <c r="C18" i="17"/>
  <c r="F42" i="17"/>
  <c r="F37" i="17"/>
  <c r="E41" i="17"/>
  <c r="E37" i="17"/>
  <c r="E52" i="17"/>
  <c r="E87" i="17"/>
  <c r="D16" i="17"/>
  <c r="C14" i="17"/>
  <c r="E3" i="17"/>
  <c r="C4" i="17"/>
  <c r="C5" i="17"/>
  <c r="C2" i="17"/>
  <c r="F25" i="17"/>
  <c r="F26" i="17"/>
  <c r="D28" i="17"/>
  <c r="C24" i="17"/>
  <c r="C31" i="17"/>
  <c r="E8" i="17"/>
  <c r="F51" i="19"/>
  <c r="D27" i="9"/>
  <c r="O39" i="9"/>
  <c r="D39" i="9"/>
  <c r="F30" i="1"/>
  <c r="E53" i="10"/>
  <c r="G52" i="10"/>
  <c r="C55" i="10"/>
  <c r="C16" i="9"/>
  <c r="D54" i="10"/>
  <c r="C18" i="9"/>
  <c r="C17" i="9"/>
  <c r="F61" i="10"/>
  <c r="G61" i="10"/>
  <c r="F73" i="15"/>
  <c r="D20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G15" i="17"/>
  <c r="E39" i="17"/>
  <c r="E40" i="17"/>
  <c r="E42" i="17"/>
  <c r="E43" i="17"/>
  <c r="E44" i="17"/>
  <c r="E45" i="17"/>
  <c r="E46" i="17"/>
  <c r="E47" i="17"/>
  <c r="E48" i="17"/>
  <c r="E49" i="17"/>
  <c r="E50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F39" i="17"/>
  <c r="F40" i="17"/>
  <c r="F41" i="17"/>
  <c r="F43" i="17"/>
  <c r="F44" i="17"/>
  <c r="F45" i="17"/>
  <c r="F46" i="17"/>
  <c r="F47" i="17"/>
  <c r="F48" i="17"/>
  <c r="F49" i="17"/>
  <c r="F50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G34" i="9"/>
  <c r="D13" i="15"/>
  <c r="F62" i="15"/>
  <c r="D63" i="15"/>
  <c r="E74" i="15"/>
  <c r="F63" i="15"/>
  <c r="D8" i="14"/>
  <c r="C5" i="14"/>
  <c r="C14" i="14"/>
  <c r="C9" i="14"/>
  <c r="D50" i="15"/>
  <c r="G28" i="15"/>
  <c r="F28" i="15"/>
  <c r="D33" i="11"/>
  <c r="A35" i="11"/>
  <c r="Q45" i="9"/>
  <c r="P45" i="9"/>
  <c r="Q43" i="9"/>
  <c r="P43" i="9"/>
  <c r="E9" i="1"/>
  <c r="F23" i="1"/>
  <c r="F19" i="1"/>
  <c r="F21" i="1"/>
  <c r="D22" i="1"/>
  <c r="D23" i="1"/>
  <c r="C23" i="1"/>
  <c r="M7" i="19"/>
  <c r="O7" i="19"/>
  <c r="G23" i="1"/>
  <c r="F11" i="1"/>
  <c r="D14" i="1"/>
  <c r="D17" i="1"/>
  <c r="C12" i="1"/>
  <c r="D27" i="1"/>
  <c r="F28" i="1"/>
  <c r="D28" i="1"/>
  <c r="D29" i="1"/>
  <c r="D30" i="1"/>
  <c r="C25" i="1"/>
  <c r="A31" i="11"/>
  <c r="H29" i="17"/>
  <c r="E38" i="17"/>
  <c r="C17" i="17"/>
  <c r="F38" i="17"/>
  <c r="I18" i="10"/>
  <c r="I13" i="10"/>
  <c r="C59" i="19"/>
  <c r="C6" i="19"/>
  <c r="B6" i="19"/>
  <c r="J63" i="19"/>
  <c r="C39" i="19"/>
  <c r="B52" i="19"/>
  <c r="J35" i="19"/>
  <c r="C30" i="19"/>
  <c r="J30" i="19"/>
  <c r="J32" i="19"/>
  <c r="J33" i="19"/>
  <c r="I34" i="19"/>
  <c r="B30" i="19"/>
  <c r="C21" i="19"/>
  <c r="B21" i="19"/>
  <c r="C24" i="19"/>
  <c r="C19" i="19"/>
  <c r="C20" i="19"/>
  <c r="F20" i="19"/>
  <c r="J20" i="19"/>
  <c r="B20" i="19"/>
  <c r="B19" i="19"/>
  <c r="J18" i="19"/>
  <c r="C18" i="19"/>
  <c r="B18" i="19"/>
  <c r="C8" i="18"/>
  <c r="H3" i="18"/>
  <c r="G7" i="18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8" i="9"/>
  <c r="D10" i="9"/>
  <c r="D11" i="9"/>
  <c r="D12" i="9"/>
  <c r="C13" i="9"/>
  <c r="B38" i="9"/>
  <c r="D38" i="9"/>
  <c r="N38" i="9"/>
  <c r="L38" i="9"/>
  <c r="M38" i="9"/>
  <c r="B35" i="9"/>
  <c r="N35" i="9"/>
  <c r="M35" i="9"/>
  <c r="L35" i="9"/>
  <c r="C35" i="9"/>
  <c r="C34" i="9"/>
  <c r="C6" i="1"/>
  <c r="C2" i="1"/>
  <c r="D31" i="1"/>
  <c r="I21" i="1"/>
  <c r="I62" i="15"/>
  <c r="C5" i="15"/>
  <c r="C2" i="15"/>
  <c r="C3" i="17"/>
  <c r="G87" i="17"/>
  <c r="N87" i="17"/>
  <c r="B87" i="17"/>
  <c r="D64" i="10"/>
  <c r="B84" i="9"/>
  <c r="B85" i="9"/>
  <c r="B86" i="9"/>
  <c r="B87" i="9"/>
  <c r="E27" i="9"/>
  <c r="J31" i="9"/>
  <c r="F12" i="17"/>
  <c r="F11" i="17"/>
  <c r="D65" i="10"/>
  <c r="F9" i="10"/>
  <c r="N84" i="9"/>
  <c r="N85" i="9"/>
  <c r="N86" i="9"/>
  <c r="N87" i="9"/>
  <c r="O87" i="9"/>
  <c r="G69" i="9"/>
  <c r="G70" i="9"/>
  <c r="H66" i="9"/>
  <c r="H67" i="9"/>
  <c r="N88" i="9"/>
  <c r="M84" i="9"/>
  <c r="M85" i="9"/>
  <c r="M86" i="9"/>
  <c r="M87" i="9"/>
  <c r="M88" i="9"/>
  <c r="L84" i="9"/>
  <c r="L85" i="9"/>
  <c r="L86" i="9"/>
  <c r="L87" i="9"/>
  <c r="L88" i="9"/>
  <c r="K84" i="9"/>
  <c r="K85" i="9"/>
  <c r="K86" i="9"/>
  <c r="K87" i="9"/>
  <c r="K88" i="9"/>
  <c r="H84" i="9"/>
  <c r="H85" i="9"/>
  <c r="H86" i="9"/>
  <c r="H87" i="9"/>
  <c r="H88" i="9"/>
  <c r="G84" i="9"/>
  <c r="G85" i="9"/>
  <c r="G86" i="9"/>
  <c r="G87" i="9"/>
  <c r="G88" i="9"/>
  <c r="F84" i="9"/>
  <c r="F85" i="9"/>
  <c r="F86" i="9"/>
  <c r="F87" i="9"/>
  <c r="F88" i="9"/>
  <c r="E84" i="9"/>
  <c r="E85" i="9"/>
  <c r="E86" i="9"/>
  <c r="E87" i="9"/>
  <c r="E88" i="9"/>
  <c r="D84" i="9"/>
  <c r="D85" i="9"/>
  <c r="D86" i="9"/>
  <c r="D87" i="9"/>
  <c r="D88" i="9"/>
  <c r="C84" i="9"/>
  <c r="C85" i="9"/>
  <c r="C86" i="9"/>
  <c r="C87" i="9"/>
  <c r="C88" i="9"/>
  <c r="B88" i="9"/>
  <c r="H70" i="9"/>
  <c r="L70" i="9"/>
  <c r="K70" i="9"/>
  <c r="J70" i="9"/>
  <c r="I70" i="9"/>
  <c r="H69" i="9"/>
  <c r="L69" i="9"/>
  <c r="I69" i="9"/>
  <c r="H68" i="9"/>
  <c r="L68" i="9"/>
  <c r="K68" i="9"/>
  <c r="I68" i="9"/>
  <c r="L67" i="9"/>
  <c r="K67" i="9"/>
  <c r="I67" i="9"/>
  <c r="L66" i="9"/>
  <c r="K66" i="9"/>
  <c r="I66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8" i="15"/>
  <c r="C2" i="14"/>
  <c r="D32" i="14"/>
  <c r="E15" i="14"/>
  <c r="C17" i="14"/>
  <c r="D31" i="14"/>
  <c r="D30" i="14"/>
  <c r="D29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D32" i="11"/>
  <c r="D31" i="11"/>
  <c r="A32" i="11"/>
  <c r="A33" i="11"/>
  <c r="A34" i="11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F35" i="19"/>
  <c r="H35" i="19"/>
  <c r="G35" i="19"/>
  <c r="C86" i="15"/>
</calcChain>
</file>

<file path=xl/comments1.xml><?xml version="1.0" encoding="utf-8"?>
<comments xmlns="http://schemas.openxmlformats.org/spreadsheetml/2006/main">
  <authors>
    <author>Rodrigo A Labatut</author>
  </authors>
  <commentList>
    <comment ref="A69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<sst xmlns="http://schemas.openxmlformats.org/spreadsheetml/2006/main" count="1931" uniqueCount="1188">
  <si>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</si>
  <si>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</si>
  <si>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</si>
  <si>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</si>
  <si>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</si>
  <si>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</si>
  <si>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</si>
  <si>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</si>
  <si>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</si>
  <si>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</si>
  <si>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</si>
  <si>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</si>
  <si>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</si>
  <si>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</si>
  <si>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</si>
  <si>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</si>
  <si>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</si>
  <si>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</si>
  <si>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</si>
  <si>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</si>
  <si>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</si>
  <si>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</si>
  <si>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</si>
  <si>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</si>
  <si>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</si>
  <si>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</si>
  <si>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</si>
  <si>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</si>
  <si>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</si>
  <si>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</si>
  <si>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</si>
  <si>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</si>
  <si>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</si>
  <si>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</si>
  <si>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</si>
  <si>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</si>
  <si>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</si>
  <si>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</si>
  <si>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</si>
  <si>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</si>
  <si>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</si>
  <si>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</si>
  <si>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</si>
  <si>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</si>
  <si>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</si>
  <si>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</si>
  <si>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</si>
  <si>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</si>
  <si>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</si>
  <si>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</si>
  <si>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</si>
  <si>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</si>
  <si>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</si>
  <si>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</si>
  <si>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</si>
  <si>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</si>
  <si>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</si>
  <si>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</si>
  <si>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</si>
  <si>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</si>
  <si>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</si>
  <si>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</si>
  <si>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</si>
  <si>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</si>
  <si>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</si>
  <si>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</si>
  <si>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</si>
  <si>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</si>
  <si>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</si>
  <si>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</si>
  <si>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</si>
  <si>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</si>
  <si>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</si>
  <si>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</si>
  <si>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</si>
  <si>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</si>
  <si>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</si>
  <si>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</si>
  <si>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</si>
  <si>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</si>
  <si>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</si>
  <si>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</si>
  <si>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</si>
  <si>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</si>
  <si>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</si>
  <si>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</si>
  <si>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</si>
  <si>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</si>
  <si>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</si>
  <si>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</si>
  <si>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</si>
  <si>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</si>
  <si>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</si>
  <si>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</si>
  <si>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</si>
  <si>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</si>
  <si>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</si>
  <si>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</si>
  <si>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</si>
  <si>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</si>
  <si>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</si>
  <si>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</si>
  <si>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</si>
  <si>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</si>
  <si>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</si>
  <si>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</si>
  <si>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</si>
  <si>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</si>
  <si>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</si>
  <si>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</si>
  <si>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</si>
  <si>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</si>
  <si>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</si>
  <si>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</si>
  <si>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</si>
  <si>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</si>
  <si>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</si>
  <si>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</si>
  <si>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</si>
  <si>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</si>
  <si>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</si>
  <si>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</si>
  <si>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</si>
  <si>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</si>
  <si>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</si>
  <si>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</si>
  <si>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</si>
  <si>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</si>
  <si>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</si>
  <si>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</si>
  <si>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</si>
  <si>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</si>
  <si>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</si>
  <si>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</si>
  <si>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</si>
  <si>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</si>
  <si>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</si>
  <si>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</si>
  <si>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</si>
  <si>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</si>
  <si>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</si>
  <si>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</si>
  <si>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</si>
  <si>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</si>
  <si>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</si>
  <si>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</si>
  <si>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</si>
  <si>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</si>
  <si>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</si>
  <si>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</si>
  <si>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</si>
  <si>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indexed="8"/>
        <rFont val="Times New Roman"/>
        <family val="1"/>
      </rPr>
      <t>36</t>
    </r>
    <r>
      <rPr>
        <sz val="10"/>
        <color indexed="8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</si>
  <si>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</si>
  <si>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</si>
  <si>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</si>
  <si>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</si>
  <si>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</si>
  <si>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</si>
  <si>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</si>
  <si>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</si>
  <si>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</si>
  <si>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</si>
  <si>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</si>
  <si>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</si>
  <si>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</si>
  <si>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</si>
  <si>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</si>
  <si>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</si>
  <si>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</si>
  <si>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</si>
  <si>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</si>
  <si>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</si>
  <si>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</si>
  <si>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</si>
  <si>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</si>
  <si>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</si>
  <si>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</si>
  <si>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</si>
  <si>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</si>
  <si>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</si>
  <si>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</si>
  <si>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</si>
  <si>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</si>
  <si>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</si>
  <si>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</si>
  <si>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</si>
  <si>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</si>
  <si>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</si>
  <si>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</si>
  <si>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</si>
  <si>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</si>
  <si>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</si>
  <si>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</si>
  <si>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</si>
  <si>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</si>
  <si>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</si>
  <si>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</si>
  <si>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</si>
  <si>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</si>
  <si>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</si>
  <si>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</si>
  <si>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</si>
  <si>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</si>
  <si>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</si>
  <si>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</si>
  <si>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</si>
  <si>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</si>
  <si>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</si>
  <si>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</si>
  <si>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</si>
  <si>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</si>
  <si>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</si>
  <si>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</si>
  <si>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</si>
  <si>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</si>
  <si>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</si>
  <si>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</si>
  <si>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</si>
  <si>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</si>
  <si>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</si>
  <si>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</si>
  <si>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</si>
  <si>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</si>
  <si>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</si>
  <si>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</si>
  <si>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</si>
  <si>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</si>
  <si>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</si>
  <si>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</si>
  <si>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</si>
  <si>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</si>
  <si>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</si>
  <si>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</si>
  <si>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</si>
  <si>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</si>
  <si>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</si>
  <si>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</si>
  <si>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</si>
  <si>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</si>
  <si>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</si>
  <si>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</si>
  <si>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</si>
  <si>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</si>
  <si>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</si>
  <si>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</si>
  <si>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</si>
  <si>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</si>
  <si>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</si>
  <si>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</si>
  <si>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</si>
  <si>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</si>
  <si>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</si>
  <si>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</si>
  <si>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</si>
  <si>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</si>
  <si>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</si>
  <si>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</si>
  <si>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</si>
  <si>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</si>
  <si>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</si>
  <si>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</si>
  <si>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</si>
  <si>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</si>
  <si>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</si>
  <si>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</si>
  <si>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</si>
  <si>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</si>
  <si>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</si>
  <si>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</si>
  <si>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</si>
  <si>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</si>
  <si>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</si>
  <si>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</si>
  <si>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</si>
  <si>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</si>
  <si>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</si>
  <si>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</si>
  <si>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</si>
  <si>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</si>
  <si>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</si>
  <si>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</si>
  <si>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</si>
  <si>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</si>
  <si>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</si>
  <si>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</si>
  <si>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</si>
  <si>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</si>
  <si>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</si>
  <si>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</si>
  <si>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</si>
  <si>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</si>
  <si>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</si>
  <si>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</si>
  <si>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</si>
  <si>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</si>
  <si>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</si>
  <si>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</si>
  <si>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</si>
  <si>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</si>
  <si>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</si>
  <si>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</si>
  <si>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</si>
  <si>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</si>
  <si>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</si>
  <si>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</si>
  <si>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</si>
  <si>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</si>
  <si>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</si>
  <si>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</si>
  <si>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</si>
  <si>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</si>
  <si>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</si>
  <si>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</si>
  <si>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</si>
  <si>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</si>
  <si>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</si>
  <si>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</si>
  <si>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</si>
  <si>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</si>
  <si>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</si>
  <si>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</si>
  <si>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</si>
  <si>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</si>
  <si>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</si>
  <si>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</si>
  <si>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</si>
  <si>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</si>
  <si>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</si>
  <si>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</si>
  <si>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</si>
  <si>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</si>
  <si>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</si>
  <si>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</si>
  <si>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</si>
  <si>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</si>
  <si>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</si>
  <si>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</si>
  <si>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</si>
  <si>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</si>
  <si>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</si>
  <si>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</si>
  <si>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</si>
  <si>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</si>
  <si>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</si>
  <si>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</si>
  <si>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</si>
  <si>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</si>
  <si>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</si>
  <si>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</si>
  <si>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</si>
  <si>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</si>
  <si>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</si>
  <si>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</si>
  <si>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</si>
  <si>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</si>
  <si>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</si>
  <si>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</si>
  <si>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</si>
  <si>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</si>
  <si>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</si>
  <si>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</si>
  <si>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</si>
  <si>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</si>
  <si>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</si>
  <si>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</si>
  <si>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</si>
  <si>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</si>
  <si>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</si>
  <si>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</si>
  <si>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</si>
  <si>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</si>
  <si>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</si>
  <si>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</si>
  <si>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</si>
  <si>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</si>
  <si>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</si>
  <si>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</si>
  <si>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</si>
  <si>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</si>
  <si>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</si>
  <si>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</si>
  <si>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</si>
  <si>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</si>
  <si>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</si>
  <si>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</si>
  <si>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</si>
  <si>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</si>
  <si>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indexed="10"/>
        <rFont val="Calibri"/>
        <family val="2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</si>
  <si>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</si>
  <si>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</si>
  <si>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</si>
  <si>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</si>
  <si>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</si>
  <si>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</si>
  <si>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</si>
  <si>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</si>
  <si>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</si>
  <si>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</si>
  <si>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</si>
  <si>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</si>
  <si>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</si>
  <si>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</si>
  <si>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</si>
  <si>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</si>
  <si>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</si>
  <si>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</si>
  <si>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</si>
  <si>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</si>
  <si>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</si>
  <si>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</si>
  <si>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</si>
  <si>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</si>
  <si>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</si>
  <si>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</si>
  <si>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</si>
  <si>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</si>
  <si>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</si>
  <si>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</si>
  <si>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</si>
  <si>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</si>
  <si>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</si>
  <si>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</si>
  <si>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</si>
  <si>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</si>
  <si>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</si>
  <si>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</si>
  <si>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</si>
  <si>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</si>
  <si>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</si>
  <si>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</si>
  <si>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</si>
  <si>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</si>
  <si>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</si>
  <si>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</si>
  <si>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</si>
  <si>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</si>
  <si>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</si>
  <si>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</si>
  <si>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</si>
  <si>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</si>
  <si>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</si>
  <si>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</si>
  <si>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</si>
  <si>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</si>
  <si>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</si>
  <si>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</si>
  <si>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</si>
  <si>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</si>
  <si>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</si>
  <si>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</si>
  <si>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</si>
  <si>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</si>
  <si>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</si>
  <si>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</si>
  <si>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</si>
  <si>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</si>
  <si>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</si>
  <si>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k</t>
  </si>
  <si>
    <r>
      <t>Oxidized</t>
    </r>
    <r>
      <rPr>
        <vertAlign val="superscript"/>
        <sz val="11"/>
        <color indexed="8"/>
        <rFont val="Calibri"/>
      </rPr>
      <t>c</t>
    </r>
  </si>
  <si>
    <r>
      <t>CCAR v.2</t>
    </r>
    <r>
      <rPr>
        <sz val="11"/>
        <color indexed="8"/>
        <rFont val="Calibri"/>
        <family val="2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</si>
  <si>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</si>
  <si>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</si>
  <si>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</si>
  <si>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</si>
  <si>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</si>
  <si>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indexed="8"/>
        <rFont val="Calibri"/>
        <family val="2"/>
      </rPr>
      <t>recovered for LFG</t>
    </r>
  </si>
  <si>
    <t>BTU/m3</t>
  </si>
  <si>
    <r>
      <t>Heat rate of landfill gas to energy conversion</t>
    </r>
    <r>
      <rPr>
        <sz val="11"/>
        <color indexed="8"/>
        <rFont val="Calibri"/>
        <family val="2"/>
      </rPr>
      <t xml:space="preserve"> (HLFGTE)</t>
    </r>
    <r>
      <rPr>
        <sz val="11"/>
        <color indexed="8"/>
        <rFont val="Calibri"/>
        <family val="2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</si>
  <si>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</si>
  <si>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</si>
  <si>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</si>
  <si>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</si>
  <si>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</si>
  <si>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</si>
  <si>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</si>
  <si>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</si>
  <si>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</si>
  <si>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</si>
  <si>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</si>
  <si>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</si>
  <si>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</si>
  <si>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</si>
  <si>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</si>
  <si>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</si>
  <si>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</si>
  <si>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</si>
  <si>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</si>
  <si>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</si>
  <si>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</si>
  <si>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</si>
  <si>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</si>
  <si>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</si>
  <si>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</si>
  <si>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</si>
  <si>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</si>
  <si>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</si>
  <si>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</si>
  <si>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</si>
  <si>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</si>
  <si>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</si>
  <si>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</si>
  <si>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</si>
  <si>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</si>
  <si>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</si>
  <si>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</si>
  <si>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</si>
  <si>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</si>
  <si>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</si>
  <si>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</si>
  <si>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</si>
  <si>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</si>
  <si>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</si>
  <si>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</si>
  <si>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</si>
  <si>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</si>
  <si>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</si>
  <si>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</si>
  <si>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</si>
  <si>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</si>
  <si>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</si>
  <si>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</si>
  <si>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</si>
  <si>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</si>
  <si>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</si>
  <si>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</si>
  <si>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</si>
  <si>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</si>
  <si>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</si>
  <si>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</si>
  <si>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</si>
  <si>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</si>
  <si>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</si>
  <si>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</si>
  <si>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</si>
  <si>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</si>
  <si>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</si>
  <si>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</si>
  <si>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</si>
  <si>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</si>
  <si>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</si>
  <si>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</si>
  <si>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</si>
  <si>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</si>
  <si>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</si>
  <si>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</si>
  <si>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</si>
  <si>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</si>
  <si>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</si>
  <si>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</si>
  <si>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</si>
  <si>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</si>
  <si>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</si>
  <si>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</si>
  <si>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</si>
  <si>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</si>
  <si>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</si>
  <si>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</si>
  <si>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</si>
  <si>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</si>
  <si>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</si>
  <si>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</si>
  <si>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</si>
  <si>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</si>
  <si>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</si>
  <si>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</si>
  <si>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</si>
  <si>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</si>
  <si>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</si>
  <si>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</si>
  <si>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</si>
  <si>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</si>
  <si>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</si>
  <si>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</si>
  <si>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</si>
  <si>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</si>
  <si>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</si>
  <si>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</si>
  <si>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</si>
  <si>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</si>
  <si>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</si>
  <si>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</si>
  <si>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</si>
  <si>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</si>
  <si>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</si>
  <si>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</si>
  <si>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</si>
  <si>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</si>
  <si>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</si>
  <si>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</si>
  <si>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</si>
  <si>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</si>
  <si>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</si>
  <si>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</si>
  <si>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</si>
  <si>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</si>
  <si>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</si>
  <si>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</si>
  <si>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</si>
  <si>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</si>
  <si>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</si>
  <si>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</si>
  <si>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</si>
  <si>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</si>
  <si>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</si>
  <si>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</si>
  <si>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</si>
  <si>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</si>
  <si>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</si>
  <si>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</si>
  <si>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</si>
  <si>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</si>
  <si>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</si>
  <si>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</si>
  <si>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</si>
  <si>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</si>
  <si>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</si>
  <si>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</si>
  <si>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</si>
  <si>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K effective</t>
  </si>
  <si>
    <t>Range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</si>
  <si>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</si>
  <si>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</si>
  <si>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</si>
  <si>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</si>
  <si>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</si>
  <si>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</si>
  <si>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</si>
  <si>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</si>
  <si>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</si>
  <si>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</si>
  <si>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</si>
  <si>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</si>
  <si>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</si>
  <si>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</si>
  <si>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</si>
  <si>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</si>
  <si>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</si>
  <si>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</si>
  <si>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</si>
  <si>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</si>
  <si>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</si>
  <si>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</si>
  <si>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</si>
  <si>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</si>
  <si>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</si>
  <si>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</si>
  <si>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</si>
  <si>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</si>
  <si>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</si>
  <si>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</si>
  <si>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</si>
  <si>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</si>
  <si>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</si>
  <si>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</si>
  <si>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</si>
  <si>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</si>
  <si>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</si>
  <si>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</si>
  <si>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</si>
  <si>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</si>
  <si>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</si>
  <si>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indexed="8"/>
        <rFont val="Calibri"/>
        <family val="2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</si>
  <si>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</si>
  <si>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</si>
  <si>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</si>
  <si>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</si>
  <si>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</si>
  <si>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</si>
  <si>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</si>
  <si>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</si>
  <si>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</si>
  <si>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</si>
  <si>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</si>
  <si>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</si>
  <si>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</si>
  <si>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</si>
  <si>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</si>
  <si>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</si>
  <si>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</si>
  <si>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</si>
  <si>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</si>
  <si>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</si>
  <si>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</si>
  <si>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>/t FW</t>
    </r>
  </si>
  <si>
    <t xml:space="preserve">% </t>
  </si>
  <si>
    <t>kgXO2e/t</t>
  </si>
  <si>
    <t>CH4storage emissions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</si>
  <si>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</si>
  <si>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</si>
  <si>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</si>
  <si>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</si>
  <si>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</si>
  <si>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</si>
  <si>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</si>
  <si>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</si>
  <si>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</si>
  <si>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</si>
  <si>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</si>
  <si>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</si>
  <si>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</si>
  <si>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</si>
  <si>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WARMv13   5.5kgCO2e?/t; some studies say 0</t>
  </si>
  <si>
    <t>Model Unit Test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</si>
  <si>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</si>
  <si>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</si>
  <si>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</si>
  <si>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</si>
  <si>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</si>
  <si>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</si>
  <si>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</si>
  <si>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</si>
  <si>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</si>
  <si>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</si>
  <si>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</si>
  <si>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</si>
  <si>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</si>
  <si>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</si>
  <si>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</si>
  <si>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</si>
  <si>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</si>
  <si>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</si>
  <si>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</si>
  <si>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</si>
  <si>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</si>
  <si>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</si>
  <si>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</si>
  <si>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</si>
  <si>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</si>
  <si>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</si>
  <si>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</si>
  <si>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</si>
  <si>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</si>
  <si>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</si>
  <si>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</si>
  <si>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</si>
  <si>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</si>
  <si>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</si>
  <si>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</si>
  <si>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</si>
  <si>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</si>
  <si>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indexed="8"/>
        <rFont val="Calibri"/>
        <family val="2"/>
      </rPr>
      <t>3</t>
    </r>
  </si>
  <si>
    <t>Anaerobic Digestion</t>
  </si>
  <si>
    <t>LF Factors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</si>
  <si>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</si>
  <si>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</si>
  <si>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</si>
  <si>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</si>
  <si>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</si>
  <si>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</si>
  <si>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</si>
  <si>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Boldrin, 2012</t>
  </si>
  <si>
    <t>%CH4-C/degraded C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</si>
  <si>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</si>
  <si>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</si>
  <si>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</si>
  <si>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</si>
  <si>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Transport to application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</si>
  <si>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</si>
  <si>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</si>
  <si>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</si>
  <si>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</si>
  <si>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</si>
  <si>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</si>
  <si>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</si>
  <si>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accounts for availability, operating load, and parasitic losses of generating unit(s)</t>
  </si>
  <si>
    <t>sw name</t>
  </si>
  <si>
    <t>DieselprovisionkgCO2eperL</t>
  </si>
  <si>
    <t>DieselcombustionkgCO2eperL</t>
  </si>
  <si>
    <t>EFGrid</t>
  </si>
  <si>
    <t>EF_Peat_kgCO2eperton</t>
  </si>
  <si>
    <t>LFDieseluseLpert</t>
  </si>
  <si>
    <t>LCEMax</t>
  </si>
  <si>
    <t>Heating_value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</si>
  <si>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</si>
  <si>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</si>
  <si>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</si>
  <si>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</si>
  <si>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</si>
  <si>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</si>
  <si>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</si>
  <si>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AD_Digester_parasiticLoad</t>
  </si>
  <si>
    <t>AD_reductionInVS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</si>
  <si>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</si>
  <si>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</si>
  <si>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</si>
  <si>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</si>
  <si>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</si>
  <si>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</si>
  <si>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</si>
  <si>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</si>
  <si>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</si>
  <si>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</si>
  <si>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</si>
  <si>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</si>
  <si>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</si>
  <si>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</si>
  <si>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</si>
  <si>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</si>
  <si>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</si>
  <si>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</si>
  <si>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</si>
  <si>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</si>
  <si>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</si>
  <si>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</si>
  <si>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</si>
  <si>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</si>
  <si>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</si>
  <si>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</si>
  <si>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</si>
  <si>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</si>
  <si>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</si>
  <si>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</si>
  <si>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</si>
  <si>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Compost_CS_factor</t>
  </si>
  <si>
    <t>2-79kgCO2e/kg food waste</t>
  </si>
  <si>
    <t>deGuardia, 2012</t>
  </si>
  <si>
    <t>LA N volatilization factor</t>
  </si>
  <si>
    <t>Compost_FracGasC</t>
  </si>
  <si>
    <t>% Napplied</t>
  </si>
  <si>
    <t>Not included at this time</t>
  </si>
  <si>
    <t>Compost_EF1</t>
  </si>
  <si>
    <t>deGuardia</t>
  </si>
  <si>
    <t xml:space="preserve">Pretty close to Barlaz and Levis which had,  2011 had 0.08kgC/kg dry </t>
  </si>
  <si>
    <t>Production P  fertilizer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</si>
  <si>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</si>
  <si>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</si>
  <si>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</si>
  <si>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</si>
  <si>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</si>
  <si>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</si>
  <si>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</si>
  <si>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</si>
  <si>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</si>
  <si>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</si>
  <si>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</si>
  <si>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</si>
  <si>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DieselspreadLpertkm</t>
  </si>
  <si>
    <t>kgCO2e/MWh</t>
  </si>
  <si>
    <t>based upon 20km to field- not used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</si>
  <si>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</si>
  <si>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</si>
  <si>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</si>
  <si>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</si>
  <si>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</si>
  <si>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</si>
  <si>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LA_CS_factor</t>
  </si>
  <si>
    <t>Digestate</t>
  </si>
  <si>
    <t>calculated from Bruun, 2006</t>
  </si>
  <si>
    <t>Compost_N_loss</t>
  </si>
  <si>
    <t>N availability</t>
  </si>
  <si>
    <t>trying to get .04-.14%</t>
  </si>
  <si>
    <t>kgCO2e/kgN</t>
  </si>
  <si>
    <t>kgCO2e/kg Peat</t>
  </si>
  <si>
    <t>AD_CSfactor</t>
  </si>
  <si>
    <t>LA_xportToField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</si>
  <si>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</si>
  <si>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</si>
  <si>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</si>
  <si>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</si>
  <si>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</si>
  <si>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</si>
  <si>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</si>
  <si>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</si>
  <si>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</si>
  <si>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</si>
  <si>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</si>
  <si>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</si>
  <si>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</si>
  <si>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</si>
  <si>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</si>
  <si>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Based on cantelope rindhttp://www.lundproduce.com/N-P-K-Value-of-Everything.html</t>
  </si>
  <si>
    <t>8-80KWh/t Berhardt.</t>
  </si>
  <si>
    <t>Baky and Eriksson (2003)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</si>
  <si>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</si>
  <si>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</si>
  <si>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</si>
  <si>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</si>
  <si>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</si>
  <si>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</si>
  <si>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</si>
  <si>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</si>
  <si>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may be high?</t>
  </si>
  <si>
    <t>Loss</t>
  </si>
  <si>
    <t>kg corn/kg fw</t>
  </si>
  <si>
    <t>% loss</t>
  </si>
  <si>
    <t>AF shrinkage</t>
  </si>
  <si>
    <t>AF_loss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</si>
  <si>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</si>
  <si>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</si>
  <si>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</si>
  <si>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</si>
  <si>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</si>
  <si>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Boldrin, 2009 kWh/t</t>
  </si>
  <si>
    <t>All</t>
  </si>
  <si>
    <t>LF</t>
  </si>
  <si>
    <t>LA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</si>
  <si>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</si>
  <si>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</si>
  <si>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</si>
  <si>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</si>
  <si>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</si>
  <si>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</si>
  <si>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</si>
  <si>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</si>
  <si>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</si>
  <si>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</si>
  <si>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</si>
  <si>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</si>
  <si>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</si>
  <si>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</si>
  <si>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</si>
  <si>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</si>
  <si>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</si>
  <si>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</si>
  <si>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</si>
  <si>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</si>
  <si>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</si>
  <si>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</si>
  <si>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</si>
  <si>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</si>
  <si>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</si>
  <si>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Matches Levis and Barlaz 8% DM</t>
  </si>
  <si>
    <r>
      <t>LCE</t>
    </r>
    <r>
      <rPr>
        <sz val="11"/>
        <color indexed="8"/>
        <rFont val="Calibri"/>
        <family val="2"/>
      </rPr>
      <t>*</t>
    </r>
  </si>
  <si>
    <r>
      <t>* taken from Levis and Barlaz, 2011</t>
    </r>
    <r>
      <rPr>
        <sz val="11"/>
        <color indexed="8"/>
        <rFont val="Calibri"/>
        <family val="2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</si>
  <si>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</si>
  <si>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</si>
  <si>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</si>
  <si>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</si>
  <si>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</si>
  <si>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</si>
  <si>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</si>
  <si>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</si>
  <si>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</si>
  <si>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</si>
  <si>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</si>
  <si>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</si>
  <si>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</si>
  <si>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</si>
  <si>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</si>
  <si>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</si>
  <si>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</si>
  <si>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</si>
  <si>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</si>
  <si>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</si>
  <si>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</si>
  <si>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</si>
  <si>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</si>
  <si>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</si>
  <si>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</si>
  <si>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</si>
  <si>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</si>
  <si>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</si>
  <si>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</si>
  <si>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</si>
  <si>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</si>
  <si>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</si>
  <si>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</si>
  <si>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</si>
  <si>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</si>
  <si>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</si>
  <si>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</si>
  <si>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</si>
  <si>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</si>
  <si>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</si>
  <si>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</si>
  <si>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</si>
  <si>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</si>
  <si>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</si>
  <si>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</si>
  <si>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</si>
  <si>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</si>
  <si>
    <t>range for garden waste and biowaste, open closed and not specified</t>
  </si>
  <si>
    <t>Range for garden waste, biowaste and not specified</t>
  </si>
  <si>
    <t>2–10% ofcompost C (Smith et al. 2001,Brinkmann et al. 2004; Den Boe et al. 2005, Fisher 2006), Bruun et al. (2006) estimated 9–14% depending on the soil type and the crop rotation.</t>
  </si>
  <si>
    <t>C in compost of food waste 63-386</t>
  </si>
  <si>
    <t>Avoided P fertilizer</t>
  </si>
  <si>
    <t>Net W Peat</t>
  </si>
  <si>
    <t>MSWFW</t>
  </si>
  <si>
    <t>Brewers spent grains</t>
  </si>
  <si>
    <t>Coffee grounds and filter paper</t>
  </si>
  <si>
    <t>Sweet Cereals</t>
  </si>
  <si>
    <t xml:space="preserve">Salad </t>
  </si>
  <si>
    <t>Dry goods</t>
  </si>
  <si>
    <t>Refrigerated and frozen goods</t>
  </si>
  <si>
    <t>Grid non-baseload emissions</t>
  </si>
  <si>
    <t>Provision of diesel fuel</t>
  </si>
  <si>
    <t>Displacement of non-baseload grid emissions (US Avg).</t>
  </si>
  <si>
    <t>4 to 10</t>
  </si>
  <si>
    <t>USEPA, 2015</t>
  </si>
  <si>
    <t>USEPA, 2017</t>
  </si>
  <si>
    <t>Chanton et al., 2009; 22% to 55%</t>
  </si>
  <si>
    <t>29% efficiency based upon 3412 btu/kwh, 25%-38%, factor of engine, gen set</t>
  </si>
  <si>
    <t>function of technology</t>
  </si>
  <si>
    <t>assumed, 0.9 in CCARv. 2, could also be correction factor from Cho paper for bo to Lo 0.7, similar to uncertainty in Bo</t>
  </si>
  <si>
    <t>factor of temperature, ph, moisture,nutrients and FSCR</t>
  </si>
  <si>
    <t>Landfill_OX_Max</t>
  </si>
  <si>
    <t>Gooch et al., 2003</t>
  </si>
  <si>
    <t>Nielson, 2008</t>
  </si>
  <si>
    <t>IPCC, 2006</t>
  </si>
  <si>
    <t>Volatile solids reduction</t>
  </si>
  <si>
    <t>Ebner et al., 2015</t>
  </si>
  <si>
    <t>LA transport to field</t>
  </si>
  <si>
    <t xml:space="preserve">kgN2O-N/kg N </t>
  </si>
  <si>
    <t>kg N vol/kg N</t>
  </si>
  <si>
    <t>C incomplete combustion</t>
  </si>
  <si>
    <t>KgC/t FW</t>
  </si>
  <si>
    <t>AD_N_Availability</t>
  </si>
  <si>
    <t>depends on TAN</t>
  </si>
  <si>
    <t>AD N volatilization factor</t>
  </si>
  <si>
    <t>Methane correction factor</t>
  </si>
  <si>
    <t>AD_Cf</t>
  </si>
  <si>
    <t>Ebner et al. 2015, Moller et al., 2009</t>
  </si>
  <si>
    <t>AD_Digester_CH4IC</t>
  </si>
  <si>
    <t>KWh/m3 CH4</t>
  </si>
  <si>
    <t>AD_Digester_CE</t>
  </si>
  <si>
    <t>Residual bio-methane potential</t>
  </si>
  <si>
    <t>AD_Storage_residualCH4</t>
  </si>
  <si>
    <t>Storage direct N2O emission factor</t>
  </si>
  <si>
    <t xml:space="preserve">Indirect emission factor </t>
  </si>
  <si>
    <t>AD field spreading</t>
  </si>
  <si>
    <t>Poesch et al., 2012</t>
  </si>
  <si>
    <t>Electricity conversion efficiency</t>
  </si>
  <si>
    <t xml:space="preserve">Storage  N volitilziation factor </t>
  </si>
  <si>
    <t>AD N Availability</t>
  </si>
  <si>
    <t>AD_Storage_EF3</t>
  </si>
  <si>
    <t>AD_Storage_FracGasMS</t>
  </si>
  <si>
    <t>K availability</t>
  </si>
  <si>
    <t>P availability</t>
  </si>
  <si>
    <t>% K applied</t>
  </si>
  <si>
    <t>% P applied</t>
  </si>
  <si>
    <t>K_Availability</t>
  </si>
  <si>
    <t>P_Availability</t>
  </si>
  <si>
    <t>N Displacement</t>
  </si>
  <si>
    <t>N demand</t>
  </si>
  <si>
    <t>K demand</t>
  </si>
  <si>
    <t>could displace or not</t>
  </si>
  <si>
    <t>Moller et al., 2009</t>
  </si>
  <si>
    <t>AD_LA_FracGasD</t>
  </si>
  <si>
    <t>AD_LA_FracLeachD</t>
  </si>
  <si>
    <t>%  P applied</t>
  </si>
  <si>
    <t>LA_DisplacedFertilizer_Direct_Indirect</t>
  </si>
  <si>
    <t>KWh/m3</t>
  </si>
  <si>
    <t>Leaching factor</t>
  </si>
  <si>
    <t>kg N/kg  N</t>
  </si>
  <si>
    <t>kg N20 N/Kg N</t>
  </si>
  <si>
    <t>direct N2O emissions</t>
  </si>
  <si>
    <t>Indirect N2O-N vol</t>
  </si>
  <si>
    <t>Indirect N20 leach</t>
  </si>
  <si>
    <t>Avoided K fertilizer</t>
  </si>
  <si>
    <t>kgCO2e/kg P applied</t>
  </si>
  <si>
    <t>kgCO2e/kg K applied</t>
  </si>
  <si>
    <t>N_displacement</t>
  </si>
  <si>
    <t>Low</t>
  </si>
  <si>
    <t>High</t>
  </si>
  <si>
    <t>% methane produced</t>
  </si>
  <si>
    <t>m3CH4/kg VS</t>
  </si>
  <si>
    <t>Hansen et al, 2006</t>
  </si>
  <si>
    <t>AD N runoff/leaching</t>
  </si>
  <si>
    <t>faction N applied</t>
  </si>
  <si>
    <t>fraction N applied</t>
  </si>
  <si>
    <t>fraction C applied</t>
  </si>
  <si>
    <t>fraction initial C</t>
  </si>
  <si>
    <t>fraction degraded C</t>
  </si>
  <si>
    <t>Compost mass reduction</t>
  </si>
  <si>
    <t>Boldrin,2009</t>
  </si>
  <si>
    <t>for food waste</t>
  </si>
  <si>
    <t>Nitrogen</t>
  </si>
  <si>
    <t>lbs fert/ Aab</t>
  </si>
  <si>
    <t>a estimated based upon http://fieldcrops.cals.cornell.edu/corn/fertilizers-corn</t>
  </si>
  <si>
    <t>b P2O5 /2.3 = P  or P2O *162/142</t>
  </si>
  <si>
    <t>c K2O/1.2=K or K2O*78/94</t>
  </si>
  <si>
    <t>KN ratio</t>
  </si>
  <si>
    <t>PN ratio</t>
  </si>
  <si>
    <t xml:space="preserve">P effective displacement </t>
  </si>
  <si>
    <t>K effective displacement</t>
  </si>
  <si>
    <t>K_Nratio</t>
  </si>
  <si>
    <t>P_Nratio</t>
  </si>
  <si>
    <t>eq kg/ha</t>
  </si>
  <si>
    <t>Potassium</t>
  </si>
  <si>
    <t>Phosphorous</t>
  </si>
  <si>
    <t>Boldrin et al., 2009, open windrow</t>
  </si>
  <si>
    <t>deGuardia, 2012, Beck Friis, 2000</t>
  </si>
  <si>
    <t>% N</t>
  </si>
  <si>
    <t>Percent N2O N direct</t>
  </si>
  <si>
    <t>Direct N2O emissions</t>
  </si>
  <si>
    <t>kg N</t>
  </si>
  <si>
    <t>consistent with Pagans</t>
  </si>
  <si>
    <t>N loss net of N2O</t>
  </si>
  <si>
    <t>Compost_NH3ofloss</t>
  </si>
  <si>
    <t>Moller (heavy truck)</t>
  </si>
  <si>
    <t>Compost volatilization coeff</t>
  </si>
  <si>
    <t>Compost N availability</t>
  </si>
  <si>
    <t>%N</t>
  </si>
  <si>
    <t>Compost_N_Availability</t>
  </si>
  <si>
    <t>could range from 0 to 1</t>
  </si>
  <si>
    <t>% N applied</t>
  </si>
  <si>
    <t>Bruun et al., 2005, suggests 20%</t>
  </si>
  <si>
    <t>Poesch 60-80, Hanson 80-100, Boldrin 40</t>
  </si>
  <si>
    <t>N remaining</t>
  </si>
  <si>
    <t>N2O leach runoff</t>
  </si>
  <si>
    <t>N2O volatilization</t>
  </si>
  <si>
    <t>N2O indirect</t>
  </si>
  <si>
    <t>Boldrin, et al., nominal Open Windrow, range other techs</t>
  </si>
  <si>
    <t>Displaced_P_Production_Factor</t>
  </si>
  <si>
    <t>Displaced_K_Production_Factor</t>
  </si>
  <si>
    <t>Displaced_N_Production_Factor</t>
  </si>
  <si>
    <t>% Nloss</t>
  </si>
  <si>
    <t>Indirect N (NO3, NH4 and NH3)</t>
  </si>
  <si>
    <t xml:space="preserve">Indirect N2O </t>
  </si>
  <si>
    <t>kg N2O/t</t>
  </si>
  <si>
    <t>Fertilizer displacement</t>
  </si>
  <si>
    <t>kg N/t</t>
  </si>
  <si>
    <t>TKN (mg/kg)b</t>
  </si>
  <si>
    <t>Potassium (K)(mg/kg)b</t>
  </si>
  <si>
    <t>Phosphorous (mg/kg) (P)b</t>
  </si>
  <si>
    <t>%TS (TS/FW)a</t>
  </si>
  <si>
    <t>%VS/ Tsa</t>
  </si>
  <si>
    <t>TVS  (VS/FW)a</t>
  </si>
  <si>
    <t>Bo (ml/g VS)a</t>
  </si>
  <si>
    <t>Levis and Barlaza, 2014, NPK from Banks 2011</t>
  </si>
  <si>
    <t xml:space="preserve"> biochemical</t>
  </si>
  <si>
    <t>Fertilizer net</t>
  </si>
  <si>
    <t>Land applied fertilizer</t>
  </si>
  <si>
    <t>Net LA Fertilizer</t>
  </si>
  <si>
    <t>Net w LA fertilizer</t>
  </si>
  <si>
    <t>Net blended</t>
  </si>
  <si>
    <t>kg compost/kg compost</t>
  </si>
  <si>
    <t>Peat_displacement</t>
  </si>
  <si>
    <t>Carbon degradation</t>
  </si>
  <si>
    <t>Composting CH4 emissions</t>
  </si>
  <si>
    <t>Composting direct N2O emissions</t>
  </si>
  <si>
    <t>fraction degraded N</t>
  </si>
  <si>
    <t>fraction of degraded N remaining</t>
  </si>
  <si>
    <t>% fresh weight</t>
  </si>
  <si>
    <t>kg fertilizer/ha</t>
  </si>
  <si>
    <t>kg nutrient/a</t>
  </si>
  <si>
    <t>Availability</t>
  </si>
  <si>
    <t>Demand relative to N</t>
  </si>
  <si>
    <t>Yoshida et al., 2015</t>
  </si>
  <si>
    <t>AD direct N2O emission factor</t>
  </si>
  <si>
    <t xml:space="preserve">fertilizer was 0.002-0.024 </t>
  </si>
  <si>
    <t>Compost operation diesel  use</t>
  </si>
  <si>
    <t xml:space="preserve">Compost operation electricity use </t>
  </si>
  <si>
    <t xml:space="preserve">Composting NH3 emission </t>
  </si>
  <si>
    <t>Composting N loss</t>
  </si>
  <si>
    <t>Peat displacment factor</t>
  </si>
  <si>
    <t>Compost land application direct N2O emission factor</t>
  </si>
  <si>
    <t>assumed</t>
  </si>
  <si>
    <t>% Bo</t>
  </si>
  <si>
    <t>Diesel fuel combustion</t>
  </si>
  <si>
    <t xml:space="preserve"> Fruergaard et al. 2009</t>
  </si>
  <si>
    <t>average</t>
  </si>
  <si>
    <t>ANL, 2015</t>
  </si>
  <si>
    <t>USEPA, 2013</t>
  </si>
  <si>
    <t>Boldrin et al., 2009</t>
  </si>
  <si>
    <t>Bernstadt.,2012</t>
  </si>
  <si>
    <t>Yoshida</t>
  </si>
  <si>
    <t>high</t>
  </si>
  <si>
    <t>low</t>
  </si>
  <si>
    <t>MF</t>
  </si>
  <si>
    <t>MSW-C</t>
  </si>
  <si>
    <t>MSW-D</t>
  </si>
  <si>
    <t xml:space="preserve">high </t>
  </si>
  <si>
    <t xml:space="preserve">low </t>
  </si>
  <si>
    <t>mean</t>
  </si>
  <si>
    <t>runoff (NH4+)</t>
  </si>
  <si>
    <t>runoff (NH4/NO3)</t>
  </si>
  <si>
    <t>Leaching (NO3-)</t>
  </si>
  <si>
    <t>runoff (NO3-))</t>
  </si>
  <si>
    <t>EIF (kgN/kgN applied)</t>
  </si>
  <si>
    <t>difference from MF (kgN/kgN applied)</t>
  </si>
  <si>
    <t>runoff /leaching(NH4/NO3)</t>
  </si>
  <si>
    <t xml:space="preserve">Mineral Fertilizer N2O </t>
  </si>
  <si>
    <t>Mineral Fertilizer NH3</t>
  </si>
  <si>
    <t>Mineral Fertilizer NO3/NH4</t>
  </si>
  <si>
    <t>MF_NH3</t>
  </si>
  <si>
    <t>MF_ROL</t>
  </si>
  <si>
    <t>range</t>
  </si>
  <si>
    <t>Compost_FracROL</t>
  </si>
  <si>
    <t>Yoshida et al., 2017</t>
  </si>
  <si>
    <t>Compost runoff/leaching</t>
  </si>
  <si>
    <t>Yoshida et al., 2016, Hansen et al., 2006</t>
  </si>
  <si>
    <t>kgN2O-N/kg N</t>
  </si>
  <si>
    <t>kgNH3/kg N</t>
  </si>
  <si>
    <t>kg NO3/NH4/kg N</t>
  </si>
  <si>
    <t>based upon 0.15% vol of NH4 where .4-.8</t>
  </si>
  <si>
    <t>Yoshida et al., 2015, Hansen et al, 2006</t>
  </si>
  <si>
    <t>MF_N2O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</si>
</sst>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  <numFmt numFmtId="171" formatCode="_(* #,##0.0000_);_(* \(#,##0.0000\);_(* &quot;-&quot;????_);_(@_)"/>
  </numFmts>
  <fonts count="54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10"/>
      <name val="Calibri"/>
      <family val="2"/>
    </font>
    <font>
      <sz val="10"/>
      <color indexed="8"/>
      <name val="Times New Roman"/>
      <family val="2"/>
    </font>
    <font>
      <vertAlign val="superscript"/>
      <sz val="10"/>
      <color indexed="8"/>
      <name val="Times New Roman"/>
      <family val="1"/>
    </font>
    <font>
      <vertAlign val="superscript"/>
      <sz val="11"/>
      <color indexed="8"/>
      <name val="Calibri"/>
    </font>
    <font>
      <sz val="12"/>
      <name val="Times New Roman"/>
    </font>
    <font>
      <vertAlign val="subscript"/>
      <sz val="12"/>
      <name val="Times New Roman"/>
    </font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2"/>
      <color rgb="FF000000"/>
      <name val="Times"/>
    </font>
    <font>
      <sz val="14"/>
      <color rgb="FF000000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222222"/>
      <name val="Arial"/>
    </font>
    <font>
      <sz val="10"/>
      <color rgb="FF000000"/>
      <name val="Dutch801BT-Roman"/>
    </font>
    <font>
      <sz val="8"/>
      <color rgb="FF000000"/>
      <name val="DINMittelschrift-Alternate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205">
    <xf numFmtId="0" fontId="0" fillId="0" borderId="0"/>
    <xf numFmtId="0" fontId="13" fillId="2" borderId="0" applyNumberFormat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/>
    <xf numFmtId="0" fontId="0" fillId="5" borderId="0" xfId="0" applyFill="1"/>
    <xf numFmtId="0" fontId="19" fillId="0" borderId="0" xfId="0" applyFont="1" applyFill="1"/>
    <xf numFmtId="0" fontId="0" fillId="0" borderId="0" xfId="0" applyFill="1"/>
    <xf numFmtId="0" fontId="0" fillId="0" borderId="0" xfId="0" applyAlignment="1"/>
    <xf numFmtId="0" fontId="19" fillId="6" borderId="0" xfId="0" applyFont="1" applyFill="1"/>
    <xf numFmtId="164" fontId="0" fillId="7" borderId="0" xfId="0" applyNumberFormat="1" applyFill="1"/>
    <xf numFmtId="0" fontId="0" fillId="8" borderId="0" xfId="0" applyFill="1"/>
    <xf numFmtId="0" fontId="20" fillId="9" borderId="0" xfId="0" applyFont="1" applyFill="1"/>
    <xf numFmtId="0" fontId="0" fillId="9" borderId="0" xfId="0" applyFill="1"/>
    <xf numFmtId="0" fontId="18" fillId="9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/>
    <xf numFmtId="0" fontId="22" fillId="7" borderId="0" xfId="0" applyFont="1" applyFill="1"/>
    <xf numFmtId="1" fontId="0" fillId="7" borderId="0" xfId="0" applyNumberFormat="1" applyFill="1"/>
    <xf numFmtId="0" fontId="22" fillId="0" borderId="0" xfId="0" applyFont="1" applyFill="1"/>
    <xf numFmtId="164" fontId="18" fillId="7" borderId="0" xfId="0" applyNumberFormat="1" applyFont="1" applyFill="1"/>
    <xf numFmtId="43" fontId="0" fillId="7" borderId="0" xfId="0" applyNumberFormat="1" applyFill="1"/>
    <xf numFmtId="0" fontId="0" fillId="0" borderId="0" xfId="0" applyBorder="1" applyAlignment="1">
      <alignment wrapText="1"/>
    </xf>
    <xf numFmtId="0" fontId="17" fillId="0" borderId="0" xfId="7"/>
    <xf numFmtId="0" fontId="19" fillId="5" borderId="0" xfId="0" applyFont="1" applyFill="1"/>
    <xf numFmtId="168" fontId="0" fillId="10" borderId="0" xfId="0" applyNumberFormat="1" applyFill="1"/>
    <xf numFmtId="0" fontId="14" fillId="0" borderId="0" xfId="10"/>
    <xf numFmtId="0" fontId="23" fillId="0" borderId="0" xfId="10" applyFont="1"/>
    <xf numFmtId="43" fontId="14" fillId="0" borderId="0" xfId="10" applyNumberFormat="1"/>
    <xf numFmtId="4" fontId="14" fillId="0" borderId="0" xfId="10" applyNumberFormat="1"/>
    <xf numFmtId="2" fontId="14" fillId="0" borderId="0" xfId="10" applyNumberFormat="1"/>
    <xf numFmtId="16" fontId="14" fillId="0" borderId="0" xfId="10" applyNumberFormat="1"/>
    <xf numFmtId="0" fontId="14" fillId="0" borderId="0" xfId="10" applyAlignment="1">
      <alignment wrapText="1"/>
    </xf>
    <xf numFmtId="0" fontId="14" fillId="9" borderId="0" xfId="10" applyFill="1"/>
    <xf numFmtId="0" fontId="14" fillId="0" borderId="0" xfId="10" applyFont="1"/>
    <xf numFmtId="0" fontId="14" fillId="5" borderId="0" xfId="10" applyFill="1"/>
    <xf numFmtId="0" fontId="14" fillId="11" borderId="0" xfId="10" applyFill="1"/>
    <xf numFmtId="169" fontId="14" fillId="12" borderId="0" xfId="10" applyNumberFormat="1" applyFill="1"/>
    <xf numFmtId="0" fontId="24" fillId="0" borderId="0" xfId="10" applyFont="1" applyAlignment="1"/>
    <xf numFmtId="43" fontId="18" fillId="9" borderId="0" xfId="0" applyNumberFormat="1" applyFont="1" applyFill="1"/>
    <xf numFmtId="0" fontId="18" fillId="11" borderId="0" xfId="0" applyFont="1" applyFill="1" applyAlignment="1">
      <alignment wrapText="1"/>
    </xf>
    <xf numFmtId="0" fontId="24" fillId="11" borderId="0" xfId="10" applyFont="1" applyFill="1"/>
    <xf numFmtId="0" fontId="18" fillId="0" borderId="0" xfId="0" applyFont="1" applyAlignment="1">
      <alignment wrapText="1"/>
    </xf>
    <xf numFmtId="0" fontId="0" fillId="11" borderId="0" xfId="0" applyFill="1"/>
    <xf numFmtId="0" fontId="18" fillId="11" borderId="0" xfId="0" applyFont="1" applyFill="1"/>
    <xf numFmtId="0" fontId="0" fillId="0" borderId="0" xfId="0" applyFont="1" applyFill="1"/>
    <xf numFmtId="0" fontId="14" fillId="0" borderId="0" xfId="10" applyFill="1"/>
    <xf numFmtId="0" fontId="25" fillId="11" borderId="0" xfId="10" applyFont="1" applyFill="1"/>
    <xf numFmtId="0" fontId="26" fillId="11" borderId="0" xfId="10" applyFont="1" applyFill="1"/>
    <xf numFmtId="0" fontId="0" fillId="0" borderId="0" xfId="0" applyBorder="1"/>
    <xf numFmtId="0" fontId="0" fillId="0" borderId="0" xfId="0" applyFill="1" applyBorder="1"/>
    <xf numFmtId="0" fontId="19" fillId="0" borderId="0" xfId="0" applyFont="1" applyBorder="1"/>
    <xf numFmtId="166" fontId="12" fillId="0" borderId="0" xfId="11" applyNumberFormat="1" applyFont="1"/>
    <xf numFmtId="0" fontId="27" fillId="0" borderId="0" xfId="0" applyFont="1" applyAlignment="1">
      <alignment horizontal="left" vertical="center" wrapText="1"/>
    </xf>
    <xf numFmtId="0" fontId="0" fillId="0" borderId="1" xfId="0" applyBorder="1"/>
    <xf numFmtId="0" fontId="0" fillId="11" borderId="1" xfId="0" applyFill="1" applyBorder="1"/>
    <xf numFmtId="1" fontId="0" fillId="0" borderId="1" xfId="0" applyNumberFormat="1" applyBorder="1"/>
    <xf numFmtId="0" fontId="17" fillId="0" borderId="0" xfId="0" applyFont="1"/>
    <xf numFmtId="0" fontId="0" fillId="12" borderId="0" xfId="0" applyFill="1"/>
    <xf numFmtId="0" fontId="28" fillId="0" borderId="0" xfId="0" applyFont="1"/>
    <xf numFmtId="169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2" fillId="0" borderId="0" xfId="0" applyFont="1"/>
    <xf numFmtId="169" fontId="0" fillId="12" borderId="0" xfId="0" applyNumberFormat="1" applyFill="1"/>
    <xf numFmtId="0" fontId="33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1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4" fillId="0" borderId="0" xfId="0" applyFont="1"/>
    <xf numFmtId="0" fontId="35" fillId="0" borderId="0" xfId="0" applyFont="1" applyBorder="1"/>
    <xf numFmtId="0" fontId="36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/>
    <xf numFmtId="0" fontId="37" fillId="0" borderId="0" xfId="0" applyFont="1" applyFill="1" applyBorder="1"/>
    <xf numFmtId="0" fontId="35" fillId="8" borderId="0" xfId="0" applyFont="1" applyFill="1"/>
    <xf numFmtId="0" fontId="36" fillId="0" borderId="0" xfId="0" applyFont="1" applyFill="1" applyBorder="1" applyAlignment="1">
      <alignment vertical="center" wrapText="1"/>
    </xf>
    <xf numFmtId="1" fontId="0" fillId="0" borderId="0" xfId="0" applyNumberFormat="1"/>
    <xf numFmtId="1" fontId="20" fillId="9" borderId="0" xfId="0" applyNumberFormat="1" applyFont="1" applyFill="1"/>
    <xf numFmtId="1" fontId="18" fillId="11" borderId="0" xfId="0" applyNumberFormat="1" applyFont="1" applyFill="1"/>
    <xf numFmtId="1" fontId="0" fillId="11" borderId="0" xfId="0" applyNumberFormat="1" applyFill="1"/>
    <xf numFmtId="43" fontId="0" fillId="0" borderId="0" xfId="0" applyNumberFormat="1"/>
    <xf numFmtId="164" fontId="22" fillId="7" borderId="0" xfId="0" applyNumberFormat="1" applyFont="1" applyFill="1"/>
    <xf numFmtId="0" fontId="18" fillId="0" borderId="0" xfId="0" applyFont="1" applyFill="1"/>
    <xf numFmtId="164" fontId="0" fillId="0" borderId="0" xfId="0" applyNumberFormat="1" applyFill="1"/>
    <xf numFmtId="2" fontId="0" fillId="10" borderId="0" xfId="0" applyNumberFormat="1" applyFill="1"/>
    <xf numFmtId="164" fontId="0" fillId="0" borderId="0" xfId="0" applyNumberFormat="1"/>
    <xf numFmtId="1" fontId="19" fillId="7" borderId="0" xfId="0" applyNumberFormat="1" applyFont="1" applyFill="1"/>
    <xf numFmtId="1" fontId="38" fillId="10" borderId="0" xfId="0" applyNumberFormat="1" applyFont="1" applyFill="1"/>
    <xf numFmtId="170" fontId="0" fillId="0" borderId="0" xfId="0" applyNumberFormat="1" applyFill="1"/>
    <xf numFmtId="43" fontId="0" fillId="11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1" borderId="2" xfId="0" applyFill="1" applyBorder="1"/>
    <xf numFmtId="167" fontId="39" fillId="6" borderId="0" xfId="7" applyNumberFormat="1" applyFont="1" applyFill="1"/>
    <xf numFmtId="0" fontId="17" fillId="0" borderId="2" xfId="7" applyBorder="1" applyAlignment="1"/>
    <xf numFmtId="0" fontId="40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12" fillId="0" borderId="0" xfId="2" applyFont="1"/>
    <xf numFmtId="0" fontId="14" fillId="0" borderId="0" xfId="10" applyFont="1" applyFill="1"/>
    <xf numFmtId="2" fontId="0" fillId="13" borderId="0" xfId="0" applyNumberFormat="1" applyFill="1"/>
    <xf numFmtId="164" fontId="18" fillId="9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14" fillId="0" borderId="0" xfId="10" applyFont="1"/>
    <xf numFmtId="169" fontId="14" fillId="0" borderId="0" xfId="10" applyNumberFormat="1"/>
    <xf numFmtId="9" fontId="14" fillId="0" borderId="0" xfId="11" applyFont="1"/>
    <xf numFmtId="0" fontId="14" fillId="0" borderId="0" xfId="10" applyFont="1" applyAlignment="1"/>
    <xf numFmtId="0" fontId="14" fillId="12" borderId="0" xfId="10" applyFill="1"/>
    <xf numFmtId="0" fontId="24" fillId="0" borderId="0" xfId="10" applyFont="1" applyFill="1"/>
    <xf numFmtId="0" fontId="27" fillId="0" borderId="0" xfId="0" applyFont="1" applyFill="1" applyAlignment="1">
      <alignment horizontal="left" vertical="center" wrapText="1"/>
    </xf>
    <xf numFmtId="164" fontId="27" fillId="0" borderId="0" xfId="0" applyNumberFormat="1" applyFont="1" applyFill="1" applyAlignment="1">
      <alignment horizontal="left" vertical="center" wrapText="1"/>
    </xf>
    <xf numFmtId="43" fontId="14" fillId="0" borderId="0" xfId="2" applyFont="1"/>
    <xf numFmtId="0" fontId="41" fillId="0" borderId="0" xfId="0" applyFont="1"/>
    <xf numFmtId="0" fontId="14" fillId="7" borderId="0" xfId="10" applyFont="1" applyFill="1"/>
    <xf numFmtId="0" fontId="14" fillId="7" borderId="0" xfId="10" applyFill="1"/>
    <xf numFmtId="0" fontId="14" fillId="11" borderId="0" xfId="10" applyFont="1" applyFill="1"/>
    <xf numFmtId="4" fontId="14" fillId="11" borderId="0" xfId="10" applyNumberFormat="1" applyFill="1"/>
    <xf numFmtId="0" fontId="14" fillId="11" borderId="0" xfId="10" applyFill="1" applyAlignment="1">
      <alignment horizontal="center"/>
    </xf>
    <xf numFmtId="0" fontId="24" fillId="9" borderId="0" xfId="10" applyFont="1" applyFill="1"/>
    <xf numFmtId="0" fontId="6" fillId="0" borderId="0" xfId="0" applyFont="1"/>
    <xf numFmtId="0" fontId="8" fillId="0" borderId="0" xfId="0" applyFont="1"/>
    <xf numFmtId="164" fontId="0" fillId="0" borderId="0" xfId="0" applyNumberForma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8" fillId="0" borderId="0" xfId="0" applyFont="1" applyBorder="1"/>
    <xf numFmtId="0" fontId="0" fillId="0" borderId="0" xfId="0" applyFill="1" applyBorder="1" applyAlignment="1">
      <alignment horizontal="center"/>
    </xf>
    <xf numFmtId="0" fontId="42" fillId="0" borderId="7" xfId="0" applyFont="1" applyBorder="1" applyAlignment="1">
      <alignment vertical="center"/>
    </xf>
    <xf numFmtId="0" fontId="42" fillId="0" borderId="8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3" fillId="0" borderId="10" xfId="0" applyFont="1" applyBorder="1" applyAlignment="1">
      <alignment vertical="center"/>
    </xf>
    <xf numFmtId="10" fontId="42" fillId="0" borderId="11" xfId="0" applyNumberFormat="1" applyFont="1" applyBorder="1" applyAlignment="1">
      <alignment horizontal="center" vertical="center"/>
    </xf>
    <xf numFmtId="10" fontId="42" fillId="0" borderId="12" xfId="0" applyNumberFormat="1" applyFont="1" applyBorder="1" applyAlignment="1">
      <alignment horizontal="center" vertical="center"/>
    </xf>
    <xf numFmtId="0" fontId="43" fillId="0" borderId="10" xfId="0" applyFont="1" applyBorder="1" applyAlignment="1">
      <alignment vertical="center" wrapText="1"/>
    </xf>
    <xf numFmtId="10" fontId="42" fillId="0" borderId="11" xfId="0" applyNumberFormat="1" applyFont="1" applyBorder="1" applyAlignment="1">
      <alignment horizontal="center" vertical="center" wrapText="1"/>
    </xf>
    <xf numFmtId="10" fontId="42" fillId="0" borderId="12" xfId="0" applyNumberFormat="1" applyFont="1" applyBorder="1" applyAlignment="1">
      <alignment horizontal="center" vertical="center" wrapText="1"/>
    </xf>
    <xf numFmtId="0" fontId="43" fillId="0" borderId="12" xfId="0" applyFont="1" applyBorder="1" applyAlignment="1">
      <alignment horizontal="left" vertical="center" wrapText="1"/>
    </xf>
    <xf numFmtId="10" fontId="44" fillId="0" borderId="11" xfId="0" applyNumberFormat="1" applyFont="1" applyBorder="1" applyAlignment="1">
      <alignment horizontal="center" vertical="center" wrapText="1"/>
    </xf>
    <xf numFmtId="0" fontId="43" fillId="0" borderId="12" xfId="0" applyFont="1" applyBorder="1" applyAlignment="1">
      <alignment vertical="center" wrapText="1"/>
    </xf>
    <xf numFmtId="9" fontId="42" fillId="0" borderId="11" xfId="0" applyNumberFormat="1" applyFont="1" applyBorder="1" applyAlignment="1">
      <alignment horizontal="center" vertical="center"/>
    </xf>
    <xf numFmtId="9" fontId="42" fillId="0" borderId="12" xfId="0" applyNumberFormat="1" applyFont="1" applyBorder="1" applyAlignment="1">
      <alignment horizontal="center" vertical="center"/>
    </xf>
    <xf numFmtId="0" fontId="43" fillId="0" borderId="13" xfId="0" applyFont="1" applyBorder="1" applyAlignment="1">
      <alignment vertical="center" wrapText="1"/>
    </xf>
    <xf numFmtId="9" fontId="42" fillId="0" borderId="14" xfId="0" applyNumberFormat="1" applyFont="1" applyBorder="1" applyAlignment="1">
      <alignment horizontal="center" vertical="center"/>
    </xf>
    <xf numFmtId="9" fontId="42" fillId="0" borderId="13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9" fontId="42" fillId="0" borderId="0" xfId="0" applyNumberFormat="1" applyFont="1" applyBorder="1" applyAlignment="1">
      <alignment horizontal="center" vertical="center"/>
    </xf>
    <xf numFmtId="166" fontId="21" fillId="0" borderId="15" xfId="11" applyNumberFormat="1" applyFont="1" applyFill="1" applyBorder="1"/>
    <xf numFmtId="0" fontId="43" fillId="0" borderId="0" xfId="0" applyFont="1" applyFill="1" applyBorder="1" applyAlignment="1">
      <alignment vertical="center" wrapText="1"/>
    </xf>
    <xf numFmtId="9" fontId="12" fillId="0" borderId="0" xfId="11" applyFont="1"/>
    <xf numFmtId="9" fontId="14" fillId="0" borderId="0" xfId="10" applyNumberFormat="1" applyFill="1"/>
    <xf numFmtId="167" fontId="39" fillId="11" borderId="0" xfId="7" applyNumberFormat="1" applyFont="1" applyFill="1"/>
    <xf numFmtId="0" fontId="22" fillId="11" borderId="0" xfId="0" applyFont="1" applyFill="1"/>
    <xf numFmtId="0" fontId="45" fillId="11" borderId="0" xfId="0" applyFont="1" applyFill="1"/>
    <xf numFmtId="2" fontId="0" fillId="0" borderId="0" xfId="0" applyNumberFormat="1" applyFont="1" applyFill="1"/>
    <xf numFmtId="43" fontId="19" fillId="0" borderId="0" xfId="0" applyNumberFormat="1" applyFont="1" applyFill="1"/>
    <xf numFmtId="167" fontId="0" fillId="0" borderId="0" xfId="0" applyNumberFormat="1"/>
    <xf numFmtId="43" fontId="19" fillId="0" borderId="0" xfId="0" applyNumberFormat="1" applyFont="1"/>
    <xf numFmtId="0" fontId="45" fillId="0" borderId="0" xfId="0" applyFont="1" applyFill="1"/>
    <xf numFmtId="167" fontId="39" fillId="0" borderId="0" xfId="7" applyNumberFormat="1" applyFont="1" applyFill="1"/>
    <xf numFmtId="167" fontId="46" fillId="0" borderId="0" xfId="7" applyNumberFormat="1" applyFont="1" applyFill="1"/>
    <xf numFmtId="0" fontId="21" fillId="0" borderId="0" xfId="0" applyFont="1" applyFill="1" applyAlignment="1"/>
    <xf numFmtId="43" fontId="45" fillId="0" borderId="0" xfId="0" applyNumberFormat="1" applyFont="1" applyFill="1"/>
    <xf numFmtId="43" fontId="18" fillId="11" borderId="0" xfId="0" applyNumberFormat="1" applyFont="1" applyFill="1"/>
    <xf numFmtId="43" fontId="22" fillId="11" borderId="0" xfId="0" applyNumberFormat="1" applyFont="1" applyFill="1"/>
    <xf numFmtId="43" fontId="18" fillId="0" borderId="0" xfId="0" applyNumberFormat="1" applyFont="1"/>
    <xf numFmtId="10" fontId="12" fillId="0" borderId="0" xfId="11" applyNumberFormat="1" applyFont="1"/>
    <xf numFmtId="166" fontId="42" fillId="0" borderId="11" xfId="0" applyNumberFormat="1" applyFont="1" applyBorder="1" applyAlignment="1">
      <alignment horizontal="center" vertical="center"/>
    </xf>
    <xf numFmtId="166" fontId="42" fillId="0" borderId="14" xfId="0" applyNumberFormat="1" applyFont="1" applyBorder="1" applyAlignment="1">
      <alignment horizontal="center" vertical="center"/>
    </xf>
    <xf numFmtId="0" fontId="47" fillId="0" borderId="0" xfId="10" applyFont="1" applyFill="1"/>
    <xf numFmtId="0" fontId="0" fillId="0" borderId="0" xfId="0" applyFont="1" applyFill="1" applyAlignment="1"/>
    <xf numFmtId="0" fontId="48" fillId="0" borderId="0" xfId="0" applyFont="1"/>
    <xf numFmtId="2" fontId="14" fillId="8" borderId="0" xfId="10" applyNumberFormat="1" applyFill="1"/>
    <xf numFmtId="0" fontId="14" fillId="8" borderId="0" xfId="10" applyFill="1"/>
    <xf numFmtId="169" fontId="0" fillId="8" borderId="0" xfId="0" applyNumberFormat="1" applyFill="1"/>
    <xf numFmtId="0" fontId="0" fillId="8" borderId="0" xfId="0" applyFill="1" applyAlignment="1">
      <alignment wrapText="1"/>
    </xf>
    <xf numFmtId="0" fontId="14" fillId="8" borderId="0" xfId="10" applyFont="1" applyFill="1"/>
    <xf numFmtId="0" fontId="18" fillId="11" borderId="0" xfId="0" applyFont="1" applyFill="1"/>
    <xf numFmtId="0" fontId="14" fillId="6" borderId="0" xfId="10" applyFill="1"/>
    <xf numFmtId="1" fontId="14" fillId="6" borderId="0" xfId="10" applyNumberFormat="1" applyFill="1"/>
    <xf numFmtId="164" fontId="14" fillId="6" borderId="0" xfId="10" applyNumberFormat="1" applyFill="1"/>
    <xf numFmtId="0" fontId="14" fillId="0" borderId="0" xfId="10" applyFont="1" applyFill="1"/>
    <xf numFmtId="9" fontId="14" fillId="6" borderId="0" xfId="10" applyNumberFormat="1" applyFill="1"/>
    <xf numFmtId="0" fontId="14" fillId="0" borderId="0" xfId="10" applyFont="1"/>
    <xf numFmtId="43" fontId="18" fillId="0" borderId="0" xfId="2" applyFont="1" applyAlignment="1">
      <alignment wrapText="1"/>
    </xf>
    <xf numFmtId="43" fontId="20" fillId="9" borderId="0" xfId="2" applyFont="1" applyFill="1"/>
    <xf numFmtId="43" fontId="24" fillId="11" borderId="0" xfId="2" applyFont="1" applyFill="1"/>
    <xf numFmtId="43" fontId="14" fillId="11" borderId="0" xfId="2" applyFont="1" applyFill="1"/>
    <xf numFmtId="43" fontId="24" fillId="0" borderId="0" xfId="2" applyFont="1" applyFill="1"/>
    <xf numFmtId="43" fontId="14" fillId="0" borderId="0" xfId="2" applyFont="1" applyFill="1"/>
    <xf numFmtId="43" fontId="14" fillId="7" borderId="0" xfId="2" applyFont="1" applyFill="1"/>
    <xf numFmtId="43" fontId="25" fillId="11" borderId="0" xfId="2" applyFont="1" applyFill="1"/>
    <xf numFmtId="43" fontId="26" fillId="11" borderId="0" xfId="2" applyFont="1" applyFill="1"/>
    <xf numFmtId="43" fontId="14" fillId="10" borderId="0" xfId="2" applyFont="1" applyFill="1"/>
    <xf numFmtId="43" fontId="24" fillId="9" borderId="0" xfId="2" applyFont="1" applyFill="1"/>
    <xf numFmtId="43" fontId="14" fillId="0" borderId="0" xfId="2" applyFont="1"/>
    <xf numFmtId="43" fontId="24" fillId="6" borderId="0" xfId="2" applyFont="1" applyFill="1"/>
    <xf numFmtId="1" fontId="19" fillId="0" borderId="0" xfId="0" applyNumberFormat="1" applyFont="1" applyFill="1"/>
    <xf numFmtId="2" fontId="19" fillId="6" borderId="0" xfId="0" applyNumberFormat="1" applyFont="1" applyFill="1"/>
    <xf numFmtId="164" fontId="0" fillId="10" borderId="0" xfId="0" applyNumberFormat="1" applyFill="1"/>
    <xf numFmtId="2" fontId="14" fillId="0" borderId="0" xfId="10" applyNumberFormat="1" applyFill="1"/>
    <xf numFmtId="169" fontId="27" fillId="8" borderId="0" xfId="0" applyNumberFormat="1" applyFont="1" applyFill="1" applyAlignment="1">
      <alignment horizontal="left" vertical="center" wrapText="1"/>
    </xf>
    <xf numFmtId="43" fontId="14" fillId="12" borderId="0" xfId="10" applyNumberFormat="1" applyFill="1"/>
    <xf numFmtId="0" fontId="0" fillId="0" borderId="0" xfId="0" applyFont="1"/>
    <xf numFmtId="0" fontId="14" fillId="0" borderId="0" xfId="10" applyFont="1" applyFill="1"/>
    <xf numFmtId="1" fontId="0" fillId="0" borderId="0" xfId="0" applyNumberFormat="1" applyFill="1"/>
    <xf numFmtId="0" fontId="19" fillId="8" borderId="0" xfId="0" applyFont="1" applyFill="1"/>
    <xf numFmtId="43" fontId="18" fillId="7" borderId="0" xfId="0" applyNumberFormat="1" applyFont="1" applyFill="1"/>
    <xf numFmtId="2" fontId="0" fillId="0" borderId="0" xfId="0" applyNumberFormat="1" applyFill="1"/>
    <xf numFmtId="43" fontId="12" fillId="0" borderId="0" xfId="2" applyFont="1" applyFill="1"/>
    <xf numFmtId="164" fontId="0" fillId="7" borderId="0" xfId="0" applyNumberFormat="1" applyFont="1" applyFill="1"/>
    <xf numFmtId="1" fontId="18" fillId="7" borderId="0" xfId="0" applyNumberFormat="1" applyFont="1" applyFill="1"/>
    <xf numFmtId="43" fontId="18" fillId="0" borderId="0" xfId="0" applyNumberFormat="1" applyFont="1" applyAlignment="1"/>
    <xf numFmtId="16" fontId="0" fillId="0" borderId="0" xfId="0" applyNumberFormat="1"/>
    <xf numFmtId="1" fontId="18" fillId="0" borderId="0" xfId="0" applyNumberFormat="1" applyFont="1" applyFill="1"/>
    <xf numFmtId="43" fontId="18" fillId="11" borderId="0" xfId="2" applyFont="1" applyFill="1"/>
    <xf numFmtId="43" fontId="21" fillId="7" borderId="0" xfId="0" applyNumberFormat="1" applyFont="1" applyFill="1"/>
    <xf numFmtId="43" fontId="46" fillId="0" borderId="0" xfId="7" applyNumberFormat="1" applyFont="1" applyFill="1"/>
    <xf numFmtId="0" fontId="40" fillId="12" borderId="0" xfId="0" applyFont="1" applyFill="1" applyBorder="1" applyAlignment="1">
      <alignment horizontal="center"/>
    </xf>
    <xf numFmtId="9" fontId="40" fillId="12" borderId="0" xfId="11" applyFont="1" applyFill="1" applyBorder="1" applyAlignment="1">
      <alignment horizontal="center"/>
    </xf>
    <xf numFmtId="0" fontId="0" fillId="12" borderId="0" xfId="0" applyFill="1" applyBorder="1"/>
    <xf numFmtId="43" fontId="44" fillId="0" borderId="11" xfId="2" applyFont="1" applyBorder="1" applyAlignment="1">
      <alignment horizontal="center" vertical="center" wrapText="1"/>
    </xf>
    <xf numFmtId="43" fontId="42" fillId="0" borderId="11" xfId="2" applyFont="1" applyBorder="1" applyAlignment="1">
      <alignment horizontal="center" vertical="center" wrapText="1"/>
    </xf>
    <xf numFmtId="43" fontId="42" fillId="0" borderId="12" xfId="2" applyFont="1" applyBorder="1" applyAlignment="1">
      <alignment horizontal="center" vertical="center" wrapText="1"/>
    </xf>
    <xf numFmtId="1" fontId="44" fillId="0" borderId="11" xfId="2" applyNumberFormat="1" applyFont="1" applyBorder="1" applyAlignment="1">
      <alignment horizontal="center" vertical="center" wrapText="1"/>
    </xf>
    <xf numFmtId="1" fontId="42" fillId="0" borderId="11" xfId="2" applyNumberFormat="1" applyFont="1" applyBorder="1" applyAlignment="1">
      <alignment horizontal="center" vertical="center" wrapText="1"/>
    </xf>
    <xf numFmtId="1" fontId="42" fillId="0" borderId="12" xfId="2" applyNumberFormat="1" applyFont="1" applyBorder="1" applyAlignment="1">
      <alignment horizontal="center" vertical="center" wrapText="1"/>
    </xf>
    <xf numFmtId="2" fontId="42" fillId="0" borderId="8" xfId="0" applyNumberFormat="1" applyFont="1" applyBorder="1" applyAlignment="1">
      <alignment horizontal="center" vertical="center"/>
    </xf>
    <xf numFmtId="43" fontId="42" fillId="0" borderId="11" xfId="2" applyFont="1" applyBorder="1" applyAlignment="1">
      <alignment horizontal="center" vertical="center"/>
    </xf>
    <xf numFmtId="0" fontId="49" fillId="0" borderId="0" xfId="0" applyFont="1"/>
    <xf numFmtId="0" fontId="50" fillId="0" borderId="0" xfId="0" applyFont="1"/>
    <xf numFmtId="166" fontId="42" fillId="0" borderId="16" xfId="0" applyNumberFormat="1" applyFont="1" applyBorder="1" applyAlignment="1">
      <alignment horizontal="center" vertical="center"/>
    </xf>
    <xf numFmtId="9" fontId="42" fillId="0" borderId="16" xfId="0" applyNumberFormat="1" applyFont="1" applyBorder="1" applyAlignment="1">
      <alignment horizontal="center" vertical="center"/>
    </xf>
    <xf numFmtId="9" fontId="42" fillId="0" borderId="17" xfId="0" applyNumberFormat="1" applyFont="1" applyBorder="1" applyAlignment="1">
      <alignment horizontal="center" vertical="center"/>
    </xf>
    <xf numFmtId="9" fontId="42" fillId="0" borderId="18" xfId="0" applyNumberFormat="1" applyFont="1" applyBorder="1" applyAlignment="1">
      <alignment horizontal="center" vertical="center"/>
    </xf>
    <xf numFmtId="9" fontId="42" fillId="0" borderId="19" xfId="0" applyNumberFormat="1" applyFont="1" applyBorder="1" applyAlignment="1">
      <alignment horizontal="center" vertical="center"/>
    </xf>
    <xf numFmtId="9" fontId="42" fillId="0" borderId="20" xfId="0" applyNumberFormat="1" applyFont="1" applyBorder="1" applyAlignment="1">
      <alignment horizontal="center" vertical="center"/>
    </xf>
    <xf numFmtId="0" fontId="14" fillId="0" borderId="0" xfId="10" applyFont="1" applyFill="1"/>
    <xf numFmtId="0" fontId="14" fillId="11" borderId="0" xfId="10" applyFont="1" applyFill="1"/>
    <xf numFmtId="0" fontId="14" fillId="0" borderId="0" xfId="10" applyFont="1"/>
    <xf numFmtId="0" fontId="47" fillId="0" borderId="0" xfId="10" applyFont="1"/>
    <xf numFmtId="2" fontId="0" fillId="8" borderId="0" xfId="0" applyNumberFormat="1" applyFill="1"/>
    <xf numFmtId="0" fontId="0" fillId="5" borderId="0" xfId="0" applyFont="1" applyFill="1"/>
    <xf numFmtId="0" fontId="0" fillId="13" borderId="0" xfId="0" applyFill="1"/>
    <xf numFmtId="1" fontId="42" fillId="0" borderId="8" xfId="0" applyNumberFormat="1" applyFont="1" applyBorder="1" applyAlignment="1">
      <alignment horizontal="center" vertical="center"/>
    </xf>
    <xf numFmtId="43" fontId="14" fillId="0" borderId="0" xfId="10" applyNumberFormat="1" applyFill="1"/>
    <xf numFmtId="164" fontId="14" fillId="0" borderId="0" xfId="10" applyNumberFormat="1" applyFill="1"/>
    <xf numFmtId="10" fontId="24" fillId="11" borderId="0" xfId="11" applyNumberFormat="1" applyFont="1" applyFill="1"/>
    <xf numFmtId="9" fontId="14" fillId="11" borderId="0" xfId="10" applyNumberFormat="1" applyFill="1"/>
    <xf numFmtId="43" fontId="0" fillId="10" borderId="0" xfId="0" applyNumberFormat="1" applyFill="1"/>
    <xf numFmtId="10" fontId="24" fillId="0" borderId="0" xfId="11" applyNumberFormat="1" applyFont="1" applyFill="1"/>
    <xf numFmtId="43" fontId="24" fillId="7" borderId="0" xfId="2" applyFont="1" applyFill="1"/>
    <xf numFmtId="164" fontId="0" fillId="9" borderId="0" xfId="0" applyNumberFormat="1" applyFill="1"/>
    <xf numFmtId="164" fontId="18" fillId="11" borderId="0" xfId="0" applyNumberFormat="1" applyFont="1" applyFill="1"/>
    <xf numFmtId="0" fontId="42" fillId="0" borderId="0" xfId="0" applyNumberFormat="1" applyFont="1" applyBorder="1" applyAlignment="1">
      <alignment horizontal="center" vertical="center" wrapText="1"/>
    </xf>
    <xf numFmtId="0" fontId="0" fillId="12" borderId="0" xfId="0" applyNumberFormat="1" applyFill="1"/>
    <xf numFmtId="0" fontId="42" fillId="0" borderId="0" xfId="0" applyNumberFormat="1" applyFont="1" applyBorder="1" applyAlignment="1">
      <alignment horizontal="center" vertical="center"/>
    </xf>
    <xf numFmtId="0" fontId="42" fillId="0" borderId="0" xfId="2" applyNumberFormat="1" applyFont="1" applyBorder="1" applyAlignment="1">
      <alignment horizontal="center" vertical="center"/>
    </xf>
    <xf numFmtId="1" fontId="42" fillId="0" borderId="0" xfId="0" applyNumberFormat="1" applyFont="1" applyBorder="1" applyAlignment="1">
      <alignment horizontal="center" vertical="center"/>
    </xf>
    <xf numFmtId="0" fontId="42" fillId="0" borderId="21" xfId="2" applyNumberFormat="1" applyFont="1" applyFill="1" applyBorder="1" applyAlignment="1">
      <alignment horizontal="center" vertical="center"/>
    </xf>
    <xf numFmtId="0" fontId="42" fillId="0" borderId="10" xfId="0" applyNumberFormat="1" applyFont="1" applyFill="1" applyBorder="1" applyAlignment="1">
      <alignment horizontal="center" vertical="center"/>
    </xf>
    <xf numFmtId="0" fontId="42" fillId="0" borderId="0" xfId="2" applyNumberFormat="1" applyFont="1" applyFill="1" applyBorder="1" applyAlignment="1">
      <alignment horizontal="center" vertical="center"/>
    </xf>
    <xf numFmtId="0" fontId="42" fillId="0" borderId="0" xfId="0" applyNumberFormat="1" applyFont="1" applyFill="1" applyBorder="1" applyAlignment="1">
      <alignment horizontal="center" vertical="center"/>
    </xf>
    <xf numFmtId="9" fontId="18" fillId="0" borderId="0" xfId="11" applyFont="1" applyFill="1"/>
    <xf numFmtId="2" fontId="19" fillId="5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1" fillId="14" borderId="0" xfId="0" applyFont="1" applyFill="1"/>
    <xf numFmtId="0" fontId="19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170" fontId="11" fillId="6" borderId="0" xfId="7" applyNumberFormat="1" applyFont="1" applyFill="1"/>
    <xf numFmtId="2" fontId="21" fillId="0" borderId="0" xfId="0" applyNumberFormat="1" applyFont="1" applyFill="1"/>
    <xf numFmtId="43" fontId="18" fillId="0" borderId="0" xfId="0" applyNumberFormat="1" applyFont="1" applyFill="1"/>
    <xf numFmtId="43" fontId="14" fillId="0" borderId="0" xfId="10" applyNumberFormat="1" applyFont="1"/>
    <xf numFmtId="43" fontId="14" fillId="0" borderId="0" xfId="2" applyFont="1"/>
    <xf numFmtId="0" fontId="14" fillId="0" borderId="0" xfId="10" applyFont="1" applyAlignment="1"/>
    <xf numFmtId="166" fontId="12" fillId="11" borderId="0" xfId="11" applyNumberFormat="1" applyFont="1" applyFill="1"/>
    <xf numFmtId="9" fontId="11" fillId="6" borderId="0" xfId="11" applyFont="1" applyFill="1"/>
    <xf numFmtId="43" fontId="21" fillId="0" borderId="0" xfId="0" applyNumberFormat="1" applyFont="1"/>
    <xf numFmtId="43" fontId="21" fillId="0" borderId="0" xfId="0" applyNumberFormat="1" applyFont="1" applyFill="1"/>
    <xf numFmtId="0" fontId="25" fillId="0" borderId="0" xfId="10" applyFont="1" applyFill="1"/>
    <xf numFmtId="0" fontId="26" fillId="0" borderId="0" xfId="10" applyFont="1" applyFill="1"/>
    <xf numFmtId="43" fontId="22" fillId="7" borderId="0" xfId="0" applyNumberFormat="1" applyFont="1" applyFill="1"/>
    <xf numFmtId="166" fontId="21" fillId="0" borderId="0" xfId="11" applyNumberFormat="1" applyFont="1"/>
    <xf numFmtId="170" fontId="11" fillId="7" borderId="0" xfId="7" applyNumberFormat="1" applyFont="1" applyFill="1"/>
    <xf numFmtId="43" fontId="11" fillId="7" borderId="0" xfId="7" applyNumberFormat="1" applyFont="1" applyFill="1"/>
    <xf numFmtId="166" fontId="42" fillId="0" borderId="11" xfId="0" applyNumberFormat="1" applyFont="1" applyBorder="1" applyAlignment="1">
      <alignment horizontal="center" vertical="center" wrapText="1"/>
    </xf>
    <xf numFmtId="166" fontId="42" fillId="0" borderId="8" xfId="11" applyNumberFormat="1" applyFont="1" applyBorder="1" applyAlignment="1">
      <alignment horizontal="center" vertical="center"/>
    </xf>
    <xf numFmtId="166" fontId="42" fillId="0" borderId="12" xfId="0" applyNumberFormat="1" applyFont="1" applyBorder="1" applyAlignment="1">
      <alignment horizontal="center" vertical="center"/>
    </xf>
    <xf numFmtId="166" fontId="42" fillId="0" borderId="12" xfId="0" applyNumberFormat="1" applyFont="1" applyBorder="1" applyAlignment="1">
      <alignment horizontal="center" vertical="center" wrapText="1"/>
    </xf>
    <xf numFmtId="166" fontId="42" fillId="0" borderId="9" xfId="11" applyNumberFormat="1" applyFont="1" applyBorder="1" applyAlignment="1">
      <alignment horizontal="center" vertical="center"/>
    </xf>
    <xf numFmtId="43" fontId="12" fillId="0" borderId="0" xfId="2" applyFont="1" applyAlignment="1"/>
    <xf numFmtId="43" fontId="44" fillId="0" borderId="11" xfId="2" applyFont="1" applyBorder="1" applyAlignment="1">
      <alignment vertical="center" wrapText="1"/>
    </xf>
    <xf numFmtId="43" fontId="42" fillId="0" borderId="11" xfId="2" applyFont="1" applyBorder="1" applyAlignment="1">
      <alignment vertical="center" wrapText="1"/>
    </xf>
    <xf numFmtId="43" fontId="42" fillId="0" borderId="12" xfId="2" applyFont="1" applyBorder="1" applyAlignment="1">
      <alignment vertical="center" wrapText="1"/>
    </xf>
    <xf numFmtId="9" fontId="42" fillId="0" borderId="11" xfId="0" applyNumberFormat="1" applyFont="1" applyBorder="1" applyAlignment="1">
      <alignment horizontal="center" vertical="center" wrapText="1"/>
    </xf>
    <xf numFmtId="9" fontId="42" fillId="0" borderId="12" xfId="0" applyNumberFormat="1" applyFont="1" applyBorder="1" applyAlignment="1">
      <alignment horizontal="center" vertical="center" wrapText="1"/>
    </xf>
    <xf numFmtId="9" fontId="0" fillId="12" borderId="0" xfId="0" applyNumberFormat="1" applyFill="1"/>
    <xf numFmtId="2" fontId="0" fillId="8" borderId="0" xfId="0" applyNumberFormat="1" applyFill="1" applyAlignment="1">
      <alignment wrapText="1"/>
    </xf>
    <xf numFmtId="16" fontId="14" fillId="0" borderId="0" xfId="10" applyNumberFormat="1" applyFont="1" applyFill="1"/>
    <xf numFmtId="171" fontId="14" fillId="0" borderId="0" xfId="2" applyNumberFormat="1" applyFont="1"/>
    <xf numFmtId="0" fontId="51" fillId="0" borderId="0" xfId="0" applyFont="1" applyFill="1"/>
    <xf numFmtId="0" fontId="27" fillId="0" borderId="0" xfId="0" applyFont="1"/>
    <xf numFmtId="166" fontId="11" fillId="6" borderId="0" xfId="11" applyNumberFormat="1" applyFont="1" applyFill="1"/>
    <xf numFmtId="1" fontId="19" fillId="6" borderId="0" xfId="0" applyNumberFormat="1" applyFont="1" applyFill="1"/>
    <xf numFmtId="2" fontId="0" fillId="7" borderId="0" xfId="0" applyNumberFormat="1" applyFill="1"/>
    <xf numFmtId="9" fontId="0" fillId="0" borderId="0" xfId="0" applyNumberFormat="1"/>
    <xf numFmtId="43" fontId="0" fillId="0" borderId="0" xfId="2" applyFont="1"/>
    <xf numFmtId="43" fontId="0" fillId="0" borderId="0" xfId="2" applyFont="1" applyFill="1"/>
    <xf numFmtId="2" fontId="19" fillId="0" borderId="0" xfId="0" applyNumberFormat="1" applyFont="1"/>
    <xf numFmtId="0" fontId="21" fillId="5" borderId="0" xfId="0" applyFont="1" applyFill="1"/>
    <xf numFmtId="167" fontId="21" fillId="0" borderId="0" xfId="0" applyNumberFormat="1" applyFont="1"/>
    <xf numFmtId="2" fontId="21" fillId="0" borderId="0" xfId="0" applyNumberFormat="1" applyFont="1"/>
    <xf numFmtId="169" fontId="21" fillId="0" borderId="0" xfId="0" applyNumberFormat="1" applyFont="1"/>
    <xf numFmtId="2" fontId="19" fillId="8" borderId="0" xfId="0" applyNumberFormat="1" applyFont="1" applyFill="1"/>
    <xf numFmtId="170" fontId="0" fillId="0" borderId="0" xfId="0" applyNumberFormat="1"/>
    <xf numFmtId="167" fontId="42" fillId="0" borderId="0" xfId="0" applyNumberFormat="1" applyFont="1" applyBorder="1" applyAlignment="1">
      <alignment horizontal="center" vertical="center" wrapText="1"/>
    </xf>
    <xf numFmtId="170" fontId="0" fillId="0" borderId="0" xfId="2" applyNumberFormat="1" applyFont="1" applyFill="1"/>
    <xf numFmtId="170" fontId="18" fillId="9" borderId="0" xfId="2" applyNumberFormat="1" applyFont="1" applyFill="1"/>
    <xf numFmtId="170" fontId="11" fillId="6" borderId="0" xfId="2" applyNumberFormat="1" applyFont="1" applyFill="1"/>
    <xf numFmtId="170" fontId="0" fillId="0" borderId="0" xfId="2" applyNumberFormat="1" applyFont="1"/>
    <xf numFmtId="170" fontId="21" fillId="0" borderId="0" xfId="2" applyNumberFormat="1" applyFont="1"/>
    <xf numFmtId="170" fontId="18" fillId="11" borderId="0" xfId="2" applyNumberFormat="1" applyFont="1" applyFill="1"/>
    <xf numFmtId="170" fontId="19" fillId="0" borderId="0" xfId="2" applyNumberFormat="1" applyFont="1" applyFill="1"/>
    <xf numFmtId="170" fontId="18" fillId="0" borderId="0" xfId="2" applyNumberFormat="1" applyFont="1" applyFill="1"/>
    <xf numFmtId="167" fontId="0" fillId="0" borderId="0" xfId="2" applyNumberFormat="1" applyFont="1"/>
    <xf numFmtId="0" fontId="22" fillId="12" borderId="0" xfId="0" applyFont="1" applyFill="1"/>
    <xf numFmtId="0" fontId="18" fillId="12" borderId="0" xfId="0" applyFont="1" applyFill="1"/>
    <xf numFmtId="167" fontId="18" fillId="12" borderId="0" xfId="0" applyNumberFormat="1" applyFont="1" applyFill="1"/>
    <xf numFmtId="167" fontId="18" fillId="12" borderId="0" xfId="2" applyNumberFormat="1" applyFont="1" applyFill="1"/>
    <xf numFmtId="43" fontId="18" fillId="12" borderId="0" xfId="0" applyNumberFormat="1" applyFont="1" applyFill="1"/>
    <xf numFmtId="0" fontId="21" fillId="12" borderId="0" xfId="0" applyFont="1" applyFill="1"/>
    <xf numFmtId="2" fontId="21" fillId="12" borderId="0" xfId="0" applyNumberFormat="1" applyFont="1" applyFill="1"/>
    <xf numFmtId="170" fontId="11" fillId="12" borderId="0" xfId="2" applyNumberFormat="1" applyFont="1" applyFill="1"/>
    <xf numFmtId="43" fontId="0" fillId="12" borderId="0" xfId="0" applyNumberFormat="1" applyFill="1"/>
    <xf numFmtId="0" fontId="0" fillId="15" borderId="0" xfId="0" applyFill="1"/>
    <xf numFmtId="0" fontId="32" fillId="0" borderId="0" xfId="0" applyFont="1"/>
    <xf numFmtId="0" fontId="0" fillId="0" borderId="0" xfId="0" applyAlignment="1">
      <alignment horizontal="center"/>
    </xf>
  </cellXfs>
  <cellStyles count="205">
    <cellStyle name="Bad 2" xfId="1"/>
    <cellStyle name="Comma" xfId="2" builtinId="3"/>
    <cellStyle name="Comma 2" xfId="3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Good 2" xfId="4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eutral 2" xfId="5"/>
    <cellStyle name="Normal" xfId="0" builtinId="0"/>
    <cellStyle name="Normal 2" xfId="6"/>
    <cellStyle name="Normal 2 2" xfId="7"/>
    <cellStyle name="Normal 3" xfId="8"/>
    <cellStyle name="Normal 4" xfId="9"/>
    <cellStyle name="Normal 5" xfId="10"/>
    <cellStyle name="Percent" xfId="11" builtinId="5"/>
    <cellStyle name="Percent 2" xfId="1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590152"/>
        <c:axId val="-2102110488"/>
      </c:barChart>
      <c:catAx>
        <c:axId val="-206759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02110488"/>
        <c:crosses val="autoZero"/>
        <c:auto val="1"/>
        <c:lblAlgn val="ctr"/>
        <c:lblOffset val="100"/>
        <c:noMultiLvlLbl val="0"/>
      </c:catAx>
      <c:valAx>
        <c:axId val="-21021104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675901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658200"/>
        <c:axId val="-2067587064"/>
      </c:barChart>
      <c:catAx>
        <c:axId val="-2067658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7587064"/>
        <c:crosses val="autoZero"/>
        <c:auto val="1"/>
        <c:lblAlgn val="ctr"/>
        <c:lblOffset val="100"/>
        <c:noMultiLvlLbl val="0"/>
      </c:catAx>
      <c:valAx>
        <c:axId val="-2067587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67658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6"/>
        <c:axId val="-2100212792"/>
        <c:axId val="-2100081656"/>
      </c:barChart>
      <c:catAx>
        <c:axId val="-210021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100081656"/>
        <c:crosses val="autoZero"/>
        <c:auto val="1"/>
        <c:lblAlgn val="ctr"/>
        <c:lblOffset val="100"/>
        <c:noMultiLvlLbl val="1"/>
      </c:catAx>
      <c:valAx>
        <c:axId val="-2100081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021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4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4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584200</xdr:colOff>
      <xdr:row>53</xdr:row>
      <xdr:rowOff>177800</xdr:rowOff>
    </xdr:from>
    <xdr:to>
      <xdr:col>15</xdr:col>
      <xdr:colOff>444500</xdr:colOff>
      <xdr:row>80</xdr:row>
      <xdr:rowOff>63500</xdr:rowOff>
    </xdr:to>
    <xdr:graphicFrame macro="">
      <xdr:nvGraphicFramePr>
        <xdr:cNvPr id="4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"/>
  <sheetViews>
    <sheetView topLeftCell="A23" workbookViewId="0">
      <selection activeCell="A93" sqref="A93:G99"/>
    </sheetView>
  </sheetViews>
  <sheetFormatPr baseColWidth="10" defaultColWidth="11" defaultRowHeight="15" x14ac:dyDescent="0"/>
  <cols>
    <col min="1" max="1" width="38.6640625" customWidth="1"/>
    <col min="2" max="2" width="13.83203125" hidden="1" customWidth="1"/>
    <col min="3" max="3" width="14.5" customWidth="1"/>
    <col min="4" max="4" width="13.1640625" customWidth="1"/>
    <col min="5" max="5" width="23" customWidth="1"/>
    <col min="6" max="6" width="16.1640625" hidden="1" customWidth="1"/>
    <col min="7" max="7" width="11.33203125" customWidth="1"/>
    <col min="8" max="10" width="11" hidden="1" customWidth="1"/>
    <col min="11" max="11" width="9.1640625" customWidth="1"/>
    <col min="12" max="15" width="11" customWidth="1"/>
  </cols>
  <sheetData>
    <row r="1" spans="1:20" s="43" customFormat="1" ht="13" customHeight="1">
      <c r="A1" s="40" t="s">
        <v>635</v>
      </c>
      <c r="B1" s="40" t="s">
        <v>14</v>
      </c>
      <c r="C1" s="40" t="s">
        <v>112</v>
      </c>
      <c r="D1" s="195" t="s">
        <v>619</v>
      </c>
      <c r="E1" s="40" t="s">
        <v>2</v>
      </c>
      <c r="F1" s="40" t="s">
        <v>5</v>
      </c>
    </row>
    <row r="2" spans="1:20">
      <c r="A2" t="s">
        <v>638</v>
      </c>
      <c r="B2" t="s">
        <v>641</v>
      </c>
      <c r="C2" s="192">
        <f>J67</f>
        <v>0.44445499769952745</v>
      </c>
      <c r="F2" t="s">
        <v>660</v>
      </c>
    </row>
    <row r="3" spans="1:20">
      <c r="A3" t="s">
        <v>640</v>
      </c>
      <c r="B3" t="s">
        <v>641</v>
      </c>
      <c r="C3" s="192">
        <f>J66</f>
        <v>0.53090857076072773</v>
      </c>
      <c r="F3" t="s">
        <v>660</v>
      </c>
    </row>
    <row r="4" spans="1:20">
      <c r="A4" t="s">
        <v>639</v>
      </c>
      <c r="B4" t="s">
        <v>641</v>
      </c>
      <c r="C4" s="192">
        <f>J68</f>
        <v>0.77143668844394409</v>
      </c>
      <c r="F4" t="s">
        <v>660</v>
      </c>
    </row>
    <row r="5" spans="1:20">
      <c r="A5" s="1" t="s">
        <v>37</v>
      </c>
      <c r="B5" s="1" t="s">
        <v>114</v>
      </c>
      <c r="C5" s="193">
        <v>265</v>
      </c>
      <c r="D5" s="1"/>
      <c r="E5" s="1" t="s">
        <v>737</v>
      </c>
      <c r="H5" s="29"/>
      <c r="I5" s="29"/>
      <c r="J5" s="29"/>
      <c r="K5" s="26"/>
      <c r="L5" s="26"/>
      <c r="M5" s="26"/>
    </row>
    <row r="6" spans="1:20" ht="17" customHeight="1">
      <c r="A6" s="1" t="s">
        <v>25</v>
      </c>
      <c r="B6" s="1" t="s">
        <v>27</v>
      </c>
      <c r="C6" s="193">
        <v>28</v>
      </c>
      <c r="D6" s="1"/>
      <c r="E6" s="22" t="s">
        <v>737</v>
      </c>
      <c r="H6" s="28"/>
      <c r="I6" s="28"/>
      <c r="J6" s="28"/>
      <c r="K6" s="27"/>
      <c r="L6" s="26"/>
      <c r="M6" s="26"/>
    </row>
    <row r="7" spans="1:20">
      <c r="A7" t="s">
        <v>985</v>
      </c>
      <c r="B7" t="s">
        <v>621</v>
      </c>
      <c r="C7" s="190">
        <v>0.45</v>
      </c>
      <c r="D7" t="s">
        <v>535</v>
      </c>
      <c r="E7" t="s">
        <v>622</v>
      </c>
    </row>
    <row r="8" spans="1:20" s="46" customFormat="1">
      <c r="A8" s="115" t="s">
        <v>626</v>
      </c>
      <c r="B8" s="104" t="s">
        <v>624</v>
      </c>
      <c r="C8" s="194" t="s">
        <v>451</v>
      </c>
      <c r="F8" s="119">
        <f>34003/1000000</f>
        <v>3.4002999999999999E-2</v>
      </c>
      <c r="G8" s="104" t="s">
        <v>453</v>
      </c>
      <c r="H8" s="104"/>
      <c r="I8" s="104"/>
      <c r="J8" s="104"/>
    </row>
    <row r="9" spans="1:20" s="46" customFormat="1">
      <c r="A9" s="115" t="s">
        <v>749</v>
      </c>
      <c r="B9" s="104"/>
      <c r="C9" s="194"/>
      <c r="F9" s="119"/>
      <c r="G9" s="104"/>
      <c r="H9" s="104"/>
      <c r="I9" s="104"/>
      <c r="J9" s="104"/>
    </row>
    <row r="10" spans="1:20" s="104" customFormat="1" ht="14">
      <c r="A10" s="104" t="s">
        <v>445</v>
      </c>
      <c r="B10" s="110" t="s">
        <v>625</v>
      </c>
      <c r="C10" s="194"/>
      <c r="D10" s="120">
        <f>F10/1000*F8</f>
        <v>2.6982740619999999</v>
      </c>
      <c r="F10" s="116">
        <v>79354</v>
      </c>
      <c r="G10" s="110" t="s">
        <v>573</v>
      </c>
      <c r="H10" s="110"/>
      <c r="I10" s="110"/>
      <c r="J10" s="110"/>
      <c r="K10" s="104" t="s">
        <v>574</v>
      </c>
    </row>
    <row r="11" spans="1:20" s="104" customFormat="1" ht="14">
      <c r="A11" s="104" t="s">
        <v>447</v>
      </c>
      <c r="B11" s="110" t="s">
        <v>625</v>
      </c>
      <c r="C11" s="194"/>
      <c r="D11" s="120">
        <f>F11/1000*F8*Parameters!C5</f>
        <v>1.8021590000000001E-2</v>
      </c>
      <c r="F11" s="116">
        <v>2</v>
      </c>
      <c r="G11" s="110" t="s">
        <v>452</v>
      </c>
      <c r="H11" s="110"/>
      <c r="I11" s="110"/>
      <c r="J11" s="110"/>
      <c r="K11" s="104" t="s">
        <v>444</v>
      </c>
    </row>
    <row r="12" spans="1:20" s="26" customFormat="1" ht="14">
      <c r="A12" s="110" t="s">
        <v>446</v>
      </c>
      <c r="B12" s="110" t="s">
        <v>625</v>
      </c>
      <c r="C12" s="191"/>
      <c r="D12" s="121">
        <f>F12*Parameters!C6/1000*F8</f>
        <v>4.1986904399999997E-3</v>
      </c>
      <c r="F12" s="26">
        <v>4.41</v>
      </c>
      <c r="G12" s="110" t="s">
        <v>452</v>
      </c>
      <c r="H12" s="110"/>
      <c r="I12" s="110"/>
      <c r="J12" s="110"/>
      <c r="K12" s="104" t="s">
        <v>444</v>
      </c>
      <c r="N12" s="110"/>
      <c r="T12" s="118"/>
    </row>
    <row r="13" spans="1:20">
      <c r="A13" s="1" t="s">
        <v>620</v>
      </c>
      <c r="B13" t="s">
        <v>621</v>
      </c>
      <c r="C13" s="259">
        <f>SUM(D10:D12)</f>
        <v>2.7204943424399999</v>
      </c>
      <c r="E13" t="s">
        <v>623</v>
      </c>
      <c r="N13" s="1"/>
      <c r="O13" s="1"/>
      <c r="P13" s="1"/>
      <c r="Q13" s="1"/>
      <c r="R13" s="1"/>
    </row>
    <row r="14" spans="1:20" ht="30">
      <c r="A14" s="1" t="s">
        <v>986</v>
      </c>
      <c r="B14" s="1" t="s">
        <v>121</v>
      </c>
      <c r="C14" s="319">
        <f>GlobalFactors.csv!F8</f>
        <v>692.15220789071998</v>
      </c>
      <c r="E14" t="s">
        <v>136</v>
      </c>
      <c r="F14" s="26" t="s">
        <v>137</v>
      </c>
    </row>
    <row r="15" spans="1:20">
      <c r="A15" s="42" t="s">
        <v>747</v>
      </c>
      <c r="B15" s="1"/>
      <c r="C15" s="193"/>
      <c r="F15" s="26"/>
    </row>
    <row r="16" spans="1:20">
      <c r="A16" s="1" t="s">
        <v>582</v>
      </c>
      <c r="B16" s="1" t="s">
        <v>113</v>
      </c>
      <c r="C16" s="10">
        <f>44/28</f>
        <v>1.5714285714285714</v>
      </c>
      <c r="D16" s="1"/>
      <c r="E16" s="1"/>
      <c r="H16" s="26"/>
      <c r="I16" s="26"/>
      <c r="J16" s="26"/>
      <c r="K16" s="26"/>
      <c r="L16" s="26"/>
      <c r="M16" s="26"/>
    </row>
    <row r="17" spans="1:19">
      <c r="A17" s="1" t="s">
        <v>680</v>
      </c>
      <c r="B17" s="1" t="s">
        <v>113</v>
      </c>
      <c r="C17" s="10">
        <f>44/12</f>
        <v>3.6666666666666665</v>
      </c>
      <c r="D17" s="1"/>
      <c r="E17" s="1"/>
      <c r="H17" s="26"/>
      <c r="I17" s="26"/>
      <c r="J17" s="26"/>
      <c r="K17" s="26"/>
      <c r="L17" s="26"/>
      <c r="M17" s="26"/>
    </row>
    <row r="18" spans="1:19">
      <c r="A18" s="1" t="s">
        <v>696</v>
      </c>
      <c r="B18" s="1" t="s">
        <v>113</v>
      </c>
      <c r="C18" s="10">
        <f>16/12</f>
        <v>1.3333333333333333</v>
      </c>
      <c r="D18" s="1"/>
      <c r="E18" s="1"/>
      <c r="H18" s="26"/>
      <c r="I18" s="26"/>
      <c r="J18" s="26"/>
      <c r="K18" s="26"/>
      <c r="L18" s="26"/>
      <c r="M18" s="26"/>
    </row>
    <row r="19" spans="1:19">
      <c r="A19" s="1" t="s">
        <v>415</v>
      </c>
      <c r="B19" s="1" t="s">
        <v>26</v>
      </c>
      <c r="C19" s="193">
        <v>0.67</v>
      </c>
      <c r="D19" s="1"/>
      <c r="E19" s="22"/>
      <c r="H19" s="26"/>
      <c r="I19" s="26"/>
      <c r="J19" s="26"/>
      <c r="K19" s="26"/>
      <c r="L19" s="26"/>
      <c r="M19" s="26"/>
    </row>
    <row r="20" spans="1:19" s="44" customFormat="1">
      <c r="A20" s="26" t="s">
        <v>129</v>
      </c>
      <c r="B20" s="45" t="s">
        <v>130</v>
      </c>
      <c r="C20" s="191">
        <v>35315</v>
      </c>
      <c r="E20" s="26"/>
      <c r="F20"/>
    </row>
    <row r="21" spans="1:19">
      <c r="A21" s="1" t="s">
        <v>970</v>
      </c>
      <c r="B21" s="15" t="s">
        <v>911</v>
      </c>
      <c r="C21" s="15">
        <v>1.7989999999999999</v>
      </c>
      <c r="R21" s="68"/>
    </row>
    <row r="22" spans="1:19">
      <c r="A22" s="1"/>
      <c r="R22" s="68"/>
    </row>
    <row r="23" spans="1:19">
      <c r="A23" s="1"/>
      <c r="R23" s="68" t="s">
        <v>736</v>
      </c>
      <c r="S23" t="s">
        <v>646</v>
      </c>
    </row>
    <row r="24" spans="1:19" s="43" customFormat="1">
      <c r="A24" s="44" t="s">
        <v>636</v>
      </c>
    </row>
    <row r="25" spans="1:19" ht="37" thickBot="1">
      <c r="A25" s="157" t="s">
        <v>637</v>
      </c>
      <c r="B25" s="157" t="s">
        <v>1115</v>
      </c>
      <c r="C25" s="157" t="s">
        <v>1116</v>
      </c>
      <c r="D25" s="157" t="s">
        <v>1117</v>
      </c>
      <c r="E25" s="157" t="s">
        <v>1118</v>
      </c>
      <c r="F25" s="157" t="s">
        <v>47</v>
      </c>
      <c r="G25" s="157" t="s">
        <v>1112</v>
      </c>
      <c r="H25" s="157" t="s">
        <v>464</v>
      </c>
      <c r="I25" s="157" t="s">
        <v>457</v>
      </c>
      <c r="J25" s="157" t="s">
        <v>614</v>
      </c>
      <c r="K25" s="157" t="s">
        <v>513</v>
      </c>
      <c r="L25" s="157" t="s">
        <v>514</v>
      </c>
      <c r="M25" s="157" t="s">
        <v>515</v>
      </c>
      <c r="N25" s="160" t="s">
        <v>516</v>
      </c>
      <c r="O25" s="157" t="s">
        <v>517</v>
      </c>
      <c r="P25" s="163" t="s">
        <v>1113</v>
      </c>
      <c r="Q25" s="163" t="s">
        <v>1114</v>
      </c>
      <c r="R25" s="166" t="s">
        <v>735</v>
      </c>
    </row>
    <row r="26" spans="1:19" ht="17" hidden="1" thickTop="1" thickBot="1">
      <c r="A26" s="147" t="s">
        <v>702</v>
      </c>
      <c r="B26" s="150"/>
      <c r="C26" s="153"/>
      <c r="D26" s="147"/>
      <c r="E26" s="313"/>
      <c r="F26" s="153"/>
      <c r="G26" s="147"/>
      <c r="H26" s="150"/>
      <c r="I26" s="153"/>
      <c r="J26" s="147"/>
      <c r="K26" s="150"/>
      <c r="L26" s="316"/>
      <c r="M26" s="147"/>
      <c r="N26" s="150"/>
      <c r="O26" s="153"/>
      <c r="P26" s="272"/>
      <c r="Q26" s="272"/>
    </row>
    <row r="27" spans="1:19" ht="17" thickTop="1" thickBot="1">
      <c r="A27" s="147" t="s">
        <v>977</v>
      </c>
      <c r="B27" s="185">
        <v>0.3</v>
      </c>
      <c r="C27" s="307">
        <v>0.9</v>
      </c>
      <c r="D27" s="308">
        <f>C27*B27</f>
        <v>0.27</v>
      </c>
      <c r="E27" s="314">
        <f>F27/D27</f>
        <v>334.11111111111109</v>
      </c>
      <c r="F27" s="240">
        <f>H27*B27</f>
        <v>90.21</v>
      </c>
      <c r="G27" s="262">
        <v>8900</v>
      </c>
      <c r="H27" s="246">
        <v>300.7</v>
      </c>
      <c r="I27" s="240">
        <v>0.14399999999999999</v>
      </c>
      <c r="J27" s="245">
        <f>(Parameters!C3*Parameters!M27+Parameters!L27*Parameters!C4+Parameters!N27*Parameters!C2)*1000*B27</f>
        <v>145.73955722402675</v>
      </c>
      <c r="K27" s="150"/>
      <c r="L27" s="316">
        <v>0.1</v>
      </c>
      <c r="M27" s="185">
        <v>0.1</v>
      </c>
      <c r="N27" s="158">
        <v>0.8</v>
      </c>
      <c r="O27" s="307">
        <v>0.84099999999999997</v>
      </c>
      <c r="P27" s="337">
        <v>3300</v>
      </c>
      <c r="Q27" s="272">
        <v>1900</v>
      </c>
      <c r="R27" t="s">
        <v>1119</v>
      </c>
    </row>
    <row r="28" spans="1:19" ht="16" hidden="1" thickBot="1">
      <c r="A28" s="147" t="s">
        <v>619</v>
      </c>
      <c r="B28" s="185" t="s">
        <v>646</v>
      </c>
      <c r="C28" s="307"/>
      <c r="D28" s="308" t="s">
        <v>647</v>
      </c>
      <c r="E28" s="314"/>
      <c r="F28" s="240"/>
      <c r="G28" s="147" t="s">
        <v>524</v>
      </c>
      <c r="H28" s="150" t="s">
        <v>646</v>
      </c>
      <c r="I28" s="153"/>
      <c r="J28" s="147" t="s">
        <v>18</v>
      </c>
      <c r="K28" s="150"/>
      <c r="L28" s="316"/>
      <c r="M28" s="158"/>
      <c r="N28" s="158"/>
      <c r="O28" s="153" t="s">
        <v>775</v>
      </c>
      <c r="P28" s="272"/>
      <c r="Q28" s="272"/>
    </row>
    <row r="29" spans="1:19" ht="16" hidden="1" thickBot="1">
      <c r="A29" s="147" t="s">
        <v>2</v>
      </c>
      <c r="B29" s="185"/>
      <c r="C29" s="307"/>
      <c r="D29" s="308"/>
      <c r="E29" s="314"/>
      <c r="F29" s="240"/>
      <c r="G29" s="147"/>
      <c r="H29" s="150"/>
      <c r="I29" s="153"/>
      <c r="J29" s="147" t="s">
        <v>648</v>
      </c>
      <c r="K29" s="150"/>
      <c r="L29" s="316" t="s">
        <v>643</v>
      </c>
      <c r="M29" s="158" t="s">
        <v>643</v>
      </c>
      <c r="N29" s="158" t="s">
        <v>643</v>
      </c>
      <c r="O29" s="153" t="s">
        <v>643</v>
      </c>
      <c r="P29" s="272"/>
      <c r="Q29" s="272"/>
    </row>
    <row r="30" spans="1:19" ht="16" hidden="1" thickBot="1">
      <c r="A30" s="147"/>
      <c r="B30" s="185"/>
      <c r="C30" s="307"/>
      <c r="D30" s="308"/>
      <c r="E30" s="314"/>
      <c r="F30" s="240"/>
      <c r="G30" s="147"/>
      <c r="H30" s="150"/>
      <c r="I30" s="153"/>
      <c r="J30" s="147" t="s">
        <v>524</v>
      </c>
      <c r="K30" s="150"/>
      <c r="L30" s="316"/>
      <c r="M30" s="185"/>
      <c r="N30" s="158"/>
      <c r="O30" s="153"/>
      <c r="P30" s="272"/>
      <c r="Q30" s="272"/>
    </row>
    <row r="31" spans="1:19" ht="16" hidden="1" thickBot="1">
      <c r="A31" s="147"/>
      <c r="B31" s="185"/>
      <c r="C31" s="307"/>
      <c r="D31" s="308"/>
      <c r="E31" s="314"/>
      <c r="F31" s="240"/>
      <c r="G31" s="147"/>
      <c r="H31" s="150"/>
      <c r="I31" s="153"/>
      <c r="J31" s="147">
        <f>E27*D27</f>
        <v>90.21</v>
      </c>
      <c r="K31" s="150"/>
      <c r="L31" s="316"/>
      <c r="M31" s="158"/>
      <c r="N31" s="158"/>
      <c r="O31" s="153"/>
      <c r="P31" s="272"/>
      <c r="Q31" s="272"/>
    </row>
    <row r="32" spans="1:19" ht="16" hidden="1" thickBot="1">
      <c r="A32" s="147"/>
      <c r="B32" s="185"/>
      <c r="C32" s="307"/>
      <c r="D32" s="308"/>
      <c r="E32" s="314"/>
      <c r="F32" s="240"/>
      <c r="G32" s="147"/>
      <c r="H32" s="150"/>
      <c r="I32" s="153"/>
      <c r="J32" s="147" t="s">
        <v>646</v>
      </c>
      <c r="K32" s="150"/>
      <c r="L32" s="316"/>
      <c r="M32" s="158"/>
      <c r="N32" s="158"/>
      <c r="O32" s="153"/>
      <c r="P32" s="272"/>
      <c r="Q32" s="272"/>
    </row>
    <row r="33" spans="1:22" ht="16" hidden="1" thickBot="1">
      <c r="A33" s="147" t="s">
        <v>704</v>
      </c>
      <c r="B33" s="185"/>
      <c r="C33" s="307"/>
      <c r="D33" s="308"/>
      <c r="E33" s="314"/>
      <c r="F33" s="240"/>
      <c r="G33" s="147"/>
      <c r="H33" s="150"/>
      <c r="I33" s="153"/>
      <c r="J33" s="147"/>
      <c r="K33" s="150"/>
      <c r="L33" s="316"/>
      <c r="M33" s="185"/>
      <c r="N33" s="158"/>
      <c r="O33" s="153"/>
      <c r="P33" s="272"/>
      <c r="Q33" s="272"/>
    </row>
    <row r="34" spans="1:22" ht="16" thickBot="1">
      <c r="A34" s="147" t="s">
        <v>11</v>
      </c>
      <c r="B34" s="185">
        <v>0.18</v>
      </c>
      <c r="C34" s="307">
        <f>D34/B34</f>
        <v>0.94444444444444453</v>
      </c>
      <c r="D34" s="308">
        <v>0.17</v>
      </c>
      <c r="E34" s="314">
        <v>887</v>
      </c>
      <c r="F34" s="240">
        <v>150.79</v>
      </c>
      <c r="G34" s="147">
        <f>0.0056*1000000</f>
        <v>5600</v>
      </c>
      <c r="H34" s="150"/>
      <c r="I34" s="153"/>
      <c r="J34" s="147"/>
      <c r="K34" s="150"/>
      <c r="L34" s="316"/>
      <c r="M34" s="158"/>
      <c r="N34" s="158"/>
      <c r="O34" s="153"/>
      <c r="P34" s="272"/>
      <c r="Q34" s="272"/>
      <c r="R34" s="99" t="s">
        <v>150</v>
      </c>
    </row>
    <row r="35" spans="1:22" ht="16" thickBot="1">
      <c r="A35" s="148" t="s">
        <v>48</v>
      </c>
      <c r="B35" s="309">
        <f>(1-0.927)</f>
        <v>7.2999999999999954E-2</v>
      </c>
      <c r="C35" s="310">
        <f>D35/B35</f>
        <v>0.68493150684931559</v>
      </c>
      <c r="D35" s="311">
        <v>0.05</v>
      </c>
      <c r="E35" s="315">
        <v>300</v>
      </c>
      <c r="F35" s="241">
        <v>15</v>
      </c>
      <c r="G35" s="148">
        <v>580</v>
      </c>
      <c r="H35" s="151"/>
      <c r="I35" s="154"/>
      <c r="J35" s="148"/>
      <c r="K35" s="151"/>
      <c r="L35" s="317">
        <f>0.009/0.073</f>
        <v>0.12328767123287671</v>
      </c>
      <c r="M35" s="158">
        <f>0.009/0.073</f>
        <v>0.12328767123287671</v>
      </c>
      <c r="N35" s="159">
        <f>0.049/0.073</f>
        <v>0.67123287671232879</v>
      </c>
      <c r="O35" s="154"/>
      <c r="P35" s="272"/>
      <c r="Q35" s="272"/>
      <c r="R35" s="23" t="s">
        <v>49</v>
      </c>
      <c r="V35" t="s">
        <v>705</v>
      </c>
    </row>
    <row r="36" spans="1:22" ht="17" thickTop="1" thickBot="1">
      <c r="A36" s="147" t="s">
        <v>707</v>
      </c>
      <c r="B36" s="185"/>
      <c r="C36" s="307"/>
      <c r="D36" s="308"/>
      <c r="E36" s="313"/>
      <c r="F36" s="240"/>
      <c r="G36" s="147"/>
      <c r="H36" s="150"/>
      <c r="I36" s="153"/>
      <c r="J36" s="147"/>
      <c r="K36" s="150"/>
      <c r="L36" s="316"/>
      <c r="M36" s="185"/>
      <c r="N36" s="158"/>
      <c r="O36" s="153"/>
      <c r="P36" s="272"/>
      <c r="Q36" s="272"/>
      <c r="R36" s="23"/>
    </row>
    <row r="37" spans="1:22" ht="16" thickBot="1">
      <c r="A37" s="147" t="s">
        <v>708</v>
      </c>
      <c r="B37" s="185"/>
      <c r="C37" s="307"/>
      <c r="D37" s="308"/>
      <c r="E37" s="314"/>
      <c r="F37" s="240"/>
      <c r="G37" s="147"/>
      <c r="H37" s="150"/>
      <c r="I37" s="153"/>
      <c r="J37" s="147"/>
      <c r="K37" s="150"/>
      <c r="L37" s="316"/>
      <c r="M37" s="158"/>
      <c r="N37" s="158"/>
      <c r="O37" s="153"/>
      <c r="P37" s="272"/>
      <c r="Q37" s="272"/>
      <c r="R37" s="23"/>
    </row>
    <row r="38" spans="1:22" ht="16" thickBot="1">
      <c r="A38" s="147" t="s">
        <v>99</v>
      </c>
      <c r="B38" s="185">
        <f>(1-7%)</f>
        <v>0.92999999999999994</v>
      </c>
      <c r="C38" s="307">
        <v>0.8</v>
      </c>
      <c r="D38" s="308">
        <f>B38*C38</f>
        <v>0.74399999999999999</v>
      </c>
      <c r="E38" s="314"/>
      <c r="F38" s="153"/>
      <c r="G38" s="147">
        <v>1100</v>
      </c>
      <c r="H38" s="150"/>
      <c r="I38" s="153"/>
      <c r="J38" s="147"/>
      <c r="K38" s="150"/>
      <c r="L38" s="316">
        <f>0.029/D38</f>
        <v>3.8978494623655914E-2</v>
      </c>
      <c r="M38" s="158">
        <f>0.05/D38</f>
        <v>6.7204301075268827E-2</v>
      </c>
      <c r="N38" s="158">
        <f>0.56/D38</f>
        <v>0.75268817204301086</v>
      </c>
      <c r="O38" s="153"/>
      <c r="P38" s="272"/>
      <c r="Q38" s="272"/>
      <c r="R38" t="s">
        <v>413</v>
      </c>
      <c r="S38" t="s">
        <v>706</v>
      </c>
    </row>
    <row r="39" spans="1:22" ht="16" thickBot="1">
      <c r="A39" s="147" t="s">
        <v>978</v>
      </c>
      <c r="B39" s="185">
        <v>0.23899999999999999</v>
      </c>
      <c r="C39" s="307">
        <v>0.90700000000000003</v>
      </c>
      <c r="D39" s="308">
        <f>B39*C39</f>
        <v>0.21677299999999999</v>
      </c>
      <c r="E39" s="314">
        <v>445.6</v>
      </c>
      <c r="F39" s="240"/>
      <c r="G39" s="147">
        <v>730</v>
      </c>
      <c r="H39" s="150"/>
      <c r="I39" s="153"/>
      <c r="J39" s="147"/>
      <c r="K39" s="158">
        <v>4.1000000000000002E-2</v>
      </c>
      <c r="L39" s="316">
        <v>0.109</v>
      </c>
      <c r="M39" s="158">
        <v>0.23</v>
      </c>
      <c r="N39" s="158">
        <v>0.62</v>
      </c>
      <c r="O39" s="307">
        <f>E39/((L39*D59+D58*M39+D60*N39))</f>
        <v>0.92466165600760319</v>
      </c>
      <c r="P39" s="272"/>
      <c r="Q39" s="272"/>
    </row>
    <row r="40" spans="1:22" ht="16" hidden="1" thickBot="1">
      <c r="A40" s="236" t="s">
        <v>703</v>
      </c>
      <c r="B40" s="237"/>
      <c r="C40" s="237"/>
      <c r="D40" s="237"/>
      <c r="E40" s="312"/>
      <c r="H40" s="238"/>
      <c r="I40" s="238"/>
      <c r="J40" s="238"/>
      <c r="K40" s="58"/>
      <c r="L40" s="318"/>
      <c r="M40" s="58"/>
      <c r="N40" s="58"/>
      <c r="O40" s="58"/>
      <c r="P40" s="273"/>
      <c r="Q40" s="273"/>
      <c r="R40" s="23"/>
    </row>
    <row r="41" spans="1:22" ht="16" thickBot="1">
      <c r="A41" s="147" t="s">
        <v>499</v>
      </c>
      <c r="B41" s="150">
        <v>0.91600000000000004</v>
      </c>
      <c r="C41" s="153">
        <v>0.97899999999999998</v>
      </c>
      <c r="D41" s="156">
        <v>0.88900000000000001</v>
      </c>
      <c r="E41" s="313">
        <v>465.3046875</v>
      </c>
      <c r="F41" s="239"/>
      <c r="G41" s="242">
        <v>14656.000000000002</v>
      </c>
      <c r="K41" s="158">
        <v>0.03</v>
      </c>
      <c r="L41" s="158">
        <v>0.11</v>
      </c>
      <c r="M41" s="185">
        <v>0.1</v>
      </c>
      <c r="N41" s="249">
        <v>0.76</v>
      </c>
      <c r="O41" s="252">
        <v>0.94</v>
      </c>
      <c r="P41" s="274">
        <v>1400</v>
      </c>
      <c r="Q41" s="274">
        <v>1200</v>
      </c>
      <c r="R41" t="s">
        <v>863</v>
      </c>
    </row>
    <row r="42" spans="1:22" ht="16" thickBot="1">
      <c r="A42" s="147" t="s">
        <v>500</v>
      </c>
      <c r="B42" s="150">
        <v>0.105</v>
      </c>
      <c r="C42" s="153">
        <v>0.90700000000000003</v>
      </c>
      <c r="D42" s="153">
        <v>0.14299999999999999</v>
      </c>
      <c r="E42" s="314">
        <v>435.97247406272294</v>
      </c>
      <c r="F42" s="240"/>
      <c r="G42" s="243">
        <v>2520</v>
      </c>
      <c r="K42" s="158">
        <v>0.09</v>
      </c>
      <c r="L42" s="158">
        <v>0.02</v>
      </c>
      <c r="M42" s="158">
        <v>0.15</v>
      </c>
      <c r="N42" s="250">
        <v>0.74</v>
      </c>
      <c r="O42" s="253">
        <v>0.98179823692937196</v>
      </c>
      <c r="P42" s="274">
        <v>1380</v>
      </c>
      <c r="Q42" s="274">
        <v>370</v>
      </c>
      <c r="R42" t="s">
        <v>864</v>
      </c>
    </row>
    <row r="43" spans="1:22" ht="16" thickBot="1">
      <c r="A43" s="147" t="s">
        <v>979</v>
      </c>
      <c r="B43" s="150">
        <v>0.29299999999999998</v>
      </c>
      <c r="C43" s="153">
        <v>0.99299999999999999</v>
      </c>
      <c r="D43" s="153">
        <v>0.30299999999999999</v>
      </c>
      <c r="E43" s="314">
        <v>365.25479597205384</v>
      </c>
      <c r="F43" s="240"/>
      <c r="G43" s="243">
        <v>7969.6</v>
      </c>
      <c r="K43" s="158">
        <v>0.01</v>
      </c>
      <c r="L43" s="158">
        <v>0.04</v>
      </c>
      <c r="M43" s="158">
        <v>0.17</v>
      </c>
      <c r="N43" s="250">
        <v>0.79</v>
      </c>
      <c r="O43" s="253">
        <v>0.79927679923149053</v>
      </c>
      <c r="P43" s="276">
        <f>G43*0.36/2</f>
        <v>1434.528</v>
      </c>
      <c r="Q43" s="276">
        <f>G43*0.67/2</f>
        <v>2669.8160000000003</v>
      </c>
      <c r="R43" t="s">
        <v>865</v>
      </c>
    </row>
    <row r="44" spans="1:22" ht="16" thickBot="1">
      <c r="A44" s="147" t="s">
        <v>502</v>
      </c>
      <c r="B44" s="150">
        <v>7.6999999999999999E-2</v>
      </c>
      <c r="C44" s="153">
        <v>0.93300000000000005</v>
      </c>
      <c r="D44" s="153">
        <v>0.91100000000000003</v>
      </c>
      <c r="E44" s="314">
        <v>418.04822619567631</v>
      </c>
      <c r="F44" s="240"/>
      <c r="G44" s="243">
        <v>1232</v>
      </c>
      <c r="K44" s="158">
        <v>7.0000000000000007E-2</v>
      </c>
      <c r="L44" s="158">
        <v>0</v>
      </c>
      <c r="M44" s="158">
        <v>0.1</v>
      </c>
      <c r="N44" s="250">
        <v>0.82</v>
      </c>
      <c r="O44" s="253">
        <v>0.97735385922437001</v>
      </c>
      <c r="P44" s="274">
        <v>2315</v>
      </c>
      <c r="Q44" s="274">
        <v>330</v>
      </c>
      <c r="R44" t="s">
        <v>866</v>
      </c>
    </row>
    <row r="45" spans="1:22" ht="16" thickBot="1">
      <c r="A45" s="147" t="s">
        <v>503</v>
      </c>
      <c r="B45" s="150">
        <v>0.46600000000000003</v>
      </c>
      <c r="C45" s="153">
        <v>0.97099999999999997</v>
      </c>
      <c r="D45" s="153">
        <v>7.0999999999999994E-2</v>
      </c>
      <c r="E45" s="314">
        <v>483.41632472315138</v>
      </c>
      <c r="F45" s="240"/>
      <c r="G45" s="243">
        <v>13420.8</v>
      </c>
      <c r="K45" s="158">
        <v>0.03</v>
      </c>
      <c r="L45" s="158">
        <v>0.19</v>
      </c>
      <c r="M45" s="158">
        <v>0.18</v>
      </c>
      <c r="N45" s="250">
        <v>0.61</v>
      </c>
      <c r="O45" s="253">
        <v>0.877478471550592</v>
      </c>
      <c r="P45" s="274">
        <f>8000*0.4</f>
        <v>3200</v>
      </c>
      <c r="Q45" s="274">
        <f>3000*0.4</f>
        <v>1200</v>
      </c>
      <c r="R45" t="s">
        <v>524</v>
      </c>
    </row>
    <row r="46" spans="1:22" ht="16" thickBot="1">
      <c r="A46" s="147" t="s">
        <v>645</v>
      </c>
      <c r="B46" s="150">
        <v>0.14299999999999999</v>
      </c>
      <c r="C46" s="153">
        <v>1</v>
      </c>
      <c r="D46" s="153">
        <v>3.4000000000000002E-2</v>
      </c>
      <c r="E46" s="314">
        <v>252.28816838661476</v>
      </c>
      <c r="F46" s="240"/>
      <c r="G46" s="243">
        <v>457.59999999999997</v>
      </c>
      <c r="K46" s="158">
        <v>0</v>
      </c>
      <c r="L46" s="158">
        <v>0.03</v>
      </c>
      <c r="M46" s="158">
        <v>0.02</v>
      </c>
      <c r="N46" s="250">
        <v>0.82</v>
      </c>
      <c r="O46" s="253">
        <v>0.56096498593100275</v>
      </c>
      <c r="P46" s="280">
        <v>1200</v>
      </c>
      <c r="Q46" s="274">
        <v>977</v>
      </c>
      <c r="R46" t="s">
        <v>870</v>
      </c>
    </row>
    <row r="47" spans="1:22" ht="16" thickBot="1">
      <c r="A47" s="147" t="s">
        <v>980</v>
      </c>
      <c r="B47" s="150">
        <v>0.92700000000000005</v>
      </c>
      <c r="C47" s="153">
        <v>0.95</v>
      </c>
      <c r="D47" s="153">
        <v>0.29099999999999998</v>
      </c>
      <c r="E47" s="314">
        <v>361.81791351010088</v>
      </c>
      <c r="F47" s="240"/>
      <c r="G47" s="243">
        <v>16315.200000000003</v>
      </c>
      <c r="K47" s="158">
        <v>0.05</v>
      </c>
      <c r="L47" s="158">
        <v>0.02</v>
      </c>
      <c r="M47" s="158">
        <v>0.11</v>
      </c>
      <c r="N47" s="250">
        <v>0.82</v>
      </c>
      <c r="O47" s="253">
        <v>0.82380040804253563</v>
      </c>
      <c r="P47" s="278">
        <v>1170</v>
      </c>
      <c r="Q47" s="278">
        <v>740</v>
      </c>
      <c r="R47" t="s">
        <v>868</v>
      </c>
    </row>
    <row r="48" spans="1:22" ht="16" thickBot="1">
      <c r="A48" s="147" t="s">
        <v>981</v>
      </c>
      <c r="B48" s="150">
        <v>3.7999999999999999E-2</v>
      </c>
      <c r="C48" s="153">
        <v>0.90600000000000003</v>
      </c>
      <c r="D48" s="153">
        <v>0.45200000000000001</v>
      </c>
      <c r="E48" s="314">
        <v>375.37065018315019</v>
      </c>
      <c r="F48" s="240"/>
      <c r="G48" s="243">
        <v>1398.3999999999999</v>
      </c>
      <c r="K48" s="158">
        <v>0.11</v>
      </c>
      <c r="L48" s="158">
        <v>0.02</v>
      </c>
      <c r="M48" s="158">
        <v>0.23</v>
      </c>
      <c r="N48" s="250">
        <v>0.66</v>
      </c>
      <c r="O48" s="253">
        <v>0.90450759080277232</v>
      </c>
      <c r="P48" s="275">
        <v>2300</v>
      </c>
      <c r="Q48" s="275">
        <v>300</v>
      </c>
      <c r="R48" t="s">
        <v>862</v>
      </c>
    </row>
    <row r="49" spans="1:18" ht="16" thickBot="1">
      <c r="A49" s="147" t="s">
        <v>982</v>
      </c>
      <c r="B49" s="150">
        <v>0.92400000000000004</v>
      </c>
      <c r="C49" s="153">
        <v>0.97799999999999998</v>
      </c>
      <c r="D49" s="153">
        <v>0.90400000000000003</v>
      </c>
      <c r="E49" s="314">
        <v>318.40468414280525</v>
      </c>
      <c r="F49" s="240"/>
      <c r="G49" s="243">
        <v>17740.8</v>
      </c>
      <c r="K49" s="158">
        <v>0.02</v>
      </c>
      <c r="L49" s="158">
        <v>0.01</v>
      </c>
      <c r="M49" s="158">
        <v>0.12</v>
      </c>
      <c r="N49" s="250">
        <v>0.85</v>
      </c>
      <c r="O49" s="253">
        <v>0.73736998705248713</v>
      </c>
      <c r="P49" s="279">
        <v>2010</v>
      </c>
      <c r="Q49" s="274">
        <v>1630</v>
      </c>
      <c r="R49" t="s">
        <v>869</v>
      </c>
    </row>
    <row r="50" spans="1:18" ht="16" thickBot="1">
      <c r="A50" s="148" t="s">
        <v>983</v>
      </c>
      <c r="B50" s="151">
        <v>0.309</v>
      </c>
      <c r="C50" s="154">
        <v>0.97899999999999998</v>
      </c>
      <c r="D50" s="154">
        <v>9.6000000000000002E-2</v>
      </c>
      <c r="E50" s="315">
        <v>454.20873548774478</v>
      </c>
      <c r="F50" s="241"/>
      <c r="G50" s="244">
        <v>6921.6000000000013</v>
      </c>
      <c r="K50" s="159">
        <v>0.02</v>
      </c>
      <c r="L50" s="159">
        <v>0.05</v>
      </c>
      <c r="M50" s="159">
        <v>0.14000000000000001</v>
      </c>
      <c r="N50" s="251">
        <v>0.79</v>
      </c>
      <c r="O50" s="254">
        <v>0.99060618444367532</v>
      </c>
      <c r="P50" s="274">
        <v>1500</v>
      </c>
      <c r="Q50" s="277">
        <v>1100</v>
      </c>
      <c r="R50" t="s">
        <v>867</v>
      </c>
    </row>
    <row r="51" spans="1:18" ht="16" thickTop="1"/>
    <row r="55" spans="1:18" ht="16" thickBot="1">
      <c r="A55" s="148" t="s">
        <v>509</v>
      </c>
      <c r="B55" s="151">
        <v>0.10199999999999999</v>
      </c>
      <c r="C55" s="154">
        <v>0.83599999999999997</v>
      </c>
      <c r="D55" s="154">
        <v>0.89600000000000002</v>
      </c>
      <c r="K55" s="159">
        <v>0.16</v>
      </c>
      <c r="L55" s="159">
        <v>0.01</v>
      </c>
      <c r="M55" s="159">
        <v>0.14000000000000001</v>
      </c>
      <c r="N55" s="162">
        <v>0.69</v>
      </c>
      <c r="O55" s="167"/>
      <c r="P55" s="167"/>
      <c r="Q55" s="167"/>
    </row>
    <row r="56" spans="1:18" ht="16" thickTop="1">
      <c r="A56" s="100"/>
    </row>
    <row r="58" spans="1:18">
      <c r="A58" t="s">
        <v>471</v>
      </c>
      <c r="B58" t="s">
        <v>472</v>
      </c>
      <c r="C58" t="s">
        <v>473</v>
      </c>
      <c r="D58">
        <v>496</v>
      </c>
    </row>
    <row r="59" spans="1:18" ht="17">
      <c r="A59" t="s">
        <v>474</v>
      </c>
      <c r="B59" s="126" t="s">
        <v>475</v>
      </c>
      <c r="C59" t="s">
        <v>476</v>
      </c>
      <c r="D59">
        <v>1014</v>
      </c>
      <c r="K59" s="127"/>
    </row>
    <row r="60" spans="1:18" ht="17">
      <c r="A60" t="s">
        <v>477</v>
      </c>
      <c r="B60" s="126" t="s">
        <v>478</v>
      </c>
      <c r="C60" s="127" t="s">
        <v>479</v>
      </c>
      <c r="D60">
        <v>415</v>
      </c>
    </row>
    <row r="61" spans="1:18">
      <c r="M61" s="128"/>
      <c r="N61" s="129"/>
    </row>
    <row r="62" spans="1:18">
      <c r="A62" s="130"/>
      <c r="B62" s="131" t="s">
        <v>480</v>
      </c>
      <c r="C62" s="131" t="s">
        <v>481</v>
      </c>
      <c r="D62" s="131" t="s">
        <v>482</v>
      </c>
      <c r="E62" s="131" t="s">
        <v>52</v>
      </c>
      <c r="F62" s="131" t="s">
        <v>483</v>
      </c>
    </row>
    <row r="63" spans="1:18">
      <c r="A63" s="132" t="s">
        <v>484</v>
      </c>
      <c r="B63" s="133">
        <v>12.0107</v>
      </c>
      <c r="C63" s="133">
        <v>1.0079400000000001</v>
      </c>
      <c r="D63" s="133">
        <v>15.9994</v>
      </c>
      <c r="E63" s="133">
        <v>14.0067</v>
      </c>
      <c r="F63" s="133">
        <v>32.064999999999998</v>
      </c>
    </row>
    <row r="65" spans="1:14">
      <c r="A65" s="134"/>
      <c r="B65" s="135" t="s">
        <v>485</v>
      </c>
      <c r="C65" s="135" t="s">
        <v>486</v>
      </c>
      <c r="D65" s="135" t="s">
        <v>487</v>
      </c>
      <c r="E65" s="135" t="s">
        <v>488</v>
      </c>
      <c r="F65" s="136" t="s">
        <v>489</v>
      </c>
      <c r="G65" s="136" t="s">
        <v>490</v>
      </c>
      <c r="H65" s="137" t="s">
        <v>491</v>
      </c>
      <c r="I65" s="138" t="s">
        <v>492</v>
      </c>
      <c r="J65" s="139" t="s">
        <v>493</v>
      </c>
      <c r="K65" s="139" t="s">
        <v>494</v>
      </c>
      <c r="L65" s="139" t="s">
        <v>495</v>
      </c>
    </row>
    <row r="66" spans="1:14">
      <c r="A66" s="49" t="s">
        <v>471</v>
      </c>
      <c r="B66" s="140">
        <v>5</v>
      </c>
      <c r="C66" s="140">
        <v>7</v>
      </c>
      <c r="D66" s="140">
        <v>2</v>
      </c>
      <c r="E66" s="140">
        <v>1</v>
      </c>
      <c r="F66" s="140"/>
      <c r="G66" s="141">
        <f>carbon*B66+hydrogen*C66+oxygen*D66+nitrogen*E66+Sulfur*F66</f>
        <v>113.11458</v>
      </c>
      <c r="H66" s="128">
        <f>($B66/2+$C66/8-$D66/4-3/8*$E66-$F66/4)*22.4/(carbon*$B66+hydrogen*$C66+oxygen*$D66+nitrogen*$E66)*1000</f>
        <v>495.07322575038518</v>
      </c>
      <c r="I66" s="142">
        <f>H66/350</f>
        <v>1.4144949307153862</v>
      </c>
      <c r="J66" s="142">
        <f>carbon*B66/G66</f>
        <v>0.53090857076072773</v>
      </c>
      <c r="K66" s="141">
        <f>nitrogen*E66/G66</f>
        <v>0.12382753841281999</v>
      </c>
      <c r="L66" s="68">
        <f>350/H66</f>
        <v>0.706966125</v>
      </c>
    </row>
    <row r="67" spans="1:14">
      <c r="A67" s="49" t="s">
        <v>477</v>
      </c>
      <c r="B67" s="140">
        <v>6</v>
      </c>
      <c r="C67" s="140">
        <v>10</v>
      </c>
      <c r="D67" s="140">
        <v>5</v>
      </c>
      <c r="E67" s="140"/>
      <c r="F67" s="140"/>
      <c r="G67" s="141">
        <f>carbon*B67+hydrogen*C67+oxygen*D67+nitrogen*E67+Sulfur*F67</f>
        <v>162.14060000000001</v>
      </c>
      <c r="H67" s="128">
        <f>($B67/2+$C67/8-$D67/4-3/8*$E67-$F67/4)*22.4/(carbon*$B67+hydrogen*$C67+oxygen*$D67+nitrogen*$E67)*1000</f>
        <v>414.45510871428866</v>
      </c>
      <c r="I67" s="142">
        <f>H67/350</f>
        <v>1.1841574534693962</v>
      </c>
      <c r="J67" s="142">
        <f>carbon*B67/G67</f>
        <v>0.44445499769952745</v>
      </c>
      <c r="K67" s="141">
        <f>nitrogen*E67/G67</f>
        <v>0</v>
      </c>
      <c r="L67" s="68">
        <f>350/H67</f>
        <v>0.84448229166666677</v>
      </c>
    </row>
    <row r="68" spans="1:14">
      <c r="A68" s="49" t="s">
        <v>474</v>
      </c>
      <c r="B68" s="143">
        <v>57</v>
      </c>
      <c r="C68" s="140">
        <v>106</v>
      </c>
      <c r="D68" s="140">
        <v>6</v>
      </c>
      <c r="E68" s="140"/>
      <c r="F68" s="140"/>
      <c r="G68" s="141">
        <f>carbon*B68+hydrogen*C68+oxygen*D68+nitrogen*E68+Sulfur*F68</f>
        <v>887.44794000000002</v>
      </c>
      <c r="H68" s="128">
        <f>($B68/2+$C68/8-$D68/4-3/8*$E68-$F68/4)*22.4/(carbon*$B68+hydrogen*$C68+oxygen*$D68+nitrogen*$E68)*1000</f>
        <v>1015.9469185313561</v>
      </c>
      <c r="I68" s="142">
        <f>H68/350</f>
        <v>2.9027054815181605</v>
      </c>
      <c r="J68" s="142">
        <f>carbon*B68/G68</f>
        <v>0.77143668844394409</v>
      </c>
      <c r="K68" s="141">
        <f>nitrogen*E68/G68</f>
        <v>0</v>
      </c>
      <c r="L68" s="68">
        <f>350/H68</f>
        <v>0.34450618788819881</v>
      </c>
    </row>
    <row r="69" spans="1:14">
      <c r="A69" s="144" t="s">
        <v>496</v>
      </c>
      <c r="B69" s="140">
        <v>40</v>
      </c>
      <c r="C69" s="140">
        <v>46</v>
      </c>
      <c r="D69" s="140">
        <v>16</v>
      </c>
      <c r="E69" s="140"/>
      <c r="F69" s="140"/>
      <c r="G69" s="141">
        <f>carbon*B69+hydrogen*C69+oxygen*D69+nitrogen*E69+Sulfur*F69</f>
        <v>782.78363999999999</v>
      </c>
      <c r="H69" s="128">
        <f>($B69/2+$C69/8-$D69/4-3/8*$E69-$F69/4)*22.4/(carbon*$B69+hydrogen*$C69+oxygen*$D69+nitrogen*$E69)*1000</f>
        <v>622.39420333312023</v>
      </c>
      <c r="I69" s="142">
        <f>H69/350</f>
        <v>1.7782691523803436</v>
      </c>
      <c r="J69" s="141"/>
      <c r="K69" s="141"/>
      <c r="L69" s="68">
        <f>350/H69</f>
        <v>0.56234456896551721</v>
      </c>
    </row>
    <row r="70" spans="1:14">
      <c r="A70" s="144" t="s">
        <v>497</v>
      </c>
      <c r="B70" s="145">
        <v>6</v>
      </c>
      <c r="C70" s="145">
        <v>12</v>
      </c>
      <c r="D70" s="145">
        <v>6</v>
      </c>
      <c r="E70" s="49"/>
      <c r="F70" s="49"/>
      <c r="G70" s="141">
        <f>carbon*B70+hydrogen*C70+oxygen*D70+nitrogen*E70+Sulfur*F70</f>
        <v>180.15588</v>
      </c>
      <c r="H70" s="128">
        <f>($B70/2+$C70/8-$D70/4-3/8*$E70-$F70/4)*22.4/(carbon*$B70+hydrogen*$C70+oxygen*$D70+nitrogen*$E70)*1000</f>
        <v>373.01030640798393</v>
      </c>
      <c r="I70" s="142">
        <f>H70/350</f>
        <v>1.0657437325942398</v>
      </c>
      <c r="J70" s="141">
        <f>carbon*B70/G70</f>
        <v>0.40001025778342625</v>
      </c>
      <c r="K70" s="141">
        <f>nitrogen*E70/G70</f>
        <v>0</v>
      </c>
      <c r="L70" s="68">
        <f>350/H70</f>
        <v>0.93831187500000024</v>
      </c>
    </row>
    <row r="71" spans="1:14">
      <c r="A71" s="49"/>
      <c r="B71" s="140"/>
      <c r="C71" s="140"/>
      <c r="D71" s="140"/>
      <c r="E71" s="140"/>
      <c r="F71" s="140"/>
    </row>
    <row r="73" spans="1:14" ht="16" thickBot="1"/>
    <row r="74" spans="1:14" ht="17" thickTop="1" thickBot="1">
      <c r="A74" s="146" t="s">
        <v>498</v>
      </c>
      <c r="B74" s="147" t="s">
        <v>499</v>
      </c>
      <c r="C74" s="147" t="s">
        <v>500</v>
      </c>
      <c r="D74" s="147" t="s">
        <v>501</v>
      </c>
      <c r="E74" s="147" t="s">
        <v>502</v>
      </c>
      <c r="F74" s="147" t="s">
        <v>503</v>
      </c>
      <c r="G74" s="147" t="s">
        <v>504</v>
      </c>
      <c r="H74" s="147" t="s">
        <v>505</v>
      </c>
      <c r="I74" s="147"/>
      <c r="J74" s="147"/>
      <c r="K74" s="147" t="s">
        <v>506</v>
      </c>
      <c r="L74" s="147" t="s">
        <v>507</v>
      </c>
      <c r="M74" s="148" t="s">
        <v>508</v>
      </c>
      <c r="N74" s="148" t="s">
        <v>509</v>
      </c>
    </row>
    <row r="76" spans="1:14" ht="16" thickBot="1">
      <c r="A76" s="149" t="s">
        <v>510</v>
      </c>
      <c r="B76" s="150">
        <v>0.91600000000000004</v>
      </c>
      <c r="C76" s="150">
        <v>0.105</v>
      </c>
      <c r="D76" s="150">
        <v>0.29299999999999998</v>
      </c>
      <c r="E76" s="150">
        <v>7.6999999999999999E-2</v>
      </c>
      <c r="F76" s="150">
        <v>0.46600000000000003</v>
      </c>
      <c r="G76" s="150">
        <v>0.14299999999999999</v>
      </c>
      <c r="H76" s="150">
        <v>0.92700000000000005</v>
      </c>
      <c r="I76" s="150"/>
      <c r="J76" s="150"/>
      <c r="K76" s="150">
        <v>3.7999999999999999E-2</v>
      </c>
      <c r="L76" s="150">
        <v>0.92400000000000004</v>
      </c>
      <c r="M76" s="151">
        <v>0.309</v>
      </c>
      <c r="N76" s="151">
        <v>0.10199999999999999</v>
      </c>
    </row>
    <row r="77" spans="1:14" ht="16" thickBot="1">
      <c r="A77" s="152" t="s">
        <v>511</v>
      </c>
      <c r="B77" s="153">
        <v>0.97899999999999998</v>
      </c>
      <c r="C77" s="153">
        <v>0.90700000000000003</v>
      </c>
      <c r="D77" s="153">
        <v>0.99299999999999999</v>
      </c>
      <c r="E77" s="153">
        <v>0.93300000000000005</v>
      </c>
      <c r="F77" s="153">
        <v>0.97099999999999997</v>
      </c>
      <c r="G77" s="153">
        <v>1</v>
      </c>
      <c r="H77" s="153">
        <v>0.95</v>
      </c>
      <c r="I77" s="153"/>
      <c r="J77" s="153"/>
      <c r="K77" s="153">
        <v>0.90600000000000003</v>
      </c>
      <c r="L77" s="153">
        <v>0.97799999999999998</v>
      </c>
      <c r="M77" s="154">
        <v>0.97899999999999998</v>
      </c>
      <c r="N77" s="154">
        <v>0.83599999999999997</v>
      </c>
    </row>
    <row r="78" spans="1:14" ht="16" thickBot="1">
      <c r="A78" s="155" t="s">
        <v>512</v>
      </c>
      <c r="B78" s="156">
        <v>0.88900000000000001</v>
      </c>
      <c r="C78" s="153">
        <v>0.14299999999999999</v>
      </c>
      <c r="D78" s="153">
        <v>0.30299999999999999</v>
      </c>
      <c r="E78" s="153">
        <v>0.91100000000000003</v>
      </c>
      <c r="F78" s="153">
        <v>7.0999999999999994E-2</v>
      </c>
      <c r="G78" s="153">
        <v>3.4000000000000002E-2</v>
      </c>
      <c r="H78" s="153">
        <v>0.29099999999999998</v>
      </c>
      <c r="I78" s="153"/>
      <c r="J78" s="153"/>
      <c r="K78" s="153">
        <v>0.45200000000000001</v>
      </c>
      <c r="L78" s="153">
        <v>0.90400000000000003</v>
      </c>
      <c r="M78" s="154">
        <v>9.6000000000000002E-2</v>
      </c>
      <c r="N78" s="154">
        <v>0.89600000000000002</v>
      </c>
    </row>
    <row r="79" spans="1:14" ht="17" thickTop="1" thickBot="1">
      <c r="A79" s="157" t="s">
        <v>513</v>
      </c>
      <c r="B79" s="158">
        <v>0.03</v>
      </c>
      <c r="C79" s="158">
        <v>0.09</v>
      </c>
      <c r="D79" s="158">
        <v>0.01</v>
      </c>
      <c r="E79" s="158">
        <v>7.0000000000000007E-2</v>
      </c>
      <c r="F79" s="158">
        <v>0.03</v>
      </c>
      <c r="G79" s="158">
        <v>0</v>
      </c>
      <c r="H79" s="158">
        <v>0.05</v>
      </c>
      <c r="I79" s="158"/>
      <c r="J79" s="158"/>
      <c r="K79" s="158">
        <v>0.11</v>
      </c>
      <c r="L79" s="158">
        <v>0.02</v>
      </c>
      <c r="M79" s="159">
        <v>0.02</v>
      </c>
      <c r="N79" s="159">
        <v>0.16</v>
      </c>
    </row>
    <row r="80" spans="1:14" ht="17" thickTop="1" thickBot="1">
      <c r="A80" s="157" t="s">
        <v>514</v>
      </c>
      <c r="B80" s="185">
        <v>0.11</v>
      </c>
      <c r="C80" s="158">
        <v>0.02</v>
      </c>
      <c r="D80" s="158">
        <v>0.04</v>
      </c>
      <c r="E80" s="158">
        <v>0</v>
      </c>
      <c r="F80" s="158">
        <v>0.19</v>
      </c>
      <c r="G80" s="158">
        <v>0.03</v>
      </c>
      <c r="H80" s="158">
        <v>0.02</v>
      </c>
      <c r="I80" s="158"/>
      <c r="J80" s="158"/>
      <c r="K80" s="158">
        <v>0.02</v>
      </c>
      <c r="L80" s="158">
        <v>0.01</v>
      </c>
      <c r="M80" s="159">
        <v>0.05</v>
      </c>
      <c r="N80" s="159">
        <v>0.01</v>
      </c>
    </row>
    <row r="81" spans="1:17" ht="17" thickTop="1" thickBot="1">
      <c r="A81" s="157" t="s">
        <v>515</v>
      </c>
      <c r="B81" s="185">
        <v>0.1</v>
      </c>
      <c r="C81" s="158">
        <v>0.15</v>
      </c>
      <c r="D81" s="158">
        <v>0.17</v>
      </c>
      <c r="E81" s="158">
        <v>0.1</v>
      </c>
      <c r="F81" s="158">
        <v>0.18</v>
      </c>
      <c r="G81" s="158">
        <v>0.02</v>
      </c>
      <c r="H81" s="158">
        <v>0.11</v>
      </c>
      <c r="I81" s="158"/>
      <c r="J81" s="158"/>
      <c r="K81" s="158">
        <v>0.23</v>
      </c>
      <c r="L81" s="158">
        <v>0.12</v>
      </c>
      <c r="M81" s="159">
        <v>0.14000000000000001</v>
      </c>
      <c r="N81" s="159">
        <v>0.14000000000000001</v>
      </c>
    </row>
    <row r="82" spans="1:17" ht="17" thickTop="1" thickBot="1">
      <c r="A82" s="160" t="s">
        <v>516</v>
      </c>
      <c r="B82" s="186">
        <v>0.76</v>
      </c>
      <c r="C82" s="161">
        <v>0.74</v>
      </c>
      <c r="D82" s="161">
        <v>0.79</v>
      </c>
      <c r="E82" s="161">
        <v>0.82</v>
      </c>
      <c r="F82" s="161">
        <v>0.61</v>
      </c>
      <c r="G82" s="161">
        <v>0.82</v>
      </c>
      <c r="H82" s="161">
        <v>0.82</v>
      </c>
      <c r="I82" s="161"/>
      <c r="J82" s="161"/>
      <c r="K82" s="161">
        <v>0.66</v>
      </c>
      <c r="L82" s="161">
        <v>0.85</v>
      </c>
      <c r="M82" s="162">
        <v>0.79</v>
      </c>
      <c r="N82" s="162">
        <v>0.69</v>
      </c>
    </row>
    <row r="83" spans="1:17" ht="16" thickTop="1">
      <c r="A83" s="163" t="s">
        <v>517</v>
      </c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5">
        <v>0.54263731383696057</v>
      </c>
    </row>
    <row r="84" spans="1:17">
      <c r="A84" s="166" t="s">
        <v>518</v>
      </c>
      <c r="B84" s="167">
        <f t="shared" ref="B84:H84" si="0">B80*$J68</f>
        <v>8.4858035728833853E-2</v>
      </c>
      <c r="C84" s="167">
        <f t="shared" si="0"/>
        <v>1.5428733768878882E-2</v>
      </c>
      <c r="D84" s="167">
        <f t="shared" si="0"/>
        <v>3.0857467537757765E-2</v>
      </c>
      <c r="E84" s="167">
        <f t="shared" si="0"/>
        <v>0</v>
      </c>
      <c r="F84" s="167">
        <f t="shared" si="0"/>
        <v>0.14657297080434939</v>
      </c>
      <c r="G84" s="167">
        <f t="shared" si="0"/>
        <v>2.3143100653318323E-2</v>
      </c>
      <c r="H84" s="167">
        <f t="shared" si="0"/>
        <v>1.5428733768878882E-2</v>
      </c>
      <c r="I84" s="167"/>
      <c r="J84" s="167"/>
      <c r="K84" s="167">
        <f>K80*$J68</f>
        <v>1.5428733768878882E-2</v>
      </c>
      <c r="L84" s="167">
        <f>L80*$J68</f>
        <v>7.7143668844394412E-3</v>
      </c>
      <c r="M84" s="167">
        <f>M80*$J68</f>
        <v>3.8571834422197207E-2</v>
      </c>
      <c r="N84" s="167">
        <f>N80*$J68</f>
        <v>7.7143668844394412E-3</v>
      </c>
    </row>
    <row r="85" spans="1:17">
      <c r="A85" s="166" t="s">
        <v>519</v>
      </c>
      <c r="B85" s="167">
        <f t="shared" ref="B85:H85" si="1">B81*$J66</f>
        <v>5.3090857076072778E-2</v>
      </c>
      <c r="C85" s="167">
        <f t="shared" si="1"/>
        <v>7.9636285614109154E-2</v>
      </c>
      <c r="D85" s="167">
        <f t="shared" si="1"/>
        <v>9.025445702932372E-2</v>
      </c>
      <c r="E85" s="167">
        <f t="shared" si="1"/>
        <v>5.3090857076072778E-2</v>
      </c>
      <c r="F85" s="167">
        <f t="shared" si="1"/>
        <v>9.556354273693099E-2</v>
      </c>
      <c r="G85" s="167">
        <f t="shared" si="1"/>
        <v>1.0618171415214555E-2</v>
      </c>
      <c r="H85" s="167">
        <f t="shared" si="1"/>
        <v>5.8399942783680048E-2</v>
      </c>
      <c r="I85" s="167"/>
      <c r="J85" s="167"/>
      <c r="K85" s="167">
        <f>K81*$J66</f>
        <v>0.12210897127496738</v>
      </c>
      <c r="L85" s="167">
        <f>L81*$J66</f>
        <v>6.3709028491287331E-2</v>
      </c>
      <c r="M85" s="167">
        <f>M81*$J66</f>
        <v>7.4327199906501884E-2</v>
      </c>
      <c r="N85" s="167">
        <f>N81*$J66</f>
        <v>7.4327199906501884E-2</v>
      </c>
    </row>
    <row r="86" spans="1:17">
      <c r="A86" s="166" t="s">
        <v>520</v>
      </c>
      <c r="B86" s="167">
        <f t="shared" ref="B86:H86" si="2">$J67*B82</f>
        <v>0.33778579825164085</v>
      </c>
      <c r="C86" s="167">
        <f t="shared" si="2"/>
        <v>0.32889669829765034</v>
      </c>
      <c r="D86" s="167">
        <f t="shared" si="2"/>
        <v>0.35111944818262669</v>
      </c>
      <c r="E86" s="167">
        <f t="shared" si="2"/>
        <v>0.36445309811361248</v>
      </c>
      <c r="F86" s="167">
        <f t="shared" si="2"/>
        <v>0.27111754859671172</v>
      </c>
      <c r="G86" s="167">
        <f t="shared" si="2"/>
        <v>0.36445309811361248</v>
      </c>
      <c r="H86" s="167">
        <f t="shared" si="2"/>
        <v>0.36445309811361248</v>
      </c>
      <c r="I86" s="167"/>
      <c r="J86" s="167"/>
      <c r="K86" s="167">
        <f>$J67*K82</f>
        <v>0.29334029848168813</v>
      </c>
      <c r="L86" s="167">
        <f>$J67*L82</f>
        <v>0.37778674804459833</v>
      </c>
      <c r="M86" s="167">
        <f>$J67*M82</f>
        <v>0.35111944818262669</v>
      </c>
      <c r="N86" s="167">
        <f>$J67*N82</f>
        <v>0.30667394841267392</v>
      </c>
    </row>
    <row r="87" spans="1:17">
      <c r="A87" s="166" t="s">
        <v>521</v>
      </c>
      <c r="B87" s="167">
        <f>SUM(B84:B86)</f>
        <v>0.47573469105654748</v>
      </c>
      <c r="C87" s="167">
        <f t="shared" ref="C87:N87" si="3">SUM(C84:C86)</f>
        <v>0.42396171768063839</v>
      </c>
      <c r="D87" s="167">
        <f t="shared" si="3"/>
        <v>0.47223137274970817</v>
      </c>
      <c r="E87" s="167">
        <f t="shared" si="3"/>
        <v>0.41754395518968523</v>
      </c>
      <c r="F87" s="167">
        <f t="shared" si="3"/>
        <v>0.51325406213799207</v>
      </c>
      <c r="G87" s="167">
        <f t="shared" si="3"/>
        <v>0.39821437018214534</v>
      </c>
      <c r="H87" s="167">
        <f t="shared" si="3"/>
        <v>0.43828177466617141</v>
      </c>
      <c r="I87" s="167"/>
      <c r="J87" s="167"/>
      <c r="K87" s="167">
        <f t="shared" si="3"/>
        <v>0.4308780035255344</v>
      </c>
      <c r="L87" s="167">
        <f t="shared" si="3"/>
        <v>0.44921014342032511</v>
      </c>
      <c r="M87" s="167">
        <f t="shared" si="3"/>
        <v>0.46401848251132577</v>
      </c>
      <c r="N87" s="167">
        <f t="shared" si="3"/>
        <v>0.38871551520361525</v>
      </c>
      <c r="O87" s="167">
        <f>(1-N83)*N87*N77</f>
        <v>0.14862740074814412</v>
      </c>
      <c r="P87" s="167"/>
      <c r="Q87" s="167"/>
    </row>
    <row r="88" spans="1:17">
      <c r="A88" s="166" t="s">
        <v>522</v>
      </c>
      <c r="B88" s="184">
        <f>B87*B76</f>
        <v>0.43577297700779749</v>
      </c>
      <c r="C88" s="167">
        <f>C87*C76</f>
        <v>4.4515980356467033E-2</v>
      </c>
      <c r="D88" s="167">
        <f t="shared" ref="D88:N88" si="4">D87*D76</f>
        <v>0.13836379221566447</v>
      </c>
      <c r="E88" s="167">
        <f t="shared" si="4"/>
        <v>3.2150884549605761E-2</v>
      </c>
      <c r="F88" s="167">
        <f t="shared" si="4"/>
        <v>0.23917639295630433</v>
      </c>
      <c r="G88" s="167">
        <f t="shared" si="4"/>
        <v>5.6944654936046779E-2</v>
      </c>
      <c r="H88" s="167">
        <f t="shared" si="4"/>
        <v>0.40628720511554089</v>
      </c>
      <c r="I88" s="167"/>
      <c r="J88" s="167"/>
      <c r="K88" s="167">
        <f t="shared" si="4"/>
        <v>1.6373364133970308E-2</v>
      </c>
      <c r="L88" s="167">
        <f t="shared" si="4"/>
        <v>0.41507017252038042</v>
      </c>
      <c r="M88" s="167">
        <f t="shared" si="4"/>
        <v>0.14338171109599965</v>
      </c>
      <c r="N88" s="167">
        <f t="shared" si="4"/>
        <v>3.9648982550768749E-2</v>
      </c>
    </row>
    <row r="93" spans="1:17">
      <c r="B93" t="s">
        <v>1067</v>
      </c>
      <c r="C93" t="s">
        <v>1134</v>
      </c>
      <c r="D93" t="s">
        <v>1135</v>
      </c>
      <c r="E93" t="s">
        <v>1136</v>
      </c>
      <c r="F93" t="s">
        <v>1077</v>
      </c>
      <c r="G93" t="s">
        <v>1137</v>
      </c>
    </row>
    <row r="94" spans="1:17">
      <c r="A94" t="s">
        <v>1066</v>
      </c>
      <c r="B94">
        <v>90</v>
      </c>
      <c r="C94" s="60">
        <f>B94/1.12</f>
        <v>80.357142857142847</v>
      </c>
      <c r="E94">
        <f>GlobalFactors.csv!F42</f>
        <v>0.65</v>
      </c>
      <c r="F94" s="90">
        <f>C94*E94</f>
        <v>52.232142857142854</v>
      </c>
      <c r="G94" s="328">
        <f>F94/F94</f>
        <v>1</v>
      </c>
    </row>
    <row r="95" spans="1:17">
      <c r="A95" t="s">
        <v>1079</v>
      </c>
      <c r="B95">
        <v>40</v>
      </c>
      <c r="C95" s="60">
        <f>B95/1.12</f>
        <v>35.714285714285708</v>
      </c>
      <c r="D95" s="68">
        <f>C95/2.3</f>
        <v>15.527950310559005</v>
      </c>
      <c r="E95">
        <f>GlobalFactors.csv!F54</f>
        <v>1</v>
      </c>
      <c r="F95" s="90">
        <f>D95*E95</f>
        <v>15.527950310559005</v>
      </c>
      <c r="G95" s="328">
        <f>F95/F94</f>
        <v>0.29728725380899296</v>
      </c>
    </row>
    <row r="96" spans="1:17">
      <c r="A96" t="s">
        <v>1078</v>
      </c>
      <c r="B96">
        <v>40</v>
      </c>
      <c r="C96" s="60">
        <f>B96/1.12</f>
        <v>35.714285714285708</v>
      </c>
      <c r="D96" s="68">
        <f>C96/1.2</f>
        <v>29.761904761904759</v>
      </c>
      <c r="E96">
        <f>GlobalFactors.csv!F56</f>
        <v>1</v>
      </c>
      <c r="F96" s="90">
        <f>D96*E96</f>
        <v>29.761904761904759</v>
      </c>
      <c r="G96" s="328">
        <f>F96/F94</f>
        <v>0.56980056980056981</v>
      </c>
    </row>
    <row r="97" spans="1:1">
      <c r="A97" t="s">
        <v>1068</v>
      </c>
    </row>
    <row r="98" spans="1:1">
      <c r="A98" t="s">
        <v>1069</v>
      </c>
    </row>
    <row r="99" spans="1:1">
      <c r="A99" t="s">
        <v>1070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0"/>
      <c r="L1" s="54"/>
      <c r="M1" s="69"/>
    </row>
    <row r="2" spans="1:14">
      <c r="A2" s="57" t="s">
        <v>151</v>
      </c>
      <c r="K2" s="71"/>
      <c r="L2" s="69"/>
      <c r="M2" s="69"/>
    </row>
    <row r="3" spans="1:14">
      <c r="B3" t="s">
        <v>156</v>
      </c>
      <c r="C3" t="s">
        <v>157</v>
      </c>
      <c r="D3" t="s">
        <v>152</v>
      </c>
      <c r="F3" t="s">
        <v>153</v>
      </c>
      <c r="K3" s="70"/>
      <c r="L3" s="69"/>
      <c r="M3" s="69"/>
      <c r="N3" s="6"/>
    </row>
    <row r="4" spans="1:14">
      <c r="A4" t="s">
        <v>154</v>
      </c>
      <c r="B4">
        <v>5</v>
      </c>
      <c r="C4">
        <v>0.3</v>
      </c>
      <c r="D4">
        <f>B4/C4</f>
        <v>16.666666666666668</v>
      </c>
      <c r="K4" s="54"/>
      <c r="L4" s="69"/>
      <c r="M4" s="69"/>
      <c r="N4" s="6"/>
    </row>
    <row r="5" spans="1:14">
      <c r="A5" t="s">
        <v>155</v>
      </c>
      <c r="B5">
        <v>4.62</v>
      </c>
      <c r="C5">
        <v>0.107</v>
      </c>
      <c r="D5">
        <f>B5/C5</f>
        <v>43.177570093457945</v>
      </c>
    </row>
    <row r="6" spans="1:14">
      <c r="A6" t="s">
        <v>158</v>
      </c>
      <c r="B6">
        <f>B4-B5</f>
        <v>0.37999999999999989</v>
      </c>
      <c r="C6">
        <f>C4-C5</f>
        <v>0.193</v>
      </c>
    </row>
    <row r="10" spans="1:14">
      <c r="A10" t="s">
        <v>276</v>
      </c>
      <c r="F10" t="s">
        <v>731</v>
      </c>
    </row>
    <row r="11" spans="1:14">
      <c r="A11" t="s">
        <v>277</v>
      </c>
      <c r="B11" t="s">
        <v>166</v>
      </c>
      <c r="C11" t="s">
        <v>167</v>
      </c>
      <c r="D11" t="s">
        <v>168</v>
      </c>
      <c r="E11" t="s">
        <v>159</v>
      </c>
      <c r="F11" t="s">
        <v>164</v>
      </c>
      <c r="G11" t="s">
        <v>160</v>
      </c>
      <c r="H11" t="s">
        <v>169</v>
      </c>
      <c r="I11" t="s">
        <v>162</v>
      </c>
      <c r="J11" t="s">
        <v>170</v>
      </c>
      <c r="K11" t="s">
        <v>171</v>
      </c>
    </row>
    <row r="12" spans="1:14">
      <c r="A12" t="s">
        <v>278</v>
      </c>
      <c r="B12">
        <v>10</v>
      </c>
      <c r="C12" t="s">
        <v>172</v>
      </c>
      <c r="D12" t="s">
        <v>173</v>
      </c>
      <c r="E12" t="s">
        <v>174</v>
      </c>
      <c r="F12" t="s">
        <v>175</v>
      </c>
      <c r="G12" t="s">
        <v>176</v>
      </c>
      <c r="H12" t="s">
        <v>177</v>
      </c>
      <c r="I12" t="s">
        <v>178</v>
      </c>
      <c r="J12" t="s">
        <v>179</v>
      </c>
      <c r="K12" t="s">
        <v>180</v>
      </c>
    </row>
    <row r="13" spans="1:14">
      <c r="A13" t="s">
        <v>181</v>
      </c>
      <c r="B13">
        <v>13</v>
      </c>
      <c r="C13" t="s">
        <v>182</v>
      </c>
      <c r="D13" t="s">
        <v>183</v>
      </c>
      <c r="E13" t="s">
        <v>184</v>
      </c>
      <c r="F13" t="s">
        <v>185</v>
      </c>
      <c r="G13" t="s">
        <v>186</v>
      </c>
      <c r="H13" t="s">
        <v>187</v>
      </c>
      <c r="I13" t="s">
        <v>188</v>
      </c>
      <c r="J13" t="s">
        <v>189</v>
      </c>
      <c r="K13" t="s">
        <v>190</v>
      </c>
    </row>
    <row r="14" spans="1:14">
      <c r="A14" t="s">
        <v>279</v>
      </c>
      <c r="B14">
        <v>14.2</v>
      </c>
      <c r="C14" t="s">
        <v>191</v>
      </c>
      <c r="D14" t="s">
        <v>192</v>
      </c>
      <c r="E14" t="s">
        <v>193</v>
      </c>
      <c r="F14" t="s">
        <v>194</v>
      </c>
      <c r="G14" t="s">
        <v>195</v>
      </c>
      <c r="H14" t="s">
        <v>196</v>
      </c>
      <c r="I14" t="s">
        <v>197</v>
      </c>
      <c r="J14" t="s">
        <v>198</v>
      </c>
      <c r="K14" t="s">
        <v>199</v>
      </c>
    </row>
    <row r="15" spans="1:14">
      <c r="A15" t="s">
        <v>280</v>
      </c>
      <c r="B15">
        <v>10</v>
      </c>
      <c r="C15" t="s">
        <v>200</v>
      </c>
      <c r="D15" t="s">
        <v>201</v>
      </c>
      <c r="E15" t="s">
        <v>202</v>
      </c>
      <c r="F15" t="s">
        <v>203</v>
      </c>
      <c r="G15" t="s">
        <v>204</v>
      </c>
      <c r="H15" t="s">
        <v>205</v>
      </c>
      <c r="I15" t="s">
        <v>206</v>
      </c>
      <c r="J15" t="s">
        <v>207</v>
      </c>
      <c r="K15" t="s">
        <v>182</v>
      </c>
    </row>
    <row r="16" spans="1:14">
      <c r="A16" t="s">
        <v>281</v>
      </c>
      <c r="B16">
        <v>13.5</v>
      </c>
      <c r="C16" t="s">
        <v>208</v>
      </c>
      <c r="D16" t="s">
        <v>209</v>
      </c>
      <c r="E16" t="s">
        <v>210</v>
      </c>
      <c r="F16" t="s">
        <v>211</v>
      </c>
      <c r="G16" t="s">
        <v>212</v>
      </c>
      <c r="H16" t="s">
        <v>213</v>
      </c>
      <c r="I16" t="s">
        <v>214</v>
      </c>
      <c r="J16" t="s">
        <v>215</v>
      </c>
      <c r="K16" t="s">
        <v>216</v>
      </c>
    </row>
    <row r="17" spans="1:11">
      <c r="A17" t="s">
        <v>282</v>
      </c>
      <c r="B17">
        <v>8.8000000000000007</v>
      </c>
      <c r="C17" t="s">
        <v>217</v>
      </c>
      <c r="D17" t="s">
        <v>218</v>
      </c>
      <c r="E17" t="s">
        <v>219</v>
      </c>
      <c r="F17" t="s">
        <v>220</v>
      </c>
      <c r="G17" t="s">
        <v>221</v>
      </c>
      <c r="H17" t="s">
        <v>222</v>
      </c>
      <c r="I17" t="s">
        <v>223</v>
      </c>
      <c r="J17" t="s">
        <v>224</v>
      </c>
      <c r="K17" t="s">
        <v>225</v>
      </c>
    </row>
    <row r="18" spans="1:11">
      <c r="A18" t="s">
        <v>283</v>
      </c>
      <c r="B18">
        <v>13.8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</row>
    <row r="19" spans="1:11">
      <c r="A19" t="s">
        <v>284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287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237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285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238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239</v>
      </c>
      <c r="H23" t="s">
        <v>239</v>
      </c>
      <c r="I23" t="s">
        <v>239</v>
      </c>
      <c r="J23" t="s">
        <v>239</v>
      </c>
      <c r="K23" t="s">
        <v>239</v>
      </c>
    </row>
    <row r="24" spans="1:11">
      <c r="A24" t="s">
        <v>286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8" customFormat="1">
      <c r="A26" t="s">
        <v>331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165</v>
      </c>
      <c r="B27" t="s">
        <v>166</v>
      </c>
      <c r="C27" t="s">
        <v>167</v>
      </c>
      <c r="D27" t="s">
        <v>168</v>
      </c>
      <c r="E27" t="s">
        <v>159</v>
      </c>
      <c r="F27" t="s">
        <v>164</v>
      </c>
      <c r="G27" t="s">
        <v>160</v>
      </c>
      <c r="H27" t="s">
        <v>169</v>
      </c>
      <c r="I27" t="s">
        <v>162</v>
      </c>
      <c r="J27" t="s">
        <v>170</v>
      </c>
      <c r="K27" t="s">
        <v>171</v>
      </c>
    </row>
    <row r="28" spans="1:11">
      <c r="A28" t="s">
        <v>288</v>
      </c>
      <c r="B28">
        <v>14.1</v>
      </c>
      <c r="C28" t="s">
        <v>240</v>
      </c>
      <c r="D28" t="s">
        <v>241</v>
      </c>
      <c r="E28" t="s">
        <v>242</v>
      </c>
      <c r="F28" t="s">
        <v>243</v>
      </c>
      <c r="G28" t="s">
        <v>244</v>
      </c>
      <c r="H28" t="s">
        <v>245</v>
      </c>
      <c r="I28" t="s">
        <v>246</v>
      </c>
      <c r="J28" t="s">
        <v>247</v>
      </c>
      <c r="K28" t="s">
        <v>248</v>
      </c>
    </row>
    <row r="29" spans="1:11">
      <c r="A29" t="s">
        <v>289</v>
      </c>
      <c r="B29">
        <v>9.5</v>
      </c>
      <c r="C29" t="s">
        <v>249</v>
      </c>
      <c r="D29" t="s">
        <v>250</v>
      </c>
      <c r="E29" t="s">
        <v>251</v>
      </c>
      <c r="F29" t="s">
        <v>252</v>
      </c>
      <c r="G29" t="s">
        <v>253</v>
      </c>
      <c r="H29" t="s">
        <v>254</v>
      </c>
      <c r="I29" t="s">
        <v>255</v>
      </c>
      <c r="J29" t="s">
        <v>256</v>
      </c>
      <c r="K29" t="s">
        <v>257</v>
      </c>
    </row>
    <row r="30" spans="1:11">
      <c r="A30" t="s">
        <v>290</v>
      </c>
      <c r="B30">
        <v>9.5</v>
      </c>
      <c r="C30" t="s">
        <v>258</v>
      </c>
      <c r="D30" t="s">
        <v>259</v>
      </c>
      <c r="E30" t="s">
        <v>260</v>
      </c>
      <c r="F30" t="s">
        <v>261</v>
      </c>
      <c r="G30" t="s">
        <v>262</v>
      </c>
      <c r="H30" t="s">
        <v>263</v>
      </c>
      <c r="I30" t="s">
        <v>264</v>
      </c>
      <c r="J30" t="s">
        <v>265</v>
      </c>
      <c r="K30" t="s">
        <v>266</v>
      </c>
    </row>
    <row r="31" spans="1:11">
      <c r="A31" t="s">
        <v>291</v>
      </c>
      <c r="B31">
        <v>11.85</v>
      </c>
      <c r="C31" t="s">
        <v>267</v>
      </c>
      <c r="D31" t="s">
        <v>268</v>
      </c>
      <c r="E31" t="s">
        <v>269</v>
      </c>
      <c r="F31" t="s">
        <v>243</v>
      </c>
      <c r="G31" t="s">
        <v>270</v>
      </c>
      <c r="H31" t="s">
        <v>271</v>
      </c>
      <c r="I31" t="s">
        <v>272</v>
      </c>
      <c r="J31" t="s">
        <v>273</v>
      </c>
      <c r="K31" t="s">
        <v>274</v>
      </c>
    </row>
    <row r="32" spans="1:11">
      <c r="A32" t="s">
        <v>235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8" t="s">
        <v>163</v>
      </c>
      <c r="B33" s="58">
        <v>35.9</v>
      </c>
      <c r="C33" s="58">
        <v>2.6</v>
      </c>
      <c r="D33" s="58">
        <v>97.4</v>
      </c>
      <c r="E33" s="58">
        <v>7.7</v>
      </c>
      <c r="F33" s="58">
        <v>5</v>
      </c>
      <c r="G33" s="58">
        <v>52.5</v>
      </c>
      <c r="H33" s="58">
        <v>47.5</v>
      </c>
      <c r="I33" s="58">
        <v>43.2</v>
      </c>
      <c r="J33" s="58">
        <v>4.3</v>
      </c>
      <c r="K33" s="58" t="s">
        <v>275</v>
      </c>
    </row>
    <row r="34" spans="1:19">
      <c r="A34" t="s">
        <v>292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325</v>
      </c>
      <c r="B35">
        <v>35</v>
      </c>
      <c r="C35">
        <v>7.9</v>
      </c>
      <c r="D35">
        <v>92.1</v>
      </c>
      <c r="E35" t="s">
        <v>294</v>
      </c>
      <c r="F35" t="s">
        <v>295</v>
      </c>
      <c r="G35" t="s">
        <v>296</v>
      </c>
      <c r="H35" t="s">
        <v>297</v>
      </c>
      <c r="I35" t="s">
        <v>298</v>
      </c>
      <c r="J35" t="s">
        <v>299</v>
      </c>
      <c r="K35">
        <v>54</v>
      </c>
    </row>
    <row r="36" spans="1:19">
      <c r="A36" t="s">
        <v>300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239</v>
      </c>
    </row>
    <row r="37" spans="1:19">
      <c r="A37" t="s">
        <v>326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327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371</v>
      </c>
      <c r="R38" s="1" t="s">
        <v>372</v>
      </c>
    </row>
    <row r="39" spans="1:19">
      <c r="A39" t="s">
        <v>293</v>
      </c>
      <c r="L39">
        <v>89</v>
      </c>
      <c r="M39">
        <f t="shared" ref="M39:M46" si="0">K46*L39/(K$46*L$39)</f>
        <v>1</v>
      </c>
      <c r="N39" t="s">
        <v>332</v>
      </c>
      <c r="O39">
        <v>88</v>
      </c>
      <c r="P39">
        <v>88</v>
      </c>
      <c r="Q39">
        <f>O39*P39/(O$39*P$39)</f>
        <v>1</v>
      </c>
    </row>
    <row r="40" spans="1:19">
      <c r="A40" t="s">
        <v>328</v>
      </c>
      <c r="B40">
        <v>9.4</v>
      </c>
      <c r="C40" t="s">
        <v>301</v>
      </c>
      <c r="D40" t="s">
        <v>302</v>
      </c>
      <c r="E40" t="s">
        <v>303</v>
      </c>
      <c r="F40" t="s">
        <v>304</v>
      </c>
      <c r="G40" t="s">
        <v>305</v>
      </c>
      <c r="H40" t="s">
        <v>306</v>
      </c>
      <c r="I40" t="s">
        <v>307</v>
      </c>
      <c r="J40" t="s">
        <v>260</v>
      </c>
      <c r="K40" t="s">
        <v>308</v>
      </c>
      <c r="L40">
        <v>70</v>
      </c>
      <c r="M40" s="60">
        <f t="shared" si="0"/>
        <v>0.18506278916060806</v>
      </c>
      <c r="N40" t="s">
        <v>161</v>
      </c>
      <c r="O40">
        <v>20</v>
      </c>
      <c r="P40">
        <v>68</v>
      </c>
      <c r="Q40" s="60">
        <f>O40*P40/(O$39*P$39)</f>
        <v>0.1756198347107438</v>
      </c>
    </row>
    <row r="41" spans="1:19">
      <c r="A41" t="s">
        <v>329</v>
      </c>
      <c r="B41">
        <v>12.6</v>
      </c>
      <c r="C41" t="s">
        <v>225</v>
      </c>
      <c r="D41" t="s">
        <v>309</v>
      </c>
      <c r="E41" t="s">
        <v>310</v>
      </c>
      <c r="F41" t="s">
        <v>311</v>
      </c>
      <c r="G41" t="s">
        <v>312</v>
      </c>
      <c r="H41" t="s">
        <v>313</v>
      </c>
      <c r="I41" t="s">
        <v>314</v>
      </c>
      <c r="J41" t="s">
        <v>315</v>
      </c>
      <c r="K41" t="s">
        <v>316</v>
      </c>
      <c r="L41">
        <v>78</v>
      </c>
      <c r="M41" s="60">
        <f t="shared" si="0"/>
        <v>7.2174487772637144E-2</v>
      </c>
      <c r="N41" s="59"/>
      <c r="Q41" s="60"/>
      <c r="R41">
        <v>7</v>
      </c>
      <c r="S41">
        <v>81</v>
      </c>
    </row>
    <row r="42" spans="1:19">
      <c r="A42" t="s">
        <v>330</v>
      </c>
      <c r="B42">
        <v>10.5</v>
      </c>
      <c r="C42" t="s">
        <v>317</v>
      </c>
      <c r="D42" t="s">
        <v>318</v>
      </c>
      <c r="E42" t="s">
        <v>317</v>
      </c>
      <c r="F42" t="s">
        <v>319</v>
      </c>
      <c r="G42" t="s">
        <v>320</v>
      </c>
      <c r="H42" t="s">
        <v>321</v>
      </c>
      <c r="I42" t="s">
        <v>322</v>
      </c>
      <c r="J42" t="s">
        <v>323</v>
      </c>
      <c r="K42" t="s">
        <v>324</v>
      </c>
      <c r="L42">
        <v>89</v>
      </c>
      <c r="M42" s="60">
        <f t="shared" si="0"/>
        <v>1.0352941176470589</v>
      </c>
      <c r="N42" t="s">
        <v>333</v>
      </c>
      <c r="O42">
        <v>90</v>
      </c>
      <c r="P42">
        <v>90</v>
      </c>
      <c r="Q42" s="60">
        <f>O42*P42/(O$39*P$39)</f>
        <v>1.0459710743801653</v>
      </c>
      <c r="R42">
        <v>92</v>
      </c>
      <c r="S42">
        <v>89</v>
      </c>
    </row>
    <row r="43" spans="1:19">
      <c r="A43" t="s">
        <v>235</v>
      </c>
      <c r="B43" t="s">
        <v>236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0">
        <f t="shared" si="0"/>
        <v>0</v>
      </c>
      <c r="N43" s="61" t="s">
        <v>337</v>
      </c>
      <c r="Q43" s="60">
        <f>O43*P43/(O$39*P$39)</f>
        <v>0</v>
      </c>
    </row>
    <row r="44" spans="1:19">
      <c r="B44" t="s">
        <v>366</v>
      </c>
      <c r="L44">
        <v>69</v>
      </c>
      <c r="M44" s="60">
        <f t="shared" si="0"/>
        <v>5.4725710508922672E-2</v>
      </c>
      <c r="N44" t="s">
        <v>338</v>
      </c>
      <c r="Q44" s="60">
        <f>O44*P44/(O$39*P$39)</f>
        <v>0</v>
      </c>
    </row>
    <row r="45" spans="1:19" ht="60">
      <c r="A45" s="1"/>
      <c r="B45" s="1" t="s">
        <v>334</v>
      </c>
      <c r="C45" s="1" t="s">
        <v>335</v>
      </c>
      <c r="D45" s="1" t="s">
        <v>336</v>
      </c>
      <c r="E45" s="1"/>
      <c r="F45" s="67" t="s">
        <v>365</v>
      </c>
      <c r="G45" s="1"/>
      <c r="H45" s="1"/>
      <c r="I45" s="1"/>
      <c r="J45" s="7" t="s">
        <v>368</v>
      </c>
      <c r="K45" s="7"/>
      <c r="L45">
        <v>81</v>
      </c>
      <c r="M45" s="60">
        <f t="shared" si="0"/>
        <v>0.24626569729015202</v>
      </c>
    </row>
    <row r="46" spans="1:19">
      <c r="A46" t="s">
        <v>332</v>
      </c>
      <c r="B46">
        <v>88.1</v>
      </c>
      <c r="C46">
        <v>88</v>
      </c>
      <c r="D46">
        <f t="shared" ref="D46:D51" si="1">B46*C46/(B$46*C$46)</f>
        <v>1</v>
      </c>
      <c r="F46" t="s">
        <v>332</v>
      </c>
      <c r="G46">
        <v>88</v>
      </c>
      <c r="H46">
        <v>88</v>
      </c>
      <c r="I46">
        <f>G46*H46/(G$46*H$46)</f>
        <v>1</v>
      </c>
      <c r="J46" t="s">
        <v>332</v>
      </c>
      <c r="K46">
        <v>85</v>
      </c>
      <c r="L46">
        <v>51</v>
      </c>
      <c r="M46" s="60">
        <f t="shared" si="0"/>
        <v>3.3707865168539325E-2</v>
      </c>
    </row>
    <row r="47" spans="1:19">
      <c r="A47" t="s">
        <v>161</v>
      </c>
      <c r="B47">
        <v>35.9</v>
      </c>
      <c r="C47">
        <v>57.1</v>
      </c>
      <c r="D47" s="60">
        <f t="shared" si="1"/>
        <v>0.26440640800742959</v>
      </c>
      <c r="F47" t="s">
        <v>161</v>
      </c>
      <c r="G47">
        <v>22</v>
      </c>
      <c r="H47">
        <v>68.900000000000006</v>
      </c>
      <c r="I47" s="60">
        <f>G47*H47/(G$46*H$46)</f>
        <v>0.19573863636363639</v>
      </c>
      <c r="J47" t="s">
        <v>161</v>
      </c>
      <c r="K47">
        <v>20</v>
      </c>
    </row>
    <row r="48" spans="1:19">
      <c r="A48" s="59" t="s">
        <v>339</v>
      </c>
      <c r="B48" s="58">
        <v>20.8</v>
      </c>
      <c r="C48" s="58">
        <v>80.3</v>
      </c>
      <c r="D48" s="66">
        <f t="shared" si="1"/>
        <v>0.21543700340522137</v>
      </c>
      <c r="F48" s="59" t="s">
        <v>339</v>
      </c>
      <c r="J48" s="59" t="s">
        <v>50</v>
      </c>
      <c r="K48">
        <v>7</v>
      </c>
    </row>
    <row r="49" spans="1:11">
      <c r="A49" t="s">
        <v>333</v>
      </c>
      <c r="B49">
        <v>84.7</v>
      </c>
      <c r="C49">
        <v>93</v>
      </c>
      <c r="D49" s="60">
        <f t="shared" si="1"/>
        <v>1.0160329171396143</v>
      </c>
      <c r="F49" t="s">
        <v>333</v>
      </c>
      <c r="G49">
        <v>92</v>
      </c>
      <c r="H49">
        <v>89</v>
      </c>
      <c r="I49" s="60">
        <f>G49*H49/(G$46*H$46)</f>
        <v>1.0573347107438016</v>
      </c>
      <c r="J49" t="s">
        <v>333</v>
      </c>
      <c r="K49">
        <v>88</v>
      </c>
    </row>
    <row r="50" spans="1:11">
      <c r="A50" s="61" t="s">
        <v>337</v>
      </c>
      <c r="D50" s="60">
        <f t="shared" si="1"/>
        <v>0</v>
      </c>
      <c r="F50" s="61" t="s">
        <v>337</v>
      </c>
      <c r="G50">
        <v>90</v>
      </c>
      <c r="H50">
        <v>33</v>
      </c>
      <c r="I50" s="60">
        <f>G50*H50/(G$46*H$46)</f>
        <v>0.38352272727272729</v>
      </c>
      <c r="J50" s="61" t="s">
        <v>337</v>
      </c>
    </row>
    <row r="51" spans="1:11">
      <c r="A51" t="s">
        <v>338</v>
      </c>
      <c r="B51">
        <v>65.5</v>
      </c>
      <c r="C51">
        <v>24.7</v>
      </c>
      <c r="D51" s="60">
        <f t="shared" si="1"/>
        <v>0.20867944484573317</v>
      </c>
      <c r="F51" t="s">
        <v>338</v>
      </c>
      <c r="I51" s="60">
        <f>G51*H51/(G$46*H$46)</f>
        <v>0</v>
      </c>
      <c r="J51" t="s">
        <v>338</v>
      </c>
      <c r="K51">
        <v>6</v>
      </c>
    </row>
    <row r="52" spans="1:11">
      <c r="J52" t="s">
        <v>369</v>
      </c>
      <c r="K52">
        <v>23</v>
      </c>
    </row>
    <row r="53" spans="1:11">
      <c r="J53" t="s">
        <v>370</v>
      </c>
      <c r="K53">
        <v>5</v>
      </c>
    </row>
    <row r="54" spans="1:11">
      <c r="J54" t="s">
        <v>367</v>
      </c>
    </row>
    <row r="60" spans="1:11">
      <c r="A60" s="62" t="s">
        <v>340</v>
      </c>
      <c r="B60" s="62" t="s">
        <v>341</v>
      </c>
      <c r="C60" s="62" t="s">
        <v>342</v>
      </c>
      <c r="D60" s="62" t="s">
        <v>343</v>
      </c>
    </row>
    <row r="61" spans="1:11">
      <c r="A61" s="63" t="s">
        <v>344</v>
      </c>
      <c r="B61" s="63">
        <v>91</v>
      </c>
      <c r="C61" s="63">
        <v>75</v>
      </c>
      <c r="D61" s="63">
        <v>85</v>
      </c>
    </row>
    <row r="62" spans="1:11">
      <c r="A62" s="63" t="s">
        <v>345</v>
      </c>
      <c r="B62" s="64">
        <v>90</v>
      </c>
      <c r="C62" s="64">
        <v>84</v>
      </c>
      <c r="D62" s="64">
        <v>95</v>
      </c>
    </row>
    <row r="63" spans="1:11">
      <c r="A63" s="63" t="s">
        <v>346</v>
      </c>
      <c r="B63" s="64">
        <v>89</v>
      </c>
      <c r="C63" s="64">
        <v>77</v>
      </c>
      <c r="D63" s="64" t="s">
        <v>347</v>
      </c>
    </row>
    <row r="64" spans="1:11">
      <c r="A64" s="63" t="s">
        <v>348</v>
      </c>
      <c r="B64" s="64">
        <v>12</v>
      </c>
      <c r="C64" s="64">
        <v>83</v>
      </c>
      <c r="D64" s="64">
        <v>94</v>
      </c>
    </row>
    <row r="65" spans="1:4">
      <c r="A65" s="63" t="s">
        <v>349</v>
      </c>
      <c r="B65" s="64">
        <v>30</v>
      </c>
      <c r="C65" s="64">
        <v>72</v>
      </c>
      <c r="D65" s="64">
        <v>82</v>
      </c>
    </row>
    <row r="66" spans="1:4">
      <c r="A66" s="63" t="s">
        <v>350</v>
      </c>
      <c r="B66" s="64">
        <v>87</v>
      </c>
      <c r="C66" s="64">
        <v>79</v>
      </c>
      <c r="D66" s="64">
        <v>90</v>
      </c>
    </row>
    <row r="67" spans="1:4">
      <c r="A67" s="63" t="s">
        <v>351</v>
      </c>
      <c r="B67" s="64">
        <v>22</v>
      </c>
      <c r="C67" s="64">
        <v>72</v>
      </c>
      <c r="D67" s="64">
        <v>82</v>
      </c>
    </row>
    <row r="68" spans="1:4">
      <c r="A68" s="63" t="s">
        <v>352</v>
      </c>
      <c r="B68" s="357">
        <v>90</v>
      </c>
      <c r="C68" s="357">
        <v>87</v>
      </c>
      <c r="D68" s="357">
        <v>99</v>
      </c>
    </row>
    <row r="69" spans="1:4">
      <c r="A69" s="63" t="s">
        <v>353</v>
      </c>
      <c r="B69" s="357"/>
      <c r="C69" s="357"/>
      <c r="D69" s="357"/>
    </row>
    <row r="70" spans="1:4">
      <c r="A70" s="63" t="s">
        <v>354</v>
      </c>
      <c r="B70" s="64">
        <v>99</v>
      </c>
      <c r="C70" s="64">
        <v>195</v>
      </c>
      <c r="D70" s="64">
        <v>222</v>
      </c>
    </row>
    <row r="71" spans="1:4">
      <c r="A71" s="63" t="s">
        <v>355</v>
      </c>
      <c r="B71" s="64">
        <v>92</v>
      </c>
      <c r="C71" s="64">
        <v>73</v>
      </c>
      <c r="D71" s="64">
        <v>83</v>
      </c>
    </row>
    <row r="72" spans="1:4">
      <c r="A72" s="63" t="s">
        <v>356</v>
      </c>
      <c r="B72" s="64">
        <v>93</v>
      </c>
      <c r="C72" s="64">
        <v>40</v>
      </c>
      <c r="D72" s="64">
        <v>45</v>
      </c>
    </row>
    <row r="73" spans="1:4">
      <c r="A73" s="63" t="s">
        <v>357</v>
      </c>
      <c r="B73" s="64">
        <v>89</v>
      </c>
      <c r="C73" s="64">
        <v>86</v>
      </c>
      <c r="D73" s="64">
        <v>98</v>
      </c>
    </row>
    <row r="74" spans="1:4">
      <c r="A74" s="63" t="s">
        <v>358</v>
      </c>
      <c r="B74" s="64">
        <v>21</v>
      </c>
      <c r="C74" s="64">
        <v>80</v>
      </c>
      <c r="D74" s="64">
        <v>91</v>
      </c>
    </row>
    <row r="75" spans="1:4">
      <c r="A75" s="63" t="s">
        <v>359</v>
      </c>
      <c r="B75" s="64">
        <v>14</v>
      </c>
      <c r="C75" s="64">
        <v>78</v>
      </c>
      <c r="D75" s="64">
        <v>89</v>
      </c>
    </row>
    <row r="76" spans="1:4">
      <c r="A76" s="63" t="s">
        <v>360</v>
      </c>
      <c r="B76" s="64">
        <v>90</v>
      </c>
      <c r="C76" s="64">
        <v>75</v>
      </c>
      <c r="D76" s="64" t="s">
        <v>361</v>
      </c>
    </row>
    <row r="77" spans="1:4">
      <c r="A77" s="63" t="s">
        <v>362</v>
      </c>
      <c r="B77" s="64">
        <v>10</v>
      </c>
      <c r="C77" s="64">
        <v>75</v>
      </c>
      <c r="D77" s="64">
        <v>85</v>
      </c>
    </row>
    <row r="78" spans="1:4">
      <c r="A78" s="63" t="s">
        <v>363</v>
      </c>
      <c r="B78" s="64">
        <v>90</v>
      </c>
      <c r="C78" s="64">
        <v>70</v>
      </c>
      <c r="D78" s="64">
        <v>80</v>
      </c>
    </row>
    <row r="79" spans="1:4">
      <c r="A79" s="63" t="s">
        <v>364</v>
      </c>
      <c r="B79" s="64">
        <v>89</v>
      </c>
      <c r="C79" s="64">
        <v>84</v>
      </c>
      <c r="D79" s="64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876</v>
      </c>
    </row>
    <row r="2" spans="1:14">
      <c r="A2" t="s">
        <v>141</v>
      </c>
    </row>
    <row r="3" spans="1:14" s="58" customFormat="1">
      <c r="A3" s="58" t="s">
        <v>104</v>
      </c>
      <c r="B3" s="58" t="s">
        <v>799</v>
      </c>
      <c r="C3" s="58" t="s">
        <v>925</v>
      </c>
      <c r="D3" s="58" t="s">
        <v>55</v>
      </c>
      <c r="E3" s="58" t="s">
        <v>925</v>
      </c>
      <c r="F3" s="58" t="s">
        <v>142</v>
      </c>
      <c r="G3" s="58" t="s">
        <v>926</v>
      </c>
      <c r="H3" s="58" t="s">
        <v>927</v>
      </c>
      <c r="I3" s="58" t="s">
        <v>926</v>
      </c>
      <c r="J3" s="58" t="s">
        <v>143</v>
      </c>
      <c r="K3" s="58" t="s">
        <v>928</v>
      </c>
      <c r="L3" s="58" t="s">
        <v>930</v>
      </c>
    </row>
    <row r="4" spans="1:14">
      <c r="A4" t="s">
        <v>140</v>
      </c>
      <c r="B4">
        <v>98</v>
      </c>
      <c r="C4" s="52">
        <f t="shared" ref="C4:C9" si="0">B4/J4</f>
        <v>0.72862453531598514</v>
      </c>
      <c r="D4">
        <v>0</v>
      </c>
      <c r="E4" s="52">
        <f t="shared" ref="E4:E9" si="1">D4/J4</f>
        <v>0</v>
      </c>
      <c r="F4">
        <v>7.6</v>
      </c>
      <c r="G4" s="297">
        <f>F4/J4</f>
        <v>5.6505576208178435E-2</v>
      </c>
      <c r="H4">
        <v>0</v>
      </c>
      <c r="I4" s="52">
        <f t="shared" ref="I4:I9" si="2">H4/J4</f>
        <v>0</v>
      </c>
      <c r="J4">
        <v>134.5</v>
      </c>
      <c r="K4">
        <f t="shared" ref="K4:K9" si="3">J4-B4-D4-F4-H4</f>
        <v>28.9</v>
      </c>
      <c r="L4" s="52">
        <f t="shared" ref="L4:L9" si="4">K4/J4</f>
        <v>0.21486988847583641</v>
      </c>
      <c r="M4" t="s">
        <v>933</v>
      </c>
    </row>
    <row r="5" spans="1:14">
      <c r="A5" t="s">
        <v>874</v>
      </c>
      <c r="B5">
        <v>12</v>
      </c>
      <c r="C5" s="52">
        <f t="shared" si="0"/>
        <v>0.12</v>
      </c>
      <c r="D5">
        <v>0</v>
      </c>
      <c r="E5" s="52">
        <f t="shared" si="1"/>
        <v>0</v>
      </c>
      <c r="F5">
        <v>0.5</v>
      </c>
      <c r="G5" s="297">
        <f>F5/J5</f>
        <v>5.0000000000000001E-3</v>
      </c>
      <c r="H5">
        <v>55</v>
      </c>
      <c r="I5" s="52">
        <f t="shared" si="2"/>
        <v>0.55000000000000004</v>
      </c>
      <c r="J5">
        <v>100</v>
      </c>
      <c r="K5">
        <f t="shared" si="3"/>
        <v>32.5</v>
      </c>
      <c r="L5" s="52">
        <f t="shared" si="4"/>
        <v>0.32500000000000001</v>
      </c>
      <c r="M5" t="s">
        <v>933</v>
      </c>
      <c r="N5" t="s">
        <v>939</v>
      </c>
    </row>
    <row r="6" spans="1:14">
      <c r="A6" t="s">
        <v>139</v>
      </c>
      <c r="B6">
        <v>113</v>
      </c>
      <c r="C6" s="52">
        <f t="shared" si="0"/>
        <v>0.30958904109589042</v>
      </c>
      <c r="D6">
        <v>5.0999999999999996</v>
      </c>
      <c r="E6" s="52">
        <f t="shared" si="1"/>
        <v>1.3972602739726026E-2</v>
      </c>
      <c r="F6">
        <v>21.5</v>
      </c>
      <c r="G6" s="297">
        <f>F6/J6</f>
        <v>5.8904109589041097E-2</v>
      </c>
      <c r="H6">
        <v>332</v>
      </c>
      <c r="I6" s="52">
        <f t="shared" si="2"/>
        <v>0.90958904109589045</v>
      </c>
      <c r="J6">
        <v>365</v>
      </c>
      <c r="K6">
        <f t="shared" si="3"/>
        <v>-106.6</v>
      </c>
      <c r="L6" s="52">
        <f t="shared" si="4"/>
        <v>-0.29205479452054794</v>
      </c>
      <c r="M6" t="s">
        <v>933</v>
      </c>
    </row>
    <row r="7" spans="1:14">
      <c r="A7" t="s">
        <v>932</v>
      </c>
      <c r="B7">
        <v>112.5</v>
      </c>
      <c r="C7" s="52">
        <f t="shared" si="0"/>
        <v>0.59210526315789469</v>
      </c>
      <c r="E7" s="52">
        <f t="shared" si="1"/>
        <v>0</v>
      </c>
      <c r="F7">
        <v>0.24</v>
      </c>
      <c r="G7" s="297">
        <f>H7/J7</f>
        <v>0.35894736842105263</v>
      </c>
      <c r="H7">
        <v>68.2</v>
      </c>
      <c r="I7" s="52">
        <f t="shared" si="2"/>
        <v>0.35894736842105263</v>
      </c>
      <c r="J7">
        <v>190</v>
      </c>
      <c r="K7">
        <f t="shared" si="3"/>
        <v>9.0600000000000023</v>
      </c>
      <c r="L7" s="52">
        <f t="shared" si="4"/>
        <v>4.7684210526315801E-2</v>
      </c>
      <c r="M7" t="s">
        <v>934</v>
      </c>
      <c r="N7" t="s">
        <v>949</v>
      </c>
    </row>
    <row r="8" spans="1:14">
      <c r="A8" t="s">
        <v>929</v>
      </c>
      <c r="B8">
        <v>191</v>
      </c>
      <c r="C8" s="52">
        <f t="shared" si="0"/>
        <v>0.74901960784313726</v>
      </c>
      <c r="D8">
        <v>64</v>
      </c>
      <c r="E8" s="52">
        <f t="shared" si="1"/>
        <v>0.25098039215686274</v>
      </c>
      <c r="F8">
        <v>0</v>
      </c>
      <c r="G8" s="297">
        <f>F8/J8</f>
        <v>0</v>
      </c>
      <c r="H8">
        <v>0</v>
      </c>
      <c r="I8" s="52">
        <f t="shared" si="2"/>
        <v>0</v>
      </c>
      <c r="J8">
        <v>255</v>
      </c>
      <c r="K8">
        <f t="shared" si="3"/>
        <v>0</v>
      </c>
      <c r="L8" s="52">
        <f t="shared" si="4"/>
        <v>0</v>
      </c>
      <c r="M8" t="s">
        <v>933</v>
      </c>
    </row>
    <row r="9" spans="1:14">
      <c r="A9" t="s">
        <v>931</v>
      </c>
      <c r="B9">
        <v>57</v>
      </c>
      <c r="C9" s="52">
        <f t="shared" si="0"/>
        <v>0.36075949367088606</v>
      </c>
      <c r="E9" s="52">
        <f t="shared" si="1"/>
        <v>0</v>
      </c>
      <c r="F9">
        <v>0</v>
      </c>
      <c r="G9" s="297">
        <f>F9/J9</f>
        <v>0</v>
      </c>
      <c r="I9" s="52">
        <f t="shared" si="2"/>
        <v>0</v>
      </c>
      <c r="J9">
        <v>158</v>
      </c>
      <c r="K9">
        <f t="shared" si="3"/>
        <v>101</v>
      </c>
      <c r="L9" s="52">
        <f t="shared" si="4"/>
        <v>0.63924050632911389</v>
      </c>
      <c r="M9" t="s">
        <v>933</v>
      </c>
    </row>
    <row r="10" spans="1:14" s="58" customFormat="1">
      <c r="A10" s="58" t="s">
        <v>105</v>
      </c>
    </row>
    <row r="11" spans="1:14">
      <c r="A11" t="s">
        <v>872</v>
      </c>
      <c r="B11">
        <v>97</v>
      </c>
      <c r="C11" s="52">
        <f>B11/J11</f>
        <v>0.72118959107806691</v>
      </c>
      <c r="D11">
        <v>1</v>
      </c>
      <c r="E11" s="52">
        <f>D11/J11</f>
        <v>7.4349442379182153E-3</v>
      </c>
      <c r="F11">
        <v>7.6</v>
      </c>
      <c r="G11" s="297">
        <f>F11/J11</f>
        <v>5.6505576208178435E-2</v>
      </c>
      <c r="J11">
        <v>134.5</v>
      </c>
      <c r="K11">
        <f>J11-B11-D11-F11-H11</f>
        <v>28.9</v>
      </c>
      <c r="M11" t="s">
        <v>935</v>
      </c>
    </row>
    <row r="12" spans="1:14">
      <c r="A12" t="s">
        <v>936</v>
      </c>
      <c r="B12">
        <v>42</v>
      </c>
      <c r="C12" s="52">
        <f>B12/J12</f>
        <v>0.37168141592920356</v>
      </c>
      <c r="D12">
        <v>11.3</v>
      </c>
      <c r="E12" s="52">
        <f>D12/J12</f>
        <v>0.1</v>
      </c>
      <c r="F12">
        <v>1.8</v>
      </c>
      <c r="G12" s="297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940</v>
      </c>
    </row>
    <row r="13" spans="1:14">
      <c r="A13" t="s">
        <v>937</v>
      </c>
      <c r="B13">
        <v>68</v>
      </c>
      <c r="C13" s="52">
        <f>B13/J13</f>
        <v>0.52307692307692311</v>
      </c>
      <c r="D13">
        <v>18</v>
      </c>
      <c r="E13" s="52">
        <f>D13/J13</f>
        <v>0.13846153846153847</v>
      </c>
      <c r="F13">
        <v>12.3</v>
      </c>
      <c r="G13" s="297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938</v>
      </c>
      <c r="C14" s="52">
        <f>B14/J14</f>
        <v>0</v>
      </c>
      <c r="D14">
        <f>2.8+31.8</f>
        <v>34.6</v>
      </c>
      <c r="E14" s="52">
        <f>D14/J14</f>
        <v>0.18210526315789474</v>
      </c>
      <c r="F14">
        <v>16.5</v>
      </c>
      <c r="G14" s="297">
        <f>H14/J14</f>
        <v>0</v>
      </c>
      <c r="J14">
        <v>190</v>
      </c>
      <c r="K14">
        <f>J14-B14-D14-F14-H14</f>
        <v>138.9</v>
      </c>
      <c r="N14" t="s">
        <v>950</v>
      </c>
    </row>
    <row r="15" spans="1:14" s="58" customFormat="1">
      <c r="A15" s="58" t="s">
        <v>846</v>
      </c>
    </row>
    <row r="16" spans="1:14" s="6" customFormat="1"/>
    <row r="17" spans="1:14" s="6" customFormat="1">
      <c r="A17" s="6" t="s">
        <v>941</v>
      </c>
      <c r="N17" s="6" t="s">
        <v>942</v>
      </c>
    </row>
    <row r="18" spans="1:14">
      <c r="A18" t="s">
        <v>755</v>
      </c>
      <c r="N18" t="s">
        <v>943</v>
      </c>
    </row>
    <row r="19" spans="1:14">
      <c r="A19" t="s">
        <v>944</v>
      </c>
      <c r="N19" t="s">
        <v>945</v>
      </c>
    </row>
    <row r="20" spans="1:14" ht="34" customHeight="1">
      <c r="N20" t="s">
        <v>946</v>
      </c>
    </row>
    <row r="21" spans="1:14">
      <c r="A21" t="s">
        <v>948</v>
      </c>
      <c r="N21" t="s">
        <v>947</v>
      </c>
    </row>
    <row r="23" spans="1:14">
      <c r="A23" t="s">
        <v>920</v>
      </c>
    </row>
    <row r="24" spans="1:14">
      <c r="B24" t="s">
        <v>435</v>
      </c>
    </row>
    <row r="25" spans="1:14">
      <c r="A25" t="s">
        <v>918</v>
      </c>
      <c r="B25" t="s">
        <v>55</v>
      </c>
      <c r="C25" t="s">
        <v>54</v>
      </c>
      <c r="D25" t="s">
        <v>914</v>
      </c>
      <c r="E25" t="s">
        <v>919</v>
      </c>
    </row>
    <row r="26" spans="1:14">
      <c r="A26" t="s">
        <v>915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916</v>
      </c>
      <c r="B27">
        <v>11.9</v>
      </c>
      <c r="C27">
        <v>0.252</v>
      </c>
      <c r="D27">
        <v>1.3</v>
      </c>
    </row>
    <row r="28" spans="1:14">
      <c r="A28" t="s">
        <v>917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144</v>
      </c>
    </row>
    <row r="30" spans="1:14">
      <c r="A30" t="s">
        <v>873</v>
      </c>
      <c r="C30" t="s">
        <v>143</v>
      </c>
      <c r="D30" t="s">
        <v>873</v>
      </c>
    </row>
    <row r="31" spans="1:14">
      <c r="A31" s="52">
        <f>F4/J4</f>
        <v>5.6505576208178435E-2</v>
      </c>
      <c r="B31">
        <v>7.6</v>
      </c>
      <c r="C31">
        <v>134.5</v>
      </c>
      <c r="D31" s="52">
        <f>B31/C31</f>
        <v>5.6505576208178435E-2</v>
      </c>
      <c r="E31" t="s">
        <v>140</v>
      </c>
    </row>
    <row r="32" spans="1:14">
      <c r="A32" s="52">
        <f>F5/J5</f>
        <v>5.0000000000000001E-3</v>
      </c>
      <c r="B32">
        <v>1.8</v>
      </c>
      <c r="C32">
        <v>113</v>
      </c>
      <c r="D32" s="52">
        <f>B32/C32</f>
        <v>1.5929203539823009E-2</v>
      </c>
      <c r="E32" t="s">
        <v>145</v>
      </c>
    </row>
    <row r="33" spans="1:5">
      <c r="A33" s="52">
        <f>F6/J6</f>
        <v>5.8904109589041097E-2</v>
      </c>
      <c r="B33">
        <v>12.3</v>
      </c>
      <c r="C33">
        <v>130</v>
      </c>
      <c r="D33" s="52">
        <f>B33/C33</f>
        <v>9.4615384615384615E-2</v>
      </c>
      <c r="E33" t="s">
        <v>146</v>
      </c>
    </row>
    <row r="34" spans="1:5">
      <c r="A34" s="52">
        <f>H7/J7</f>
        <v>0.35894736842105263</v>
      </c>
      <c r="D34" s="52"/>
    </row>
    <row r="35" spans="1:5">
      <c r="A35" s="52">
        <f>F9/J9</f>
        <v>0</v>
      </c>
    </row>
    <row r="36" spans="1:5">
      <c r="A36" s="58" t="s">
        <v>877</v>
      </c>
      <c r="B36" s="6"/>
      <c r="C36" s="6"/>
      <c r="D36" s="58" t="s">
        <v>875</v>
      </c>
      <c r="E36" s="58" t="s">
        <v>876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5" sqref="A24:D25"/>
    </sheetView>
  </sheetViews>
  <sheetFormatPr baseColWidth="10" defaultColWidth="8.83203125" defaultRowHeight="15" x14ac:dyDescent="0"/>
  <cols>
    <col min="1" max="1" width="17.83203125" customWidth="1"/>
    <col min="2" max="2" width="9.1640625" customWidth="1"/>
  </cols>
  <sheetData>
    <row r="1" spans="1:7">
      <c r="A1" t="s">
        <v>1156</v>
      </c>
      <c r="B1" s="358" t="s">
        <v>1169</v>
      </c>
      <c r="C1" s="358"/>
      <c r="D1" s="358"/>
      <c r="E1" s="358" t="s">
        <v>1170</v>
      </c>
      <c r="F1" s="358"/>
      <c r="G1" s="358"/>
    </row>
    <row r="2" spans="1:7">
      <c r="A2" s="58" t="s">
        <v>54</v>
      </c>
      <c r="B2" t="s">
        <v>1158</v>
      </c>
      <c r="C2" t="s">
        <v>1157</v>
      </c>
      <c r="D2" t="s">
        <v>1164</v>
      </c>
      <c r="E2" t="s">
        <v>1163</v>
      </c>
      <c r="F2" t="s">
        <v>1162</v>
      </c>
      <c r="G2" t="s">
        <v>1164</v>
      </c>
    </row>
    <row r="3" spans="1:7">
      <c r="A3" t="s">
        <v>1159</v>
      </c>
      <c r="B3">
        <v>1.2E-2</v>
      </c>
      <c r="C3">
        <v>2.4E-2</v>
      </c>
      <c r="D3">
        <f>(C3+B3)/2</f>
        <v>1.8000000000000002E-2</v>
      </c>
    </row>
    <row r="4" spans="1:7">
      <c r="A4" t="s">
        <v>1160</v>
      </c>
      <c r="B4">
        <v>1.7000000000000001E-2</v>
      </c>
      <c r="C4">
        <v>5.0999999999999997E-2</v>
      </c>
      <c r="D4">
        <f t="shared" ref="D4:D5" si="0">(C4+B4)/2</f>
        <v>3.4000000000000002E-2</v>
      </c>
      <c r="E4">
        <f>B4-B3</f>
        <v>5.000000000000001E-3</v>
      </c>
      <c r="F4">
        <f>C4-C3</f>
        <v>2.6999999999999996E-2</v>
      </c>
      <c r="G4" s="60">
        <f>D4-D3</f>
        <v>1.6E-2</v>
      </c>
    </row>
    <row r="5" spans="1:7">
      <c r="A5" t="s">
        <v>1161</v>
      </c>
      <c r="B5">
        <v>1.7999999999999999E-2</v>
      </c>
      <c r="C5">
        <v>5.0999999999999997E-2</v>
      </c>
      <c r="D5">
        <f t="shared" si="0"/>
        <v>3.4499999999999996E-2</v>
      </c>
      <c r="E5">
        <f>B5-B3</f>
        <v>5.9999999999999984E-3</v>
      </c>
      <c r="F5">
        <f>C5-C3</f>
        <v>2.6999999999999996E-2</v>
      </c>
      <c r="G5" s="60">
        <f>D5-D3</f>
        <v>1.6499999999999994E-2</v>
      </c>
    </row>
    <row r="6" spans="1:7">
      <c r="A6" s="58" t="s">
        <v>1167</v>
      </c>
      <c r="D6">
        <f t="shared" ref="D6" si="1">(C6-B6)/2</f>
        <v>0</v>
      </c>
    </row>
    <row r="7" spans="1:7">
      <c r="A7" t="s">
        <v>1159</v>
      </c>
      <c r="B7">
        <v>5.0000000000000001E-3</v>
      </c>
      <c r="C7">
        <v>0.13700000000000001</v>
      </c>
      <c r="D7">
        <f>(C7+B7)/2</f>
        <v>7.1000000000000008E-2</v>
      </c>
    </row>
    <row r="8" spans="1:7">
      <c r="A8" t="s">
        <v>1160</v>
      </c>
      <c r="B8">
        <v>2.1999999999999999E-2</v>
      </c>
      <c r="C8">
        <v>0.39200000000000002</v>
      </c>
      <c r="D8">
        <f t="shared" ref="D8:D9" si="2">(C8+B8)/2</f>
        <v>0.20700000000000002</v>
      </c>
      <c r="E8">
        <f>B8-B7</f>
        <v>1.6999999999999998E-2</v>
      </c>
      <c r="F8">
        <f>C8-C7</f>
        <v>0.255</v>
      </c>
      <c r="G8" s="60">
        <f>D8-D7</f>
        <v>0.13600000000000001</v>
      </c>
    </row>
    <row r="9" spans="1:7">
      <c r="A9" t="s">
        <v>1161</v>
      </c>
      <c r="B9">
        <v>8.9999999999999993E-3</v>
      </c>
      <c r="C9">
        <v>0.19600000000000001</v>
      </c>
      <c r="D9">
        <f t="shared" si="2"/>
        <v>0.10250000000000001</v>
      </c>
      <c r="E9">
        <f>B9-B7</f>
        <v>3.9999999999999992E-3</v>
      </c>
      <c r="F9">
        <f>C9-C7</f>
        <v>5.8999999999999997E-2</v>
      </c>
      <c r="G9" s="60">
        <f>D9-D7</f>
        <v>3.15E-2</v>
      </c>
    </row>
    <row r="10" spans="1:7">
      <c r="A10" s="356" t="s">
        <v>1165</v>
      </c>
      <c r="G10" s="60"/>
    </row>
    <row r="11" spans="1:7">
      <c r="A11" t="s">
        <v>1159</v>
      </c>
      <c r="B11">
        <v>0</v>
      </c>
      <c r="C11">
        <v>6.9999999999999999E-4</v>
      </c>
      <c r="D11">
        <f>(C11+B11)/2</f>
        <v>3.5E-4</v>
      </c>
      <c r="G11" s="60"/>
    </row>
    <row r="12" spans="1:7">
      <c r="A12" t="s">
        <v>1160</v>
      </c>
      <c r="B12">
        <v>7.3999999999999996E-2</v>
      </c>
      <c r="C12">
        <v>7.5999999999999998E-2</v>
      </c>
      <c r="D12">
        <f t="shared" ref="D12:D13" si="3">(C12+B12)/2</f>
        <v>7.4999999999999997E-2</v>
      </c>
      <c r="E12">
        <f>B12-B11</f>
        <v>7.3999999999999996E-2</v>
      </c>
      <c r="F12">
        <f>C12-C11</f>
        <v>7.5299999999999992E-2</v>
      </c>
      <c r="G12" s="60">
        <f>D12-D11</f>
        <v>7.4649999999999994E-2</v>
      </c>
    </row>
    <row r="13" spans="1:7">
      <c r="A13" t="s">
        <v>1161</v>
      </c>
      <c r="B13">
        <v>1.6E-2</v>
      </c>
      <c r="C13">
        <v>1.6E-2</v>
      </c>
      <c r="D13">
        <f t="shared" si="3"/>
        <v>1.6E-2</v>
      </c>
      <c r="E13">
        <f>B13-B11</f>
        <v>1.6E-2</v>
      </c>
      <c r="F13">
        <f>C13-C11</f>
        <v>1.5300000000000001E-2</v>
      </c>
      <c r="G13" s="60">
        <f>D13-D11</f>
        <v>1.5650000000000001E-2</v>
      </c>
    </row>
    <row r="14" spans="1:7">
      <c r="A14" s="356" t="s">
        <v>1168</v>
      </c>
    </row>
    <row r="15" spans="1:7">
      <c r="A15" t="s">
        <v>1159</v>
      </c>
      <c r="B15">
        <v>0.06</v>
      </c>
      <c r="C15">
        <v>0.38700000000000001</v>
      </c>
      <c r="D15">
        <f>(C15+B15)/2</f>
        <v>0.2235</v>
      </c>
    </row>
    <row r="16" spans="1:7">
      <c r="A16" t="s">
        <v>1160</v>
      </c>
      <c r="B16">
        <v>0.17199999999999999</v>
      </c>
      <c r="C16">
        <v>0.61699999999999999</v>
      </c>
      <c r="D16">
        <f t="shared" ref="D16:D17" si="4">(C16+B16)/2</f>
        <v>0.39449999999999996</v>
      </c>
      <c r="E16">
        <f>B16-B15</f>
        <v>0.11199999999999999</v>
      </c>
      <c r="F16">
        <f>C16-C15</f>
        <v>0.22999999999999998</v>
      </c>
      <c r="G16" s="60">
        <f>D16-D15</f>
        <v>0.17099999999999996</v>
      </c>
    </row>
    <row r="17" spans="1:7">
      <c r="A17" t="s">
        <v>1161</v>
      </c>
      <c r="B17">
        <v>0.127</v>
      </c>
      <c r="C17">
        <v>0.58799999999999997</v>
      </c>
      <c r="D17">
        <f t="shared" si="4"/>
        <v>0.35749999999999998</v>
      </c>
      <c r="E17">
        <f>B17-B15</f>
        <v>6.7000000000000004E-2</v>
      </c>
      <c r="F17">
        <f>C17-C15</f>
        <v>0.20099999999999996</v>
      </c>
      <c r="G17" s="60">
        <f>D17-D15</f>
        <v>0.13399999999999998</v>
      </c>
    </row>
    <row r="18" spans="1:7">
      <c r="A18" s="58" t="s">
        <v>1166</v>
      </c>
    </row>
    <row r="19" spans="1:7">
      <c r="A19" t="s">
        <v>1159</v>
      </c>
      <c r="B19">
        <f>B11+B15</f>
        <v>0.06</v>
      </c>
      <c r="C19">
        <f t="shared" ref="C19:D19" si="5">C11+C15</f>
        <v>0.38769999999999999</v>
      </c>
      <c r="D19">
        <f t="shared" si="5"/>
        <v>0.22384999999999999</v>
      </c>
    </row>
    <row r="20" spans="1:7">
      <c r="A20" t="s">
        <v>1160</v>
      </c>
      <c r="B20">
        <f t="shared" ref="B20:D21" si="6">B12+B16</f>
        <v>0.246</v>
      </c>
      <c r="C20">
        <f t="shared" si="6"/>
        <v>0.69299999999999995</v>
      </c>
      <c r="D20">
        <f t="shared" si="6"/>
        <v>0.46949999999999997</v>
      </c>
      <c r="E20">
        <f>B20-B19</f>
        <v>0.186</v>
      </c>
      <c r="F20">
        <f>C20-C19</f>
        <v>0.30529999999999996</v>
      </c>
      <c r="G20">
        <f>D20-D19</f>
        <v>0.24564999999999998</v>
      </c>
    </row>
    <row r="21" spans="1:7">
      <c r="A21" t="s">
        <v>1161</v>
      </c>
      <c r="B21">
        <f t="shared" si="6"/>
        <v>0.14300000000000002</v>
      </c>
      <c r="C21">
        <f t="shared" si="6"/>
        <v>0.60399999999999998</v>
      </c>
      <c r="D21">
        <f t="shared" si="6"/>
        <v>0.3735</v>
      </c>
      <c r="E21">
        <f>B21-B19</f>
        <v>8.3000000000000018E-2</v>
      </c>
      <c r="F21">
        <f>C21-C19</f>
        <v>0.21629999999999999</v>
      </c>
      <c r="G21">
        <f>D21-D19</f>
        <v>0.14965000000000001</v>
      </c>
    </row>
    <row r="22" spans="1:7">
      <c r="A22" s="58" t="s">
        <v>1171</v>
      </c>
    </row>
    <row r="23" spans="1:7">
      <c r="A23" t="s">
        <v>1159</v>
      </c>
      <c r="B23">
        <f>B19+B7</f>
        <v>6.5000000000000002E-2</v>
      </c>
      <c r="C23">
        <f t="shared" ref="C23:D23" si="7">C19+C7</f>
        <v>0.52469999999999994</v>
      </c>
      <c r="D23">
        <f t="shared" si="7"/>
        <v>0.29485</v>
      </c>
    </row>
    <row r="24" spans="1:7">
      <c r="A24" t="s">
        <v>1160</v>
      </c>
      <c r="B24">
        <f t="shared" ref="B24:D25" si="8">B20+B8</f>
        <v>0.26800000000000002</v>
      </c>
      <c r="C24">
        <v>1</v>
      </c>
      <c r="D24">
        <f t="shared" si="8"/>
        <v>0.67649999999999999</v>
      </c>
      <c r="E24">
        <f>B24-B23</f>
        <v>0.20300000000000001</v>
      </c>
      <c r="F24">
        <f>C24-C23</f>
        <v>0.47530000000000006</v>
      </c>
      <c r="G24">
        <f>D24-D23</f>
        <v>0.38164999999999999</v>
      </c>
    </row>
    <row r="25" spans="1:7">
      <c r="A25" t="s">
        <v>1161</v>
      </c>
      <c r="B25">
        <f t="shared" si="8"/>
        <v>0.15200000000000002</v>
      </c>
      <c r="C25">
        <f t="shared" si="8"/>
        <v>0.8</v>
      </c>
      <c r="D25">
        <f t="shared" si="8"/>
        <v>0.47599999999999998</v>
      </c>
      <c r="E25">
        <f>B25-B23</f>
        <v>8.7000000000000022E-2</v>
      </c>
      <c r="F25">
        <f>C25-C23</f>
        <v>0.2753000000000001</v>
      </c>
      <c r="G25">
        <f>D25-D23</f>
        <v>0.18114999999999998</v>
      </c>
    </row>
    <row r="27" spans="1:7">
      <c r="A27" s="58" t="s">
        <v>914</v>
      </c>
    </row>
    <row r="28" spans="1:7">
      <c r="A28" t="s">
        <v>1159</v>
      </c>
      <c r="B28">
        <v>0</v>
      </c>
      <c r="C28">
        <v>0</v>
      </c>
      <c r="D28">
        <v>0</v>
      </c>
      <c r="E28">
        <v>0</v>
      </c>
    </row>
    <row r="29" spans="1:7">
      <c r="A29" t="s">
        <v>1160</v>
      </c>
      <c r="E29">
        <v>1.6E-2</v>
      </c>
    </row>
    <row r="30" spans="1:7">
      <c r="A30" t="s">
        <v>1161</v>
      </c>
      <c r="E30">
        <v>7.4999999999999997E-2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topLeftCell="A45" workbookViewId="0">
      <selection activeCell="F45" sqref="F45"/>
    </sheetView>
  </sheetViews>
  <sheetFormatPr baseColWidth="10" defaultRowHeight="15" x14ac:dyDescent="0"/>
  <cols>
    <col min="2" max="2" width="43.6640625" customWidth="1"/>
    <col min="3" max="3" width="22.1640625" customWidth="1"/>
    <col min="4" max="4" width="28.83203125" customWidth="1"/>
    <col min="5" max="5" width="6.5" customWidth="1"/>
    <col min="9" max="9" width="22.83203125" customWidth="1"/>
    <col min="10" max="10" width="76.1640625" customWidth="1"/>
  </cols>
  <sheetData>
    <row r="1" spans="1:16" s="58" customFormat="1">
      <c r="B1" s="58" t="s">
        <v>635</v>
      </c>
      <c r="C1" s="58" t="s">
        <v>14</v>
      </c>
      <c r="D1" s="58" t="s">
        <v>765</v>
      </c>
      <c r="E1" s="58" t="s">
        <v>777</v>
      </c>
      <c r="F1" s="58" t="s">
        <v>733</v>
      </c>
      <c r="G1" s="58" t="s">
        <v>1052</v>
      </c>
      <c r="H1" s="58" t="s">
        <v>1053</v>
      </c>
      <c r="I1" s="58" t="s">
        <v>2</v>
      </c>
      <c r="J1" s="58" t="s">
        <v>732</v>
      </c>
      <c r="P1" s="58">
        <v>0.453592</v>
      </c>
    </row>
    <row r="2" spans="1:16" s="58" customFormat="1">
      <c r="B2" s="58" t="s">
        <v>744</v>
      </c>
      <c r="D2"/>
      <c r="E2" t="s">
        <v>791</v>
      </c>
      <c r="G2"/>
      <c r="H2"/>
      <c r="L2" s="58" t="s">
        <v>136</v>
      </c>
      <c r="M2" s="58" t="s">
        <v>803</v>
      </c>
      <c r="O2"/>
      <c r="P2" s="58" t="s">
        <v>806</v>
      </c>
    </row>
    <row r="3" spans="1:16" s="6" customFormat="1">
      <c r="A3" s="6" t="s">
        <v>893</v>
      </c>
      <c r="B3" s="6" t="s">
        <v>1172</v>
      </c>
      <c r="C3" s="6" t="s">
        <v>1182</v>
      </c>
      <c r="D3" t="s">
        <v>1187</v>
      </c>
      <c r="E3" t="s">
        <v>1177</v>
      </c>
      <c r="F3">
        <f>N2O!D3</f>
        <v>1.8000000000000002E-2</v>
      </c>
      <c r="G3" s="6">
        <f>N2O!B3</f>
        <v>1.2E-2</v>
      </c>
      <c r="H3" s="6">
        <f>N2O!C3</f>
        <v>2.4E-2</v>
      </c>
    </row>
    <row r="4" spans="1:16" s="6" customFormat="1">
      <c r="A4" s="6" t="s">
        <v>893</v>
      </c>
      <c r="B4" s="6" t="s">
        <v>1173</v>
      </c>
      <c r="C4" s="6" t="s">
        <v>1183</v>
      </c>
      <c r="D4" t="s">
        <v>1175</v>
      </c>
      <c r="E4" t="s">
        <v>1177</v>
      </c>
      <c r="F4">
        <v>0</v>
      </c>
      <c r="G4" s="6">
        <v>0</v>
      </c>
      <c r="H4" s="6">
        <v>0</v>
      </c>
    </row>
    <row r="5" spans="1:16" s="6" customFormat="1">
      <c r="A5" s="6" t="s">
        <v>893</v>
      </c>
      <c r="B5" s="6" t="s">
        <v>1174</v>
      </c>
      <c r="C5" s="6" t="s">
        <v>1184</v>
      </c>
      <c r="D5" s="6" t="s">
        <v>1176</v>
      </c>
      <c r="E5" s="6" t="s">
        <v>1177</v>
      </c>
      <c r="F5" s="6">
        <f>N2O!D23</f>
        <v>0.29485</v>
      </c>
      <c r="G5" s="6">
        <f>N2O!B23</f>
        <v>6.5000000000000002E-2</v>
      </c>
      <c r="H5" s="6">
        <f>N2O!C23</f>
        <v>0.52469999999999994</v>
      </c>
      <c r="I5" s="6" t="s">
        <v>1138</v>
      </c>
    </row>
    <row r="6" spans="1:16">
      <c r="A6" t="s">
        <v>893</v>
      </c>
      <c r="B6" t="str">
        <f>Parameters!A7</f>
        <v>Provision of diesel fuel</v>
      </c>
      <c r="C6" t="str">
        <f>Parameters!B7</f>
        <v>kgCO2e/L diesel</v>
      </c>
      <c r="D6" t="s">
        <v>766</v>
      </c>
      <c r="E6" t="s">
        <v>733</v>
      </c>
      <c r="F6">
        <v>0.45</v>
      </c>
      <c r="G6">
        <v>0.4</v>
      </c>
      <c r="H6">
        <v>0.5</v>
      </c>
      <c r="I6" t="s">
        <v>1150</v>
      </c>
      <c r="L6" t="s">
        <v>799</v>
      </c>
      <c r="M6" t="s">
        <v>55</v>
      </c>
      <c r="N6" t="s">
        <v>800</v>
      </c>
      <c r="O6" t="s">
        <v>807</v>
      </c>
    </row>
    <row r="7" spans="1:16">
      <c r="A7" t="s">
        <v>893</v>
      </c>
      <c r="B7" t="s">
        <v>1149</v>
      </c>
      <c r="C7" t="s">
        <v>621</v>
      </c>
      <c r="D7" t="s">
        <v>767</v>
      </c>
      <c r="E7" t="s">
        <v>733</v>
      </c>
      <c r="F7" s="68">
        <v>2.7204943424399999</v>
      </c>
      <c r="I7" s="68" t="s">
        <v>1152</v>
      </c>
      <c r="K7" t="s">
        <v>801</v>
      </c>
      <c r="L7">
        <v>1180.6199999999999</v>
      </c>
      <c r="M7">
        <f>45.59</f>
        <v>45.59</v>
      </c>
      <c r="N7">
        <v>10.5</v>
      </c>
      <c r="O7">
        <f>L7*$P$1+M7/1000*$P$1*Parameters!$C$6+N7/1000*$P$1*Parameters!$C$5</f>
        <v>537.36092603984002</v>
      </c>
    </row>
    <row r="8" spans="1:16" s="6" customFormat="1">
      <c r="A8" s="6" t="s">
        <v>893</v>
      </c>
      <c r="B8" s="6" t="s">
        <v>984</v>
      </c>
      <c r="C8" s="6" t="s">
        <v>837</v>
      </c>
      <c r="D8" s="6" t="s">
        <v>768</v>
      </c>
      <c r="E8" s="6" t="s">
        <v>619</v>
      </c>
      <c r="F8" s="226">
        <f>O8</f>
        <v>692.15220789071998</v>
      </c>
      <c r="G8" s="226">
        <f>O10</f>
        <v>537.18234233351995</v>
      </c>
      <c r="H8" s="226">
        <f>O9</f>
        <v>918.79198627000005</v>
      </c>
      <c r="I8" s="6" t="s">
        <v>1153</v>
      </c>
      <c r="K8" s="6" t="s">
        <v>802</v>
      </c>
      <c r="L8" s="6">
        <v>1520.2</v>
      </c>
      <c r="M8" s="6">
        <v>31.27</v>
      </c>
      <c r="N8" s="6">
        <v>18.34</v>
      </c>
      <c r="O8" s="6">
        <f>L8*$P$1+M8/1000*$P$1*Parameters!$C$6+N8/1000*$P$1*Parameters!$C$5</f>
        <v>692.15220789071998</v>
      </c>
    </row>
    <row r="9" spans="1:16">
      <c r="A9" t="s">
        <v>893</v>
      </c>
      <c r="B9" t="s">
        <v>745</v>
      </c>
      <c r="C9" t="s">
        <v>851</v>
      </c>
      <c r="D9" t="s">
        <v>1105</v>
      </c>
      <c r="E9" t="s">
        <v>619</v>
      </c>
      <c r="F9">
        <v>8.85</v>
      </c>
      <c r="G9">
        <v>4.7</v>
      </c>
      <c r="H9">
        <v>13</v>
      </c>
      <c r="I9" t="s">
        <v>1154</v>
      </c>
      <c r="J9" t="s">
        <v>1151</v>
      </c>
      <c r="K9" t="s">
        <v>804</v>
      </c>
      <c r="L9">
        <v>2014.87</v>
      </c>
      <c r="M9">
        <v>56.1</v>
      </c>
      <c r="N9">
        <v>34.53</v>
      </c>
      <c r="O9">
        <f>L9*$P$1+M9/1000*$P$1*Parameters!$C$6+N9/1000*$P$1*Parameters!$C$5</f>
        <v>918.79198627000005</v>
      </c>
    </row>
    <row r="10" spans="1:16">
      <c r="A10" t="s">
        <v>893</v>
      </c>
      <c r="B10" t="s">
        <v>763</v>
      </c>
      <c r="C10" t="s">
        <v>851</v>
      </c>
      <c r="D10" s="15" t="s">
        <v>1040</v>
      </c>
      <c r="E10" t="s">
        <v>791</v>
      </c>
      <c r="F10">
        <v>5.4</v>
      </c>
      <c r="I10" t="s">
        <v>1000</v>
      </c>
      <c r="J10" s="1"/>
      <c r="K10" t="s">
        <v>805</v>
      </c>
      <c r="L10">
        <v>1181.7</v>
      </c>
      <c r="M10">
        <v>20.12</v>
      </c>
      <c r="N10">
        <v>7.63</v>
      </c>
      <c r="O10">
        <f>L10*$P$1+M10/1000*$P$1*Parameters!$C$6+N10/1000*$P$1*Parameters!$C$5</f>
        <v>537.18234233351995</v>
      </c>
    </row>
    <row r="11" spans="1:16" s="2" customFormat="1" hidden="1">
      <c r="A11" s="2" t="s">
        <v>893</v>
      </c>
      <c r="B11" s="2" t="s">
        <v>834</v>
      </c>
      <c r="C11" s="2" t="s">
        <v>835</v>
      </c>
      <c r="D11" s="2" t="s">
        <v>836</v>
      </c>
      <c r="E11" s="2" t="s">
        <v>791</v>
      </c>
      <c r="F11" s="330">
        <v>0.03</v>
      </c>
      <c r="G11" s="330">
        <v>0.03</v>
      </c>
      <c r="H11" s="330">
        <v>0.06</v>
      </c>
      <c r="I11" s="2" t="s">
        <v>1036</v>
      </c>
    </row>
    <row r="12" spans="1:16" s="6" customFormat="1">
      <c r="A12" s="6" t="s">
        <v>893</v>
      </c>
      <c r="B12" s="6" t="s">
        <v>898</v>
      </c>
      <c r="C12" s="6" t="s">
        <v>449</v>
      </c>
      <c r="D12" s="6" t="s">
        <v>960</v>
      </c>
      <c r="E12" s="6" t="s">
        <v>733</v>
      </c>
      <c r="F12" s="6">
        <v>2.65</v>
      </c>
      <c r="G12" s="6">
        <v>2.5</v>
      </c>
      <c r="H12" s="6">
        <v>3.3</v>
      </c>
      <c r="I12" s="6" t="s">
        <v>1155</v>
      </c>
    </row>
    <row r="13" spans="1:16">
      <c r="A13" t="s">
        <v>893</v>
      </c>
      <c r="B13" t="s">
        <v>823</v>
      </c>
      <c r="C13" s="6" t="s">
        <v>28</v>
      </c>
      <c r="D13" t="s">
        <v>1103</v>
      </c>
      <c r="E13" t="s">
        <v>619</v>
      </c>
      <c r="F13">
        <v>1.8</v>
      </c>
      <c r="G13">
        <v>0.52</v>
      </c>
      <c r="H13">
        <v>3.09</v>
      </c>
      <c r="I13" s="6" t="s">
        <v>579</v>
      </c>
    </row>
    <row r="14" spans="1:16">
      <c r="A14" t="s">
        <v>893</v>
      </c>
      <c r="B14" t="s">
        <v>746</v>
      </c>
      <c r="C14" s="6" t="s">
        <v>28</v>
      </c>
      <c r="D14" t="s">
        <v>1104</v>
      </c>
      <c r="E14" t="s">
        <v>619</v>
      </c>
      <c r="F14">
        <v>0.96</v>
      </c>
      <c r="G14">
        <v>0.38</v>
      </c>
      <c r="H14">
        <v>1.53</v>
      </c>
      <c r="I14" s="6" t="s">
        <v>524</v>
      </c>
    </row>
    <row r="15" spans="1:16">
      <c r="A15" t="s">
        <v>893</v>
      </c>
      <c r="B15" t="s">
        <v>748</v>
      </c>
      <c r="C15" t="s">
        <v>852</v>
      </c>
      <c r="D15" t="s">
        <v>769</v>
      </c>
      <c r="E15" t="s">
        <v>619</v>
      </c>
      <c r="F15">
        <v>970</v>
      </c>
      <c r="G15">
        <v>388</v>
      </c>
      <c r="H15">
        <v>1197</v>
      </c>
      <c r="I15" s="6" t="s">
        <v>524</v>
      </c>
    </row>
    <row r="16" spans="1:16" s="6" customFormat="1">
      <c r="A16" s="6" t="s">
        <v>105</v>
      </c>
      <c r="B16" s="6" t="s">
        <v>1018</v>
      </c>
      <c r="C16" s="6" t="s">
        <v>666</v>
      </c>
      <c r="D16" s="6" t="s">
        <v>783</v>
      </c>
      <c r="E16" s="6" t="s">
        <v>619</v>
      </c>
      <c r="F16" s="6">
        <v>0.01</v>
      </c>
      <c r="G16" s="6">
        <v>2E-3</v>
      </c>
      <c r="H16" s="6">
        <v>0.05</v>
      </c>
      <c r="I16" s="6" t="s">
        <v>998</v>
      </c>
    </row>
    <row r="17" spans="1:10" s="58" customFormat="1">
      <c r="B17" s="58" t="s">
        <v>101</v>
      </c>
      <c r="C17" s="58" t="s">
        <v>14</v>
      </c>
      <c r="D17" s="58" t="s">
        <v>765</v>
      </c>
      <c r="E17" s="58" t="s">
        <v>777</v>
      </c>
      <c r="F17" s="58" t="s">
        <v>733</v>
      </c>
      <c r="G17" s="58" t="s">
        <v>1052</v>
      </c>
      <c r="H17" s="58" t="s">
        <v>1053</v>
      </c>
      <c r="I17" s="58" t="s">
        <v>531</v>
      </c>
    </row>
    <row r="18" spans="1:10">
      <c r="A18" t="s">
        <v>894</v>
      </c>
      <c r="B18" t="str">
        <f>'Landfill '!A3</f>
        <v xml:space="preserve">diesel use at landfill </v>
      </c>
      <c r="C18" t="str">
        <f>'Landfill '!B3</f>
        <v>L/t</v>
      </c>
      <c r="D18" t="s">
        <v>770</v>
      </c>
      <c r="E18" t="s">
        <v>619</v>
      </c>
      <c r="F18" s="68">
        <v>5.8295314000000005</v>
      </c>
      <c r="G18">
        <v>1</v>
      </c>
      <c r="H18">
        <v>6</v>
      </c>
      <c r="I18" t="s">
        <v>988</v>
      </c>
      <c r="J18" t="str">
        <f>'Landfill '!K3</f>
        <v>0.7 gal/1000lbs; high compared to 1–3 L diesel tonne–1 waste (Hunziker)</v>
      </c>
    </row>
    <row r="19" spans="1:10">
      <c r="A19" t="s">
        <v>894</v>
      </c>
      <c r="B19" t="str">
        <f>'Landfill '!A8</f>
        <v>Factor of oxidation</v>
      </c>
      <c r="C19" t="str">
        <f>'Landfill '!B8</f>
        <v>%</v>
      </c>
      <c r="D19" t="s">
        <v>995</v>
      </c>
      <c r="E19" t="s">
        <v>619</v>
      </c>
      <c r="F19">
        <v>0.35</v>
      </c>
      <c r="G19">
        <v>0.1</v>
      </c>
      <c r="H19">
        <v>0.55000000000000004</v>
      </c>
      <c r="I19" t="s">
        <v>988</v>
      </c>
      <c r="J19" t="s">
        <v>990</v>
      </c>
    </row>
    <row r="20" spans="1:10" s="6" customFormat="1" hidden="1">
      <c r="A20" s="6" t="s">
        <v>894</v>
      </c>
      <c r="B20" s="6" t="str">
        <f>'Landfill '!A9</f>
        <v>Gas Capture factor (GC)</v>
      </c>
      <c r="C20" s="6" t="str">
        <f>'Landfill '!B9</f>
        <v>%</v>
      </c>
      <c r="D20" s="6" t="s">
        <v>616</v>
      </c>
      <c r="E20" s="6" t="s">
        <v>619</v>
      </c>
      <c r="F20" s="6">
        <f>'Landfill '!E9</f>
        <v>1</v>
      </c>
      <c r="G20" s="6">
        <v>0.85</v>
      </c>
      <c r="H20" s="6">
        <v>0.9</v>
      </c>
      <c r="I20" t="s">
        <v>989</v>
      </c>
      <c r="J20" s="6" t="str">
        <f>'Landfill '!K9</f>
        <v>not used:85  % Landfills in NYS  with GC recovery</v>
      </c>
    </row>
    <row r="21" spans="1:10">
      <c r="A21" t="s">
        <v>894</v>
      </c>
      <c r="B21" t="str">
        <f>'Landfill '!A22</f>
        <v>Heat rate of LF to E conversion</v>
      </c>
      <c r="C21" t="str">
        <f>'Landfill '!B22</f>
        <v>btu/kwh</v>
      </c>
      <c r="D21" t="s">
        <v>772</v>
      </c>
      <c r="E21" t="s">
        <v>733</v>
      </c>
      <c r="F21">
        <v>11700</v>
      </c>
      <c r="G21">
        <v>8979</v>
      </c>
      <c r="H21">
        <v>13648</v>
      </c>
      <c r="I21" t="s">
        <v>988</v>
      </c>
      <c r="J21" t="s">
        <v>991</v>
      </c>
    </row>
    <row r="22" spans="1:10">
      <c r="A22" t="s">
        <v>894</v>
      </c>
      <c r="B22" t="s">
        <v>762</v>
      </c>
      <c r="C22" t="s">
        <v>22</v>
      </c>
      <c r="D22" t="s">
        <v>776</v>
      </c>
      <c r="E22" t="s">
        <v>619</v>
      </c>
      <c r="F22">
        <v>0.85</v>
      </c>
      <c r="G22">
        <v>0.8</v>
      </c>
      <c r="H22">
        <v>0.9</v>
      </c>
      <c r="I22" t="s">
        <v>988</v>
      </c>
      <c r="J22" t="s">
        <v>764</v>
      </c>
    </row>
    <row r="23" spans="1:10">
      <c r="A23" t="s">
        <v>894</v>
      </c>
      <c r="B23" t="s">
        <v>778</v>
      </c>
      <c r="C23" t="s">
        <v>22</v>
      </c>
      <c r="D23" t="s">
        <v>771</v>
      </c>
      <c r="E23" t="s">
        <v>619</v>
      </c>
      <c r="F23">
        <v>0.95</v>
      </c>
      <c r="G23">
        <v>0.85</v>
      </c>
      <c r="H23">
        <v>0.95</v>
      </c>
      <c r="I23" t="s">
        <v>628</v>
      </c>
      <c r="J23" t="s">
        <v>992</v>
      </c>
    </row>
    <row r="24" spans="1:10" s="6" customFormat="1">
      <c r="A24" t="s">
        <v>894</v>
      </c>
      <c r="B24" s="6" t="s">
        <v>82</v>
      </c>
      <c r="C24" s="6" t="str">
        <f>'Landfill '!B15</f>
        <v>fraction</v>
      </c>
      <c r="D24" t="s">
        <v>774</v>
      </c>
      <c r="E24" t="s">
        <v>619</v>
      </c>
      <c r="F24" s="6">
        <v>1</v>
      </c>
      <c r="G24">
        <v>0.7</v>
      </c>
      <c r="H24">
        <v>1</v>
      </c>
      <c r="I24" s="6" t="s">
        <v>773</v>
      </c>
      <c r="J24" s="257" t="s">
        <v>993</v>
      </c>
    </row>
    <row r="25" spans="1:10" s="6" customFormat="1">
      <c r="A25" t="s">
        <v>894</v>
      </c>
      <c r="B25" s="6" t="s">
        <v>457</v>
      </c>
      <c r="C25" s="6" t="s">
        <v>792</v>
      </c>
      <c r="D25" t="s">
        <v>457</v>
      </c>
      <c r="E25" t="s">
        <v>619</v>
      </c>
      <c r="F25" s="6">
        <v>0.14399999999999999</v>
      </c>
      <c r="G25" s="68">
        <v>9.6000000000000002E-2</v>
      </c>
      <c r="H25">
        <v>0.22900000000000001</v>
      </c>
      <c r="I25" s="6" t="s">
        <v>628</v>
      </c>
      <c r="J25" s="6" t="s">
        <v>994</v>
      </c>
    </row>
    <row r="26" spans="1:10" s="58" customFormat="1">
      <c r="B26" s="58" t="s">
        <v>741</v>
      </c>
      <c r="C26" s="58" t="s">
        <v>14</v>
      </c>
      <c r="D26" s="58" t="s">
        <v>765</v>
      </c>
      <c r="E26" s="58" t="s">
        <v>777</v>
      </c>
      <c r="F26" s="58" t="s">
        <v>733</v>
      </c>
      <c r="G26" s="58" t="s">
        <v>1052</v>
      </c>
      <c r="H26" s="58" t="s">
        <v>1053</v>
      </c>
      <c r="I26" s="58" t="s">
        <v>531</v>
      </c>
    </row>
    <row r="27" spans="1:10" s="6" customFormat="1">
      <c r="A27" s="6" t="s">
        <v>105</v>
      </c>
      <c r="B27" s="6" t="s">
        <v>1009</v>
      </c>
      <c r="C27" s="6" t="s">
        <v>1148</v>
      </c>
      <c r="D27" s="6" t="s">
        <v>1010</v>
      </c>
      <c r="E27" s="6" t="s">
        <v>619</v>
      </c>
      <c r="F27" s="6">
        <v>0.9</v>
      </c>
      <c r="G27" s="6">
        <v>0.7</v>
      </c>
      <c r="H27" s="6">
        <v>1</v>
      </c>
      <c r="I27" s="6" t="s">
        <v>1011</v>
      </c>
      <c r="J27" s="6" t="s">
        <v>824</v>
      </c>
    </row>
    <row r="28" spans="1:10" s="6" customFormat="1">
      <c r="A28" s="6" t="s">
        <v>105</v>
      </c>
      <c r="B28" s="6" t="s">
        <v>668</v>
      </c>
      <c r="C28" s="6" t="s">
        <v>1054</v>
      </c>
      <c r="D28" s="6" t="s">
        <v>779</v>
      </c>
      <c r="E28" s="6" t="s">
        <v>619</v>
      </c>
      <c r="F28" s="6">
        <v>2.5000000000000001E-2</v>
      </c>
      <c r="G28" s="6">
        <v>0</v>
      </c>
      <c r="H28" s="6">
        <v>0.1</v>
      </c>
      <c r="I28" s="6" t="s">
        <v>10</v>
      </c>
      <c r="J28" s="6" t="s">
        <v>17</v>
      </c>
    </row>
    <row r="29" spans="1:10" s="6" customFormat="1">
      <c r="A29" s="6" t="s">
        <v>105</v>
      </c>
      <c r="B29" s="6" t="s">
        <v>956</v>
      </c>
      <c r="C29" s="6" t="s">
        <v>1054</v>
      </c>
      <c r="D29" s="6" t="s">
        <v>957</v>
      </c>
      <c r="E29" s="6" t="s">
        <v>619</v>
      </c>
      <c r="F29" s="6">
        <v>0.05</v>
      </c>
      <c r="G29" s="6">
        <v>0.03</v>
      </c>
      <c r="H29" s="6">
        <v>0.16</v>
      </c>
      <c r="I29" s="6" t="s">
        <v>996</v>
      </c>
    </row>
    <row r="30" spans="1:10" s="6" customFormat="1">
      <c r="A30" s="6" t="s">
        <v>105</v>
      </c>
      <c r="B30" s="6" t="str">
        <f>AD!A25</f>
        <v>Methane incomplete combustion factor</v>
      </c>
      <c r="C30" s="6" t="str">
        <f>AD!B25</f>
        <v>% methane utilized</v>
      </c>
      <c r="D30" s="6" t="s">
        <v>1012</v>
      </c>
      <c r="E30" s="6" t="s">
        <v>733</v>
      </c>
      <c r="F30" s="6">
        <f>AD!E25</f>
        <v>5.0000000000000001E-3</v>
      </c>
      <c r="I30" s="6" t="s">
        <v>997</v>
      </c>
      <c r="J30" s="6" t="str">
        <f>AD!J25</f>
        <v>Hildesheim, Gottingen, Celle</v>
      </c>
    </row>
    <row r="31" spans="1:10" s="6" customFormat="1">
      <c r="A31" s="6" t="s">
        <v>105</v>
      </c>
      <c r="B31" s="6" t="s">
        <v>1021</v>
      </c>
      <c r="C31" s="6" t="s">
        <v>1013</v>
      </c>
      <c r="D31" s="6" t="s">
        <v>1014</v>
      </c>
      <c r="E31" s="6" t="s">
        <v>619</v>
      </c>
      <c r="F31" s="107">
        <v>4.19318820416827</v>
      </c>
      <c r="G31" s="88">
        <f>9.8*0.33</f>
        <v>3.2340000000000004</v>
      </c>
      <c r="H31" s="107">
        <f>9.8*0.45</f>
        <v>4.41</v>
      </c>
      <c r="I31" s="6" t="s">
        <v>1000</v>
      </c>
      <c r="J31" s="322" t="s">
        <v>909</v>
      </c>
    </row>
    <row r="32" spans="1:10" s="6" customFormat="1">
      <c r="A32" s="6" t="s">
        <v>105</v>
      </c>
      <c r="B32" s="6" t="s">
        <v>652</v>
      </c>
      <c r="C32" s="6" t="str">
        <f>AD!B30</f>
        <v>MWh/t</v>
      </c>
      <c r="D32" s="6" t="s">
        <v>780</v>
      </c>
      <c r="E32" s="6" t="s">
        <v>619</v>
      </c>
      <c r="F32" s="6">
        <v>0.12</v>
      </c>
      <c r="G32" s="6">
        <v>0.1</v>
      </c>
      <c r="H32" s="6">
        <v>0.2</v>
      </c>
      <c r="I32" s="6" t="s">
        <v>31</v>
      </c>
      <c r="J32" s="6" t="str">
        <f>AD!J29</f>
        <v>Parasitic load</v>
      </c>
    </row>
    <row r="33" spans="1:10" s="6" customFormat="1">
      <c r="A33" s="6" t="s">
        <v>105</v>
      </c>
      <c r="B33" s="6" t="s">
        <v>999</v>
      </c>
      <c r="C33" s="6" t="str">
        <f>AD!B36</f>
        <v>kgVS/t FW</v>
      </c>
      <c r="D33" s="6" t="s">
        <v>781</v>
      </c>
      <c r="E33" s="6" t="s">
        <v>619</v>
      </c>
      <c r="F33" s="6">
        <v>0.55000000000000004</v>
      </c>
      <c r="G33" s="6">
        <v>0.4</v>
      </c>
      <c r="H33" s="6">
        <v>0.7</v>
      </c>
      <c r="I33" s="6" t="s">
        <v>31</v>
      </c>
      <c r="J33" s="6" t="str">
        <f>AD!J35</f>
        <v>assuming a 55% reduction in VS</v>
      </c>
    </row>
    <row r="34" spans="1:10" s="6" customFormat="1">
      <c r="A34" s="6" t="s">
        <v>105</v>
      </c>
      <c r="B34" s="6" t="s">
        <v>1015</v>
      </c>
      <c r="C34" s="6" t="s">
        <v>1055</v>
      </c>
      <c r="D34" s="6" t="s">
        <v>1016</v>
      </c>
      <c r="E34" s="6" t="s">
        <v>619</v>
      </c>
      <c r="F34" s="6">
        <v>5.3999999999999999E-2</v>
      </c>
      <c r="G34" s="6">
        <v>4.0000000000000001E-3</v>
      </c>
      <c r="H34" s="6">
        <v>7.3999999999999996E-2</v>
      </c>
      <c r="I34" s="6" t="str">
        <f>AD!H37</f>
        <v>Ebner et al., 2014</v>
      </c>
    </row>
    <row r="35" spans="1:10" s="6" customFormat="1">
      <c r="A35" s="6" t="s">
        <v>105</v>
      </c>
      <c r="B35" s="6" t="s">
        <v>1017</v>
      </c>
      <c r="C35" s="6" t="s">
        <v>1002</v>
      </c>
      <c r="D35" s="6" t="s">
        <v>1024</v>
      </c>
      <c r="E35" s="6" t="s">
        <v>619</v>
      </c>
      <c r="F35" s="6">
        <f>AD!E42</f>
        <v>5.0000000000000001E-3</v>
      </c>
      <c r="G35" s="6">
        <f>F35/2</f>
        <v>2.5000000000000001E-3</v>
      </c>
      <c r="H35" s="6">
        <f>F35*2</f>
        <v>0.01</v>
      </c>
      <c r="I35" s="6" t="s">
        <v>998</v>
      </c>
      <c r="J35" s="6" t="str">
        <f>AD!I42</f>
        <v>assumes that N in is the same as N out adjusted for D losses</v>
      </c>
    </row>
    <row r="36" spans="1:10" s="6" customFormat="1">
      <c r="A36" s="6" t="s">
        <v>105</v>
      </c>
      <c r="B36" s="6" t="s">
        <v>1022</v>
      </c>
      <c r="C36" s="6" t="str">
        <f>AD!B44</f>
        <v>Kg N2O-N/kg N</v>
      </c>
      <c r="D36" s="6" t="s">
        <v>1025</v>
      </c>
      <c r="E36" s="6" t="s">
        <v>619</v>
      </c>
      <c r="F36" s="6">
        <v>0.26</v>
      </c>
      <c r="G36" s="6">
        <v>0.15</v>
      </c>
      <c r="H36" s="6">
        <v>0.45</v>
      </c>
      <c r="I36" s="6" t="s">
        <v>998</v>
      </c>
      <c r="J36" s="6">
        <f>AD!I43</f>
        <v>0</v>
      </c>
    </row>
    <row r="37" spans="1:10" s="6" customFormat="1">
      <c r="A37" s="6" t="s">
        <v>105</v>
      </c>
      <c r="B37" s="6" t="s">
        <v>1018</v>
      </c>
      <c r="C37" s="6" t="s">
        <v>666</v>
      </c>
      <c r="D37" s="6" t="s">
        <v>783</v>
      </c>
      <c r="E37" s="6" t="s">
        <v>619</v>
      </c>
      <c r="F37" s="6">
        <v>0.01</v>
      </c>
      <c r="G37" s="6">
        <v>2E-3</v>
      </c>
      <c r="H37" s="6">
        <v>0.05</v>
      </c>
      <c r="I37" s="6" t="s">
        <v>998</v>
      </c>
    </row>
    <row r="38" spans="1:10" s="5" customFormat="1" hidden="1">
      <c r="A38" s="5" t="s">
        <v>105</v>
      </c>
      <c r="B38" s="5" t="s">
        <v>1019</v>
      </c>
      <c r="C38" s="5" t="s">
        <v>12</v>
      </c>
      <c r="D38" s="5" t="s">
        <v>855</v>
      </c>
      <c r="E38" s="5" t="s">
        <v>733</v>
      </c>
      <c r="F38" s="5">
        <v>20</v>
      </c>
      <c r="G38" s="5">
        <v>10</v>
      </c>
      <c r="H38" s="5">
        <v>30</v>
      </c>
      <c r="I38" s="5" t="s">
        <v>1000</v>
      </c>
    </row>
    <row r="39" spans="1:10" s="6" customFormat="1">
      <c r="A39" s="6" t="s">
        <v>893</v>
      </c>
      <c r="B39" s="6" t="s">
        <v>1139</v>
      </c>
      <c r="C39" s="6" t="str">
        <f>'Land application'!B13</f>
        <v>Kg N2O-N/kg N</v>
      </c>
      <c r="D39" s="6" t="s">
        <v>782</v>
      </c>
      <c r="E39" s="6" t="s">
        <v>619</v>
      </c>
      <c r="F39" s="6">
        <f>'Land application'!E13</f>
        <v>1.2500000000000001E-2</v>
      </c>
      <c r="G39" s="6">
        <v>1.7999999999999999E-2</v>
      </c>
      <c r="H39" s="6">
        <v>0.03</v>
      </c>
      <c r="I39" s="6" t="s">
        <v>1138</v>
      </c>
      <c r="J39" s="6" t="s">
        <v>1140</v>
      </c>
    </row>
    <row r="40" spans="1:10" s="6" customFormat="1">
      <c r="A40" s="6" t="s">
        <v>105</v>
      </c>
      <c r="B40" s="6" t="s">
        <v>1008</v>
      </c>
      <c r="C40" s="6" t="s">
        <v>1003</v>
      </c>
      <c r="D40" s="6" t="s">
        <v>1037</v>
      </c>
      <c r="E40" s="6" t="s">
        <v>619</v>
      </c>
      <c r="F40" s="6">
        <f>N2O!E30</f>
        <v>7.4999999999999997E-2</v>
      </c>
      <c r="G40" s="6">
        <f>0.15*0.4</f>
        <v>0.06</v>
      </c>
      <c r="H40" s="6">
        <f>0.15*0.8</f>
        <v>0.12</v>
      </c>
      <c r="I40" s="6" t="s">
        <v>1186</v>
      </c>
      <c r="J40" s="6" t="s">
        <v>1185</v>
      </c>
    </row>
    <row r="41" spans="1:10" s="6" customFormat="1">
      <c r="A41" s="6" t="s">
        <v>105</v>
      </c>
      <c r="B41" s="6" t="s">
        <v>1057</v>
      </c>
      <c r="C41" s="6" t="s">
        <v>1058</v>
      </c>
      <c r="D41" s="6" t="s">
        <v>1038</v>
      </c>
      <c r="E41" s="6" t="s">
        <v>619</v>
      </c>
      <c r="F41" s="6">
        <f>N2O!D25</f>
        <v>0.47599999999999998</v>
      </c>
      <c r="G41" s="6">
        <f>N2O!B25</f>
        <v>0.15200000000000002</v>
      </c>
      <c r="H41" s="6">
        <f>N2O!C25</f>
        <v>0.8</v>
      </c>
      <c r="I41" s="6" t="s">
        <v>1138</v>
      </c>
    </row>
    <row r="42" spans="1:10" s="6" customFormat="1" ht="16" customHeight="1">
      <c r="A42" s="6" t="s">
        <v>105</v>
      </c>
      <c r="B42" s="6" t="s">
        <v>1023</v>
      </c>
      <c r="C42" s="6" t="s">
        <v>1059</v>
      </c>
      <c r="D42" s="14" t="s">
        <v>1006</v>
      </c>
      <c r="E42" s="6" t="s">
        <v>619</v>
      </c>
      <c r="F42" s="6">
        <v>0.65</v>
      </c>
      <c r="G42" s="6">
        <v>0.4</v>
      </c>
      <c r="H42" s="6">
        <v>1</v>
      </c>
      <c r="I42" s="6" t="s">
        <v>1020</v>
      </c>
      <c r="J42" s="323" t="s">
        <v>1097</v>
      </c>
    </row>
    <row r="43" spans="1:10" s="6" customFormat="1" ht="16" customHeight="1">
      <c r="A43" s="6" t="s">
        <v>893</v>
      </c>
      <c r="B43" s="6" t="s">
        <v>1032</v>
      </c>
      <c r="C43" s="6" t="s">
        <v>1033</v>
      </c>
      <c r="D43" s="14" t="s">
        <v>1051</v>
      </c>
      <c r="E43" s="6" t="s">
        <v>619</v>
      </c>
      <c r="F43" s="6">
        <v>1</v>
      </c>
      <c r="G43" s="6">
        <v>0</v>
      </c>
      <c r="H43" s="6">
        <v>1</v>
      </c>
      <c r="I43" s="6" t="s">
        <v>1094</v>
      </c>
      <c r="J43" s="323"/>
    </row>
    <row r="44" spans="1:10" s="6" customFormat="1" ht="16" customHeight="1">
      <c r="A44" s="6" t="s">
        <v>893</v>
      </c>
      <c r="B44" s="6" t="s">
        <v>1026</v>
      </c>
      <c r="C44" s="6" t="s">
        <v>1028</v>
      </c>
      <c r="D44" s="14" t="s">
        <v>1030</v>
      </c>
      <c r="E44" s="6" t="s">
        <v>733</v>
      </c>
      <c r="F44" s="6">
        <v>1</v>
      </c>
      <c r="I44" s="6" t="s">
        <v>1036</v>
      </c>
      <c r="J44" s="323"/>
    </row>
    <row r="45" spans="1:10" s="6" customFormat="1" ht="16" customHeight="1">
      <c r="A45" s="6" t="s">
        <v>893</v>
      </c>
      <c r="B45" s="6" t="s">
        <v>1071</v>
      </c>
      <c r="C45" s="6" t="s">
        <v>1034</v>
      </c>
      <c r="D45" s="14" t="s">
        <v>1075</v>
      </c>
      <c r="E45" s="6" t="s">
        <v>619</v>
      </c>
      <c r="F45" s="329">
        <f>Parameters!G85</f>
        <v>1.0618171415214555E-2</v>
      </c>
      <c r="G45" s="6">
        <v>0</v>
      </c>
      <c r="H45" s="6">
        <v>1</v>
      </c>
      <c r="I45" s="6" t="s">
        <v>1035</v>
      </c>
      <c r="J45" s="323"/>
    </row>
    <row r="46" spans="1:10" s="6" customFormat="1" ht="16" customHeight="1">
      <c r="A46" s="6" t="s">
        <v>893</v>
      </c>
      <c r="B46" s="6" t="s">
        <v>1027</v>
      </c>
      <c r="C46" s="6" t="s">
        <v>1029</v>
      </c>
      <c r="D46" s="14" t="s">
        <v>1031</v>
      </c>
      <c r="E46" s="6" t="s">
        <v>733</v>
      </c>
      <c r="F46" s="6">
        <v>1</v>
      </c>
      <c r="I46" s="6" t="s">
        <v>1036</v>
      </c>
      <c r="J46" s="323"/>
    </row>
    <row r="47" spans="1:10" s="6" customFormat="1" ht="16" customHeight="1">
      <c r="A47" s="6" t="s">
        <v>893</v>
      </c>
      <c r="B47" s="6" t="s">
        <v>1072</v>
      </c>
      <c r="C47" s="6" t="s">
        <v>1039</v>
      </c>
      <c r="D47" s="14" t="s">
        <v>1076</v>
      </c>
      <c r="E47" s="6" t="s">
        <v>619</v>
      </c>
      <c r="F47" s="329">
        <f>Parameters!G86</f>
        <v>0.36445309811361248</v>
      </c>
      <c r="G47" s="6">
        <v>0</v>
      </c>
      <c r="H47" s="6">
        <v>1</v>
      </c>
      <c r="I47" s="6" t="s">
        <v>1035</v>
      </c>
      <c r="J47" s="323"/>
    </row>
    <row r="48" spans="1:10" s="6" customFormat="1">
      <c r="A48" s="6" t="s">
        <v>105</v>
      </c>
      <c r="B48" s="6" t="s">
        <v>738</v>
      </c>
      <c r="C48" s="6" t="s">
        <v>1060</v>
      </c>
      <c r="D48" s="14" t="s">
        <v>853</v>
      </c>
      <c r="E48" s="6" t="s">
        <v>619</v>
      </c>
      <c r="F48" s="6">
        <v>0.1</v>
      </c>
      <c r="G48" s="6">
        <v>0.02</v>
      </c>
      <c r="H48" s="6">
        <v>0.16</v>
      </c>
      <c r="I48" s="6" t="s">
        <v>1056</v>
      </c>
    </row>
    <row r="49" spans="1:10" s="58" customFormat="1">
      <c r="B49" s="58" t="s">
        <v>36</v>
      </c>
      <c r="E49" s="58" t="s">
        <v>791</v>
      </c>
    </row>
    <row r="50" spans="1:10">
      <c r="A50" t="s">
        <v>895</v>
      </c>
      <c r="B50" t="s">
        <v>1001</v>
      </c>
      <c r="C50" t="s">
        <v>12</v>
      </c>
      <c r="D50" t="s">
        <v>854</v>
      </c>
      <c r="E50" t="s">
        <v>619</v>
      </c>
      <c r="F50">
        <v>20</v>
      </c>
      <c r="G50">
        <v>10</v>
      </c>
      <c r="H50">
        <v>20</v>
      </c>
      <c r="I50" t="s">
        <v>810</v>
      </c>
      <c r="J50" t="s">
        <v>838</v>
      </c>
    </row>
    <row r="51" spans="1:10">
      <c r="A51" t="s">
        <v>895</v>
      </c>
      <c r="B51" t="s">
        <v>816</v>
      </c>
      <c r="C51" t="s">
        <v>1003</v>
      </c>
      <c r="D51" t="s">
        <v>784</v>
      </c>
      <c r="E51" t="s">
        <v>619</v>
      </c>
      <c r="F51">
        <f>'Land application'!E16</f>
        <v>0.2</v>
      </c>
      <c r="G51">
        <v>0.05</v>
      </c>
      <c r="H51">
        <v>0.5</v>
      </c>
      <c r="I51" t="s">
        <v>998</v>
      </c>
      <c r="J51" t="s">
        <v>1007</v>
      </c>
    </row>
    <row r="52" spans="1:10">
      <c r="A52" t="s">
        <v>895</v>
      </c>
      <c r="B52" t="str">
        <f>'Land application'!A20</f>
        <v>Carbon storage factor</v>
      </c>
      <c r="C52" t="s">
        <v>22</v>
      </c>
      <c r="D52" s="15" t="s">
        <v>845</v>
      </c>
      <c r="E52" t="s">
        <v>619</v>
      </c>
      <c r="F52">
        <v>0.2</v>
      </c>
      <c r="G52">
        <v>0.15</v>
      </c>
      <c r="H52">
        <v>0.48</v>
      </c>
      <c r="I52" t="s">
        <v>810</v>
      </c>
      <c r="J52" t="s">
        <v>847</v>
      </c>
    </row>
    <row r="53" spans="1:10" s="6" customFormat="1" ht="16" customHeight="1">
      <c r="A53" s="6" t="s">
        <v>893</v>
      </c>
      <c r="B53" s="6" t="s">
        <v>1032</v>
      </c>
      <c r="C53" s="6" t="s">
        <v>1033</v>
      </c>
      <c r="D53" s="14" t="s">
        <v>1051</v>
      </c>
      <c r="E53" s="6" t="s">
        <v>619</v>
      </c>
      <c r="F53" s="6">
        <v>1</v>
      </c>
      <c r="G53" s="6">
        <v>0</v>
      </c>
      <c r="H53" s="6">
        <v>1</v>
      </c>
      <c r="I53" s="6" t="s">
        <v>1094</v>
      </c>
      <c r="J53" s="323"/>
    </row>
    <row r="54" spans="1:10" s="6" customFormat="1" ht="16" customHeight="1">
      <c r="A54" s="6" t="s">
        <v>893</v>
      </c>
      <c r="B54" s="6" t="s">
        <v>1026</v>
      </c>
      <c r="C54" s="6" t="s">
        <v>1028</v>
      </c>
      <c r="D54" s="14" t="s">
        <v>1030</v>
      </c>
      <c r="E54" s="6" t="s">
        <v>733</v>
      </c>
      <c r="F54" s="6">
        <v>1</v>
      </c>
      <c r="I54" s="6" t="s">
        <v>1036</v>
      </c>
      <c r="J54" s="323"/>
    </row>
    <row r="55" spans="1:10" s="6" customFormat="1" ht="16" customHeight="1">
      <c r="A55" s="6" t="s">
        <v>893</v>
      </c>
      <c r="B55" s="6" t="s">
        <v>1071</v>
      </c>
      <c r="C55" s="6" t="s">
        <v>1034</v>
      </c>
      <c r="D55" s="14" t="s">
        <v>1075</v>
      </c>
      <c r="E55" s="6" t="s">
        <v>733</v>
      </c>
      <c r="F55" s="329">
        <f>Parameters!G95</f>
        <v>0.29728725380899296</v>
      </c>
      <c r="G55" s="6">
        <v>0</v>
      </c>
      <c r="H55" s="6">
        <v>1</v>
      </c>
      <c r="I55" s="6" t="s">
        <v>1035</v>
      </c>
      <c r="J55" s="323"/>
    </row>
    <row r="56" spans="1:10" s="6" customFormat="1" ht="16" customHeight="1">
      <c r="A56" s="6" t="s">
        <v>893</v>
      </c>
      <c r="B56" s="6" t="s">
        <v>1027</v>
      </c>
      <c r="C56" s="6" t="s">
        <v>1029</v>
      </c>
      <c r="D56" s="14" t="s">
        <v>1031</v>
      </c>
      <c r="E56" s="6" t="s">
        <v>619</v>
      </c>
      <c r="F56" s="6">
        <v>1</v>
      </c>
      <c r="I56" s="6" t="s">
        <v>1036</v>
      </c>
      <c r="J56" s="323"/>
    </row>
    <row r="57" spans="1:10" s="6" customFormat="1" ht="16" customHeight="1">
      <c r="A57" s="6" t="s">
        <v>893</v>
      </c>
      <c r="B57" s="6" t="s">
        <v>1072</v>
      </c>
      <c r="C57" s="6" t="s">
        <v>1039</v>
      </c>
      <c r="D57" s="14" t="s">
        <v>1076</v>
      </c>
      <c r="E57" s="6" t="s">
        <v>733</v>
      </c>
      <c r="F57" s="329">
        <f>Parameters!G96</f>
        <v>0.56980056980056981</v>
      </c>
      <c r="G57" s="6">
        <v>0</v>
      </c>
      <c r="H57" s="6">
        <v>1</v>
      </c>
      <c r="I57" s="6" t="s">
        <v>1035</v>
      </c>
      <c r="J57" s="323"/>
    </row>
    <row r="58" spans="1:10" s="58" customFormat="1">
      <c r="B58" s="58" t="s">
        <v>104</v>
      </c>
      <c r="C58" s="58" t="s">
        <v>14</v>
      </c>
      <c r="D58" s="58" t="s">
        <v>765</v>
      </c>
      <c r="E58" s="58" t="s">
        <v>777</v>
      </c>
      <c r="F58" s="58" t="s">
        <v>733</v>
      </c>
      <c r="G58" s="58" t="s">
        <v>1052</v>
      </c>
      <c r="H58" s="58" t="s">
        <v>1053</v>
      </c>
      <c r="I58" s="58" t="s">
        <v>531</v>
      </c>
    </row>
    <row r="59" spans="1:10">
      <c r="A59" t="s">
        <v>896</v>
      </c>
      <c r="B59" t="s">
        <v>1141</v>
      </c>
      <c r="C59" t="str">
        <f>compost!B13</f>
        <v>L/t</v>
      </c>
      <c r="D59" s="15" t="s">
        <v>785</v>
      </c>
      <c r="E59" t="s">
        <v>619</v>
      </c>
      <c r="F59">
        <v>3</v>
      </c>
      <c r="G59">
        <v>0.13</v>
      </c>
      <c r="H59">
        <v>6</v>
      </c>
      <c r="I59" t="s">
        <v>524</v>
      </c>
      <c r="J59" t="s">
        <v>1080</v>
      </c>
    </row>
    <row r="60" spans="1:10">
      <c r="A60" t="s">
        <v>896</v>
      </c>
      <c r="B60" t="s">
        <v>1142</v>
      </c>
      <c r="C60" t="s">
        <v>757</v>
      </c>
      <c r="D60" t="s">
        <v>891</v>
      </c>
      <c r="E60" t="s">
        <v>619</v>
      </c>
      <c r="F60">
        <v>2.3E-2</v>
      </c>
      <c r="G60">
        <v>2.3E-2</v>
      </c>
      <c r="H60">
        <v>65</v>
      </c>
      <c r="I60" t="s">
        <v>524</v>
      </c>
      <c r="J60" t="s">
        <v>1102</v>
      </c>
    </row>
    <row r="61" spans="1:10" ht="13" customHeight="1">
      <c r="A61" t="s">
        <v>896</v>
      </c>
      <c r="B61" t="s">
        <v>1128</v>
      </c>
      <c r="C61" t="s">
        <v>1061</v>
      </c>
      <c r="D61" t="s">
        <v>786</v>
      </c>
      <c r="E61" t="s">
        <v>619</v>
      </c>
      <c r="F61">
        <v>0.57999999999999996</v>
      </c>
      <c r="G61">
        <v>0.4</v>
      </c>
      <c r="H61">
        <v>0.83</v>
      </c>
      <c r="I61" t="s">
        <v>524</v>
      </c>
      <c r="J61" t="s">
        <v>972</v>
      </c>
    </row>
    <row r="62" spans="1:10">
      <c r="A62" t="s">
        <v>896</v>
      </c>
      <c r="B62" t="s">
        <v>1129</v>
      </c>
      <c r="C62" t="s">
        <v>1062</v>
      </c>
      <c r="D62" t="s">
        <v>787</v>
      </c>
      <c r="E62" t="s">
        <v>619</v>
      </c>
      <c r="F62">
        <v>0.02</v>
      </c>
      <c r="G62">
        <v>8.0000000000000002E-3</v>
      </c>
      <c r="H62">
        <v>3.5999999999999997E-2</v>
      </c>
      <c r="I62" t="s">
        <v>750</v>
      </c>
    </row>
    <row r="63" spans="1:10">
      <c r="A63" t="s">
        <v>896</v>
      </c>
      <c r="B63" t="s">
        <v>1130</v>
      </c>
      <c r="C63" t="s">
        <v>1131</v>
      </c>
      <c r="D63" t="s">
        <v>788</v>
      </c>
      <c r="E63" t="s">
        <v>619</v>
      </c>
      <c r="F63">
        <v>5.0000000000000001E-3</v>
      </c>
      <c r="G63">
        <v>1E-3</v>
      </c>
      <c r="H63">
        <v>1.7999999999999999E-2</v>
      </c>
      <c r="I63" t="s">
        <v>815</v>
      </c>
      <c r="J63" t="str">
        <f>compost!H20</f>
        <v xml:space="preserve">Boldrin, 2009 </v>
      </c>
    </row>
    <row r="64" spans="1:10">
      <c r="A64" t="s">
        <v>896</v>
      </c>
      <c r="B64" t="s">
        <v>1143</v>
      </c>
      <c r="C64" t="s">
        <v>1132</v>
      </c>
      <c r="D64" t="s">
        <v>1088</v>
      </c>
      <c r="E64" t="s">
        <v>733</v>
      </c>
      <c r="F64">
        <v>0.5</v>
      </c>
      <c r="G64">
        <v>0</v>
      </c>
      <c r="H64">
        <v>0.9</v>
      </c>
      <c r="I64" t="s">
        <v>1147</v>
      </c>
    </row>
    <row r="65" spans="1:10">
      <c r="A65" t="s">
        <v>896</v>
      </c>
      <c r="B65" t="s">
        <v>1144</v>
      </c>
      <c r="C65" t="s">
        <v>759</v>
      </c>
      <c r="D65" t="s">
        <v>848</v>
      </c>
      <c r="E65" t="s">
        <v>619</v>
      </c>
      <c r="F65">
        <v>0.43</v>
      </c>
      <c r="G65">
        <v>0.23</v>
      </c>
      <c r="H65">
        <v>0.56999999999999995</v>
      </c>
      <c r="I65" t="s">
        <v>1081</v>
      </c>
    </row>
    <row r="66" spans="1:10">
      <c r="A66" t="s">
        <v>896</v>
      </c>
      <c r="B66" t="s">
        <v>1063</v>
      </c>
      <c r="C66" t="s">
        <v>1133</v>
      </c>
      <c r="D66" t="s">
        <v>789</v>
      </c>
      <c r="E66" t="s">
        <v>733</v>
      </c>
      <c r="F66">
        <v>0.6</v>
      </c>
      <c r="I66" t="s">
        <v>524</v>
      </c>
      <c r="J66" t="s">
        <v>1065</v>
      </c>
    </row>
    <row r="67" spans="1:10">
      <c r="A67" t="s">
        <v>896</v>
      </c>
      <c r="B67" t="s">
        <v>1145</v>
      </c>
      <c r="C67" t="s">
        <v>1126</v>
      </c>
      <c r="D67" t="s">
        <v>1127</v>
      </c>
      <c r="E67" t="s">
        <v>619</v>
      </c>
      <c r="F67">
        <v>1</v>
      </c>
      <c r="G67">
        <v>0.2</v>
      </c>
      <c r="H67">
        <v>1</v>
      </c>
      <c r="I67" t="s">
        <v>524</v>
      </c>
    </row>
    <row r="68" spans="1:10" s="2" customFormat="1" hidden="1">
      <c r="A68" s="2" t="s">
        <v>896</v>
      </c>
      <c r="B68" s="2" t="s">
        <v>756</v>
      </c>
      <c r="C68" s="2" t="s">
        <v>12</v>
      </c>
      <c r="D68" s="5" t="s">
        <v>790</v>
      </c>
      <c r="E68" s="2" t="s">
        <v>619</v>
      </c>
      <c r="F68" s="2">
        <v>20</v>
      </c>
      <c r="G68" s="2">
        <v>10</v>
      </c>
      <c r="H68" s="2">
        <v>30</v>
      </c>
      <c r="J68" s="2" t="s">
        <v>616</v>
      </c>
    </row>
    <row r="69" spans="1:10">
      <c r="A69" t="s">
        <v>896</v>
      </c>
      <c r="B69" t="s">
        <v>1091</v>
      </c>
      <c r="C69" t="s">
        <v>1092</v>
      </c>
      <c r="D69" t="s">
        <v>1093</v>
      </c>
      <c r="E69" t="s">
        <v>733</v>
      </c>
      <c r="F69">
        <v>0.2</v>
      </c>
      <c r="G69">
        <v>0.2</v>
      </c>
      <c r="H69">
        <v>0.4</v>
      </c>
      <c r="I69" t="s">
        <v>524</v>
      </c>
    </row>
    <row r="70" spans="1:10">
      <c r="A70" t="s">
        <v>896</v>
      </c>
      <c r="B70" t="s">
        <v>1146</v>
      </c>
      <c r="C70" t="s">
        <v>818</v>
      </c>
      <c r="D70" t="s">
        <v>820</v>
      </c>
      <c r="E70" t="s">
        <v>733</v>
      </c>
      <c r="F70">
        <f>N2O!D4</f>
        <v>3.4000000000000002E-2</v>
      </c>
      <c r="G70">
        <f>N2O!C4+N2O!B4</f>
        <v>6.8000000000000005E-2</v>
      </c>
      <c r="H70">
        <f>N2O!D4+N2O!C4</f>
        <v>8.4999999999999992E-2</v>
      </c>
      <c r="I70" t="s">
        <v>1138</v>
      </c>
    </row>
    <row r="71" spans="1:10" s="15" customFormat="1">
      <c r="A71" s="15" t="s">
        <v>896</v>
      </c>
      <c r="B71" s="15" t="s">
        <v>1180</v>
      </c>
      <c r="C71" s="15" t="s">
        <v>1095</v>
      </c>
      <c r="D71" s="14" t="s">
        <v>1178</v>
      </c>
      <c r="E71" s="15" t="s">
        <v>619</v>
      </c>
      <c r="F71" s="15">
        <f>N2O!D24</f>
        <v>0.67649999999999999</v>
      </c>
      <c r="G71" s="15">
        <f>N2O!B24</f>
        <v>0.26800000000000002</v>
      </c>
      <c r="H71" s="15">
        <f>N2O!C24</f>
        <v>1</v>
      </c>
      <c r="I71" t="s">
        <v>1181</v>
      </c>
    </row>
    <row r="72" spans="1:10" s="15" customFormat="1">
      <c r="A72" s="15" t="s">
        <v>896</v>
      </c>
      <c r="B72" s="15" t="s">
        <v>1090</v>
      </c>
      <c r="C72" s="15" t="s">
        <v>1095</v>
      </c>
      <c r="D72" s="15" t="s">
        <v>817</v>
      </c>
      <c r="E72" s="15" t="s">
        <v>733</v>
      </c>
      <c r="F72" s="15">
        <f>N2O!E29</f>
        <v>1.6E-2</v>
      </c>
      <c r="I72" t="s">
        <v>1179</v>
      </c>
      <c r="J72" s="15" t="s">
        <v>1096</v>
      </c>
    </row>
    <row r="73" spans="1:10">
      <c r="A73" t="s">
        <v>896</v>
      </c>
      <c r="B73" t="s">
        <v>753</v>
      </c>
      <c r="C73" t="s">
        <v>754</v>
      </c>
      <c r="D73" s="15" t="s">
        <v>813</v>
      </c>
      <c r="E73" t="s">
        <v>619</v>
      </c>
      <c r="F73">
        <v>0.1</v>
      </c>
      <c r="G73">
        <v>0.02</v>
      </c>
      <c r="H73">
        <v>0.14000000000000001</v>
      </c>
      <c r="I73" t="s">
        <v>1154</v>
      </c>
      <c r="J73" t="s">
        <v>973</v>
      </c>
    </row>
    <row r="74" spans="1:10" s="58" customFormat="1">
      <c r="B74" s="58" t="s">
        <v>102</v>
      </c>
      <c r="E74" s="58" t="s">
        <v>791</v>
      </c>
    </row>
    <row r="75" spans="1:10">
      <c r="A75" t="s">
        <v>897</v>
      </c>
      <c r="B75" t="s">
        <v>885</v>
      </c>
      <c r="C75" t="s">
        <v>884</v>
      </c>
      <c r="D75" t="s">
        <v>886</v>
      </c>
      <c r="E75" t="s">
        <v>619</v>
      </c>
      <c r="F75">
        <v>0.1</v>
      </c>
      <c r="G75">
        <v>0.05</v>
      </c>
      <c r="H75">
        <v>0.5</v>
      </c>
      <c r="I75" t="s">
        <v>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11" workbookViewId="0">
      <selection activeCell="A42" sqref="A42"/>
    </sheetView>
  </sheetViews>
  <sheetFormatPr baseColWidth="10" defaultColWidth="8.83203125" defaultRowHeight="14" x14ac:dyDescent="0"/>
  <cols>
    <col min="1" max="1" width="27.83203125" style="26" customWidth="1"/>
    <col min="2" max="2" width="12.5" style="26" customWidth="1"/>
    <col min="3" max="3" width="18.6640625" style="118" customWidth="1"/>
    <col min="4" max="4" width="9.83203125" style="118" customWidth="1"/>
    <col min="5" max="5" width="15.5" style="26" customWidth="1"/>
    <col min="6" max="6" width="11.33203125" style="26" customWidth="1"/>
    <col min="7" max="7" width="9.83203125" style="26" customWidth="1"/>
    <col min="8" max="9" width="14.33203125" style="26" customWidth="1"/>
    <col min="10" max="10" width="13.1640625" style="26" customWidth="1"/>
    <col min="11" max="11" width="36" style="26" customWidth="1"/>
    <col min="12" max="12" width="8.83203125" style="26"/>
    <col min="13" max="13" width="9.83203125" style="26" customWidth="1"/>
    <col min="14" max="16" width="8.83203125" style="26"/>
    <col min="17" max="17" width="10.83203125" style="26" bestFit="1" customWidth="1"/>
    <col min="18" max="18" width="23" style="26" customWidth="1"/>
    <col min="19" max="23" width="8.83203125" style="26"/>
    <col min="24" max="24" width="14.5" style="26" customWidth="1"/>
    <col min="25" max="16384" width="8.83203125" style="26"/>
  </cols>
  <sheetData>
    <row r="1" spans="1:28" s="42" customFormat="1" ht="30">
      <c r="B1" s="42" t="s">
        <v>14</v>
      </c>
      <c r="C1" s="202" t="s">
        <v>24</v>
      </c>
      <c r="D1" s="202" t="s">
        <v>110</v>
      </c>
      <c r="E1" s="42" t="s">
        <v>642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2</v>
      </c>
      <c r="K1" s="42" t="s">
        <v>5</v>
      </c>
      <c r="S1" s="26">
        <v>3.7854100000000002</v>
      </c>
      <c r="T1" s="110" t="s">
        <v>433</v>
      </c>
    </row>
    <row r="2" spans="1:28" s="36" customFormat="1">
      <c r="A2" s="41" t="s">
        <v>432</v>
      </c>
      <c r="C2" s="204">
        <f>C4+C5</f>
        <v>18.482496322776335</v>
      </c>
      <c r="D2" s="205"/>
      <c r="G2" s="53"/>
      <c r="K2" s="256" t="s">
        <v>809</v>
      </c>
    </row>
    <row r="3" spans="1:28" s="46" customFormat="1">
      <c r="A3" s="115" t="s">
        <v>448</v>
      </c>
      <c r="B3" s="104" t="s">
        <v>449</v>
      </c>
      <c r="C3" s="206">
        <f>E3*G3</f>
        <v>0</v>
      </c>
      <c r="D3" s="207"/>
      <c r="E3" s="219">
        <f>GlobalFactors.csv!F18</f>
        <v>5.8295314000000005</v>
      </c>
      <c r="F3" s="117"/>
      <c r="G3" s="218"/>
      <c r="H3" s="104" t="s">
        <v>468</v>
      </c>
      <c r="I3" s="320" t="s">
        <v>987</v>
      </c>
      <c r="J3" s="255" t="s">
        <v>734</v>
      </c>
      <c r="K3" s="104" t="s">
        <v>450</v>
      </c>
    </row>
    <row r="4" spans="1:28">
      <c r="A4" s="110" t="s">
        <v>572</v>
      </c>
      <c r="B4" s="104" t="s">
        <v>625</v>
      </c>
      <c r="C4" s="208">
        <f>E3*G4</f>
        <v>15.859207192776333</v>
      </c>
      <c r="G4" s="190">
        <f>GlobalFactors.csv!F7</f>
        <v>2.7204943424399999</v>
      </c>
      <c r="H4" s="110"/>
      <c r="I4" s="110"/>
      <c r="K4" s="104"/>
      <c r="M4" s="110"/>
      <c r="Q4" s="118"/>
    </row>
    <row r="5" spans="1:28">
      <c r="A5" s="110" t="s">
        <v>454</v>
      </c>
      <c r="B5" s="110" t="s">
        <v>28</v>
      </c>
      <c r="C5" s="208">
        <f>G5*E3</f>
        <v>2.6232891300000003</v>
      </c>
      <c r="G5" s="191">
        <f>GlobalFactors.csv!F6</f>
        <v>0.45</v>
      </c>
      <c r="H5" s="110" t="s">
        <v>455</v>
      </c>
      <c r="I5" s="110"/>
      <c r="K5" s="26" t="s">
        <v>456</v>
      </c>
    </row>
    <row r="6" spans="1:28" s="36" customFormat="1">
      <c r="A6" s="41" t="s">
        <v>434</v>
      </c>
      <c r="B6" s="41"/>
      <c r="C6" s="204"/>
      <c r="D6" s="205"/>
    </row>
    <row r="7" spans="1:28" hidden="1">
      <c r="A7" s="26" t="s">
        <v>98</v>
      </c>
      <c r="F7" s="196">
        <v>0.14399999999999999</v>
      </c>
      <c r="H7" s="110"/>
      <c r="I7" s="110" t="s">
        <v>627</v>
      </c>
      <c r="K7" s="110" t="s">
        <v>628</v>
      </c>
    </row>
    <row r="8" spans="1:28">
      <c r="A8" s="26" t="s">
        <v>97</v>
      </c>
      <c r="B8" s="201" t="s">
        <v>22</v>
      </c>
      <c r="E8" s="35">
        <f>GlobalFactors.csv!F19</f>
        <v>0.35</v>
      </c>
      <c r="F8" s="196"/>
      <c r="H8" s="113" t="s">
        <v>629</v>
      </c>
      <c r="I8" s="113"/>
      <c r="K8" s="26" t="s">
        <v>630</v>
      </c>
    </row>
    <row r="9" spans="1:28">
      <c r="A9" s="110" t="s">
        <v>613</v>
      </c>
      <c r="B9" s="201" t="s">
        <v>22</v>
      </c>
      <c r="E9" s="35">
        <v>1</v>
      </c>
      <c r="F9" s="196"/>
      <c r="H9" s="113" t="s">
        <v>115</v>
      </c>
      <c r="I9" s="113" t="s">
        <v>631</v>
      </c>
      <c r="K9" s="201" t="s">
        <v>661</v>
      </c>
    </row>
    <row r="10" spans="1:28">
      <c r="A10" s="110" t="s">
        <v>612</v>
      </c>
      <c r="B10" s="201" t="s">
        <v>22</v>
      </c>
      <c r="E10" s="35">
        <f>GlobalFactors.csv!F22</f>
        <v>0.85</v>
      </c>
      <c r="F10" s="196"/>
      <c r="H10" s="110" t="s">
        <v>115</v>
      </c>
      <c r="I10" s="110" t="s">
        <v>633</v>
      </c>
      <c r="K10" s="189" t="s">
        <v>632</v>
      </c>
      <c r="Y10" s="37" t="e">
        <f>#REF!*44/12</f>
        <v>#REF!</v>
      </c>
      <c r="Z10" s="34" t="s">
        <v>80</v>
      </c>
      <c r="AB10" s="34" t="s">
        <v>79</v>
      </c>
    </row>
    <row r="11" spans="1:28">
      <c r="A11" s="26" t="s">
        <v>149</v>
      </c>
      <c r="F11" s="197">
        <f>Parameters!E27</f>
        <v>334.11111111111109</v>
      </c>
    </row>
    <row r="12" spans="1:28">
      <c r="A12" s="26" t="s">
        <v>123</v>
      </c>
      <c r="F12" s="196">
        <f>Parameters!D27</f>
        <v>0.27</v>
      </c>
    </row>
    <row r="13" spans="1:28">
      <c r="A13" s="26" t="s">
        <v>78</v>
      </c>
      <c r="B13" s="26" t="s">
        <v>133</v>
      </c>
      <c r="F13" s="198">
        <f>Parameters!F27</f>
        <v>90.21</v>
      </c>
      <c r="K13" s="26" t="s">
        <v>125</v>
      </c>
    </row>
    <row r="14" spans="1:28" s="48" customFormat="1">
      <c r="A14" s="47" t="s">
        <v>127</v>
      </c>
      <c r="B14" s="48" t="s">
        <v>134</v>
      </c>
      <c r="C14" s="209">
        <f>F13*D16*Parameters!C19*Parameters!C6</f>
        <v>633.28567808985076</v>
      </c>
      <c r="D14" s="210"/>
      <c r="H14" s="48" t="s">
        <v>116</v>
      </c>
      <c r="K14" s="48" t="s">
        <v>924</v>
      </c>
    </row>
    <row r="15" spans="1:28">
      <c r="A15" s="26" t="s">
        <v>82</v>
      </c>
      <c r="B15" s="26" t="s">
        <v>128</v>
      </c>
      <c r="G15" s="35">
        <f>GlobalFactors.csv!F24</f>
        <v>1</v>
      </c>
      <c r="Q15" s="110"/>
    </row>
    <row r="16" spans="1:28" ht="15" customHeight="1">
      <c r="A16" s="26" t="s">
        <v>126</v>
      </c>
      <c r="B16" s="26" t="s">
        <v>128</v>
      </c>
      <c r="D16" s="208">
        <f>E87</f>
        <v>0.37420720881899283</v>
      </c>
      <c r="K16" s="26" t="s">
        <v>124</v>
      </c>
      <c r="Q16" s="110"/>
    </row>
    <row r="17" spans="1:25" ht="15" customHeight="1">
      <c r="A17" s="110" t="s">
        <v>463</v>
      </c>
      <c r="B17" s="110" t="s">
        <v>57</v>
      </c>
      <c r="C17" s="208">
        <f>D16*F13*G15*Parameters!C19*Parameters!C6</f>
        <v>633.28567808985076</v>
      </c>
      <c r="Q17" s="110"/>
    </row>
    <row r="18" spans="1:25" s="36" customFormat="1">
      <c r="A18" s="41" t="s">
        <v>135</v>
      </c>
      <c r="B18" s="36" t="s">
        <v>28</v>
      </c>
      <c r="C18" s="204">
        <f>D23*Parameters!C14/1000</f>
        <v>56.745745492744724</v>
      </c>
      <c r="D18" s="205"/>
      <c r="G18" s="36">
        <f>Parameters!C14</f>
        <v>692.15220789071998</v>
      </c>
      <c r="V18" s="36" t="s">
        <v>81</v>
      </c>
      <c r="W18" s="36" t="s">
        <v>76</v>
      </c>
    </row>
    <row r="19" spans="1:25">
      <c r="A19" s="110" t="s">
        <v>465</v>
      </c>
      <c r="B19" s="26" t="s">
        <v>128</v>
      </c>
      <c r="D19" s="211">
        <f>F87*E10</f>
        <v>0.30109508457674078</v>
      </c>
      <c r="K19" s="110" t="s">
        <v>634</v>
      </c>
      <c r="Q19" s="110"/>
    </row>
    <row r="20" spans="1:25">
      <c r="A20" s="26" t="s">
        <v>131</v>
      </c>
      <c r="B20" s="26" t="s">
        <v>21</v>
      </c>
      <c r="D20" s="211">
        <f>F13*D19</f>
        <v>27.161787579667784</v>
      </c>
      <c r="G20" s="191">
        <f>Parameters!C20</f>
        <v>35315</v>
      </c>
      <c r="H20" s="110" t="s">
        <v>469</v>
      </c>
      <c r="I20" s="110"/>
      <c r="K20" s="110" t="s">
        <v>466</v>
      </c>
    </row>
    <row r="21" spans="1:25">
      <c r="A21" s="257" t="s">
        <v>760</v>
      </c>
      <c r="B21" s="257" t="s">
        <v>22</v>
      </c>
      <c r="D21" s="211"/>
      <c r="G21" s="191"/>
      <c r="H21" s="110"/>
      <c r="I21" s="110"/>
      <c r="K21" s="257" t="s">
        <v>761</v>
      </c>
    </row>
    <row r="22" spans="1:25">
      <c r="A22" s="201" t="s">
        <v>654</v>
      </c>
      <c r="B22" s="201" t="s">
        <v>655</v>
      </c>
      <c r="D22" s="211"/>
      <c r="E22" s="191">
        <f>GlobalFactors.csv!F21</f>
        <v>11700</v>
      </c>
      <c r="F22" s="191"/>
      <c r="G22" s="257"/>
      <c r="H22" s="257" t="s">
        <v>740</v>
      </c>
      <c r="I22" s="110"/>
      <c r="K22" s="257" t="s">
        <v>739</v>
      </c>
    </row>
    <row r="23" spans="1:25">
      <c r="A23" s="26" t="s">
        <v>13</v>
      </c>
      <c r="B23" s="26" t="s">
        <v>132</v>
      </c>
      <c r="D23" s="208">
        <f>D20*G20/E22</f>
        <v>81.984489604783562</v>
      </c>
      <c r="I23" s="110"/>
      <c r="K23" s="257" t="s">
        <v>467</v>
      </c>
    </row>
    <row r="24" spans="1:25" s="125" customFormat="1">
      <c r="A24" s="125" t="s">
        <v>75</v>
      </c>
      <c r="B24" s="125" t="s">
        <v>28</v>
      </c>
      <c r="C24" s="212">
        <f>D28*-44/12</f>
        <v>-84.966161861607617</v>
      </c>
      <c r="D24" s="212">
        <f>F25*G24</f>
        <v>0</v>
      </c>
      <c r="K24" s="125" t="s">
        <v>436</v>
      </c>
      <c r="X24" s="125" t="e">
        <f>#REF!*1.1</f>
        <v>#REF!</v>
      </c>
      <c r="Y24" s="125" t="s">
        <v>57</v>
      </c>
    </row>
    <row r="25" spans="1:25" s="115" customFormat="1">
      <c r="A25" s="115" t="s">
        <v>470</v>
      </c>
      <c r="B25" s="115" t="s">
        <v>435</v>
      </c>
      <c r="C25" s="206"/>
      <c r="D25" s="206"/>
      <c r="F25" s="214">
        <f>Parameters!J27</f>
        <v>145.73955722402675</v>
      </c>
      <c r="J25" s="115" t="s">
        <v>796</v>
      </c>
      <c r="K25" s="115" t="s">
        <v>794</v>
      </c>
    </row>
    <row r="26" spans="1:25" s="115" customFormat="1">
      <c r="A26" s="115" t="s">
        <v>649</v>
      </c>
      <c r="B26" s="115" t="s">
        <v>22</v>
      </c>
      <c r="C26" s="206"/>
      <c r="D26" s="206"/>
      <c r="F26" s="200">
        <f>Parameters!O27</f>
        <v>0.84099999999999997</v>
      </c>
      <c r="J26" s="115" t="s">
        <v>796</v>
      </c>
      <c r="K26" s="115" t="s">
        <v>793</v>
      </c>
    </row>
    <row r="27" spans="1:25" s="41" customFormat="1">
      <c r="A27" s="41" t="s">
        <v>797</v>
      </c>
      <c r="C27" s="204"/>
      <c r="D27" s="204"/>
      <c r="E27" s="265"/>
      <c r="F27" s="266"/>
      <c r="J27" s="41" t="s">
        <v>795</v>
      </c>
      <c r="K27" s="41" t="s">
        <v>616</v>
      </c>
    </row>
    <row r="28" spans="1:25" s="46" customFormat="1">
      <c r="A28" s="115" t="s">
        <v>523</v>
      </c>
      <c r="B28" s="199" t="s">
        <v>585</v>
      </c>
      <c r="C28" s="207"/>
      <c r="D28" s="206">
        <f>F25*(1-F26)*G29</f>
        <v>23.172589598620259</v>
      </c>
      <c r="F28" s="168"/>
      <c r="G28" s="264"/>
      <c r="H28" s="263"/>
      <c r="I28" s="263"/>
      <c r="K28" s="115" t="s">
        <v>822</v>
      </c>
    </row>
    <row r="29" spans="1:25">
      <c r="A29" s="257" t="s">
        <v>738</v>
      </c>
      <c r="B29" s="257" t="s">
        <v>798</v>
      </c>
      <c r="G29" s="191">
        <v>1</v>
      </c>
      <c r="H29" s="268">
        <f>D28/0.3/1000</f>
        <v>7.7241965328734202E-2</v>
      </c>
      <c r="I29" s="294"/>
      <c r="J29" s="28"/>
      <c r="K29" s="257" t="s">
        <v>921</v>
      </c>
    </row>
    <row r="31" spans="1:25">
      <c r="A31" s="41" t="s">
        <v>109</v>
      </c>
      <c r="B31" s="41" t="s">
        <v>615</v>
      </c>
      <c r="C31" s="204">
        <f>SUM(C14,C18,C24,C2)</f>
        <v>623.54775804376425</v>
      </c>
      <c r="K31" s="110"/>
    </row>
    <row r="32" spans="1:25">
      <c r="C32" s="118">
        <v>3</v>
      </c>
    </row>
    <row r="34" spans="1:23">
      <c r="A34" s="38" t="s">
        <v>95</v>
      </c>
      <c r="H34" s="258" t="s">
        <v>694</v>
      </c>
      <c r="L34" s="36" t="s">
        <v>96</v>
      </c>
      <c r="M34" s="123"/>
      <c r="N34" s="36"/>
      <c r="O34" s="36"/>
      <c r="P34" s="122" t="s">
        <v>462</v>
      </c>
      <c r="Q34" s="36"/>
      <c r="R34" s="36"/>
      <c r="S34" s="36"/>
      <c r="T34" s="36"/>
      <c r="W34" s="110" t="s">
        <v>459</v>
      </c>
    </row>
    <row r="35" spans="1:23" ht="16">
      <c r="B35" s="110" t="s">
        <v>461</v>
      </c>
      <c r="C35" s="213"/>
      <c r="D35" s="118" t="s">
        <v>84</v>
      </c>
      <c r="K35" s="124" t="s">
        <v>94</v>
      </c>
      <c r="L35" s="124"/>
      <c r="M35" s="36"/>
      <c r="N35" s="122" t="s">
        <v>458</v>
      </c>
      <c r="O35" s="36" t="s">
        <v>92</v>
      </c>
      <c r="P35" s="36"/>
      <c r="Q35" s="36"/>
      <c r="R35" s="36"/>
      <c r="S35" s="36"/>
    </row>
    <row r="36" spans="1:23">
      <c r="A36" s="26" t="s">
        <v>91</v>
      </c>
      <c r="B36" s="110" t="s">
        <v>441</v>
      </c>
      <c r="C36" s="213" t="s">
        <v>93</v>
      </c>
      <c r="D36" s="295" t="s">
        <v>922</v>
      </c>
      <c r="E36" s="110" t="s">
        <v>443</v>
      </c>
      <c r="F36" s="110" t="s">
        <v>442</v>
      </c>
      <c r="G36" s="36" t="s">
        <v>90</v>
      </c>
      <c r="H36" s="36"/>
      <c r="I36" s="36" t="s">
        <v>89</v>
      </c>
      <c r="J36" s="36" t="s">
        <v>88</v>
      </c>
      <c r="K36" s="36" t="s">
        <v>87</v>
      </c>
      <c r="L36" s="36" t="s">
        <v>86</v>
      </c>
      <c r="M36" s="36" t="s">
        <v>85</v>
      </c>
      <c r="N36" s="36" t="s">
        <v>84</v>
      </c>
      <c r="O36" s="36" t="s">
        <v>83</v>
      </c>
    </row>
    <row r="37" spans="1:23">
      <c r="A37" s="26">
        <v>1</v>
      </c>
      <c r="B37" s="26">
        <f t="shared" ref="B37:B68" si="0">$F$7*EXP(-$F$7*A37)</f>
        <v>0.12468783572052551</v>
      </c>
      <c r="C37" s="118">
        <v>0.1</v>
      </c>
      <c r="D37" s="118">
        <v>0</v>
      </c>
      <c r="E37" s="321">
        <f>B37*(1-C37)*(1-D37)</f>
        <v>0.11221905214847296</v>
      </c>
      <c r="F37" s="46">
        <f>B37*(1-C37)*D37</f>
        <v>0</v>
      </c>
      <c r="G37" s="36">
        <f t="shared" ref="G37:G68" si="1">EXP(-$F$7*(A37-1))</f>
        <v>1</v>
      </c>
      <c r="H37" s="36"/>
      <c r="I37" s="36">
        <f t="shared" ref="I37:I68" si="2">1-EXP(-$F$7)</f>
        <v>0.13411225194079501</v>
      </c>
      <c r="J37" s="36">
        <f>1-$E$8</f>
        <v>0.65</v>
      </c>
      <c r="K37" s="36" t="e">
        <f>1-#REF!</f>
        <v>#REF!</v>
      </c>
      <c r="L37" s="36" t="e">
        <f t="shared" ref="L37:L68" si="3">G37*I37*K37*J37</f>
        <v>#REF!</v>
      </c>
      <c r="M37" s="36">
        <f t="shared" ref="M37:M68" si="4">G37*I37*(1-$J$37)</f>
        <v>4.6939288179278255E-2</v>
      </c>
      <c r="N37" s="36" t="e">
        <f>G37*I37*#REF!*J37</f>
        <v>#REF!</v>
      </c>
      <c r="O37" s="36">
        <f t="shared" ref="O37:O68" si="5">G37*I37</f>
        <v>0.13411225194079501</v>
      </c>
    </row>
    <row r="38" spans="1:23">
      <c r="A38" s="26">
        <v>2</v>
      </c>
      <c r="B38" s="26">
        <f t="shared" si="0"/>
        <v>0.10796566928242193</v>
      </c>
      <c r="C38" s="118">
        <v>0.1</v>
      </c>
      <c r="D38" s="118">
        <v>0</v>
      </c>
      <c r="E38" s="321">
        <f t="shared" ref="E38:E86" si="6">B38*(1-C38)*(1-D38)</f>
        <v>9.7169102354179748E-2</v>
      </c>
      <c r="F38" s="46">
        <f t="shared" ref="F38:F86" si="7">B38*(1-C38)*D38</f>
        <v>0</v>
      </c>
      <c r="G38" s="36">
        <f t="shared" si="1"/>
        <v>0.86588774805920499</v>
      </c>
      <c r="H38" s="36"/>
      <c r="I38" s="36">
        <f t="shared" si="2"/>
        <v>0.13411225194079501</v>
      </c>
      <c r="J38" s="36">
        <v>0.8</v>
      </c>
      <c r="K38" s="36" t="e">
        <f>1-#REF!</f>
        <v>#REF!</v>
      </c>
      <c r="L38" s="36" t="e">
        <f t="shared" si="3"/>
        <v>#REF!</v>
      </c>
      <c r="M38" s="36">
        <f t="shared" si="4"/>
        <v>4.0644154537057303E-2</v>
      </c>
      <c r="N38" s="36" t="e">
        <f>G38*I38*#REF!*J38</f>
        <v>#REF!</v>
      </c>
      <c r="O38" s="36">
        <f t="shared" si="5"/>
        <v>0.11612615582016374</v>
      </c>
    </row>
    <row r="39" spans="1:23">
      <c r="A39" s="26">
        <v>3</v>
      </c>
      <c r="B39" s="26">
        <f t="shared" si="0"/>
        <v>9.3486150242661228E-2</v>
      </c>
      <c r="C39" s="118">
        <v>0.2</v>
      </c>
      <c r="D39" s="118">
        <v>0.5</v>
      </c>
      <c r="E39" s="321">
        <f t="shared" si="6"/>
        <v>3.7394460097064493E-2</v>
      </c>
      <c r="F39" s="46">
        <f t="shared" si="7"/>
        <v>3.7394460097064493E-2</v>
      </c>
      <c r="G39" s="36">
        <f t="shared" si="1"/>
        <v>0.74976159223904126</v>
      </c>
      <c r="H39" s="36"/>
      <c r="I39" s="36">
        <f t="shared" si="2"/>
        <v>0.13411225194079501</v>
      </c>
      <c r="J39" s="36">
        <v>0.8</v>
      </c>
      <c r="K39" s="36" t="e">
        <f>1-#REF!</f>
        <v>#REF!</v>
      </c>
      <c r="L39" s="36" t="e">
        <f t="shared" si="3"/>
        <v>#REF!</v>
      </c>
      <c r="M39" s="36">
        <f t="shared" si="4"/>
        <v>3.5193275443862866E-2</v>
      </c>
      <c r="N39" s="36" t="e">
        <f>G39*I39*#REF!*J39</f>
        <v>#REF!</v>
      </c>
      <c r="O39" s="36">
        <f t="shared" si="5"/>
        <v>0.10055221555389392</v>
      </c>
    </row>
    <row r="40" spans="1:23">
      <c r="A40" s="26">
        <v>4</v>
      </c>
      <c r="B40" s="26">
        <f t="shared" si="0"/>
        <v>8.0948512108342419E-2</v>
      </c>
      <c r="C40" s="295">
        <v>0.2</v>
      </c>
      <c r="D40" s="118">
        <v>0.5</v>
      </c>
      <c r="E40" s="321">
        <f t="shared" si="6"/>
        <v>3.237940484333697E-2</v>
      </c>
      <c r="F40" s="46">
        <f t="shared" si="7"/>
        <v>3.237940484333697E-2</v>
      </c>
      <c r="G40" s="36">
        <f t="shared" si="1"/>
        <v>0.64920937668514744</v>
      </c>
      <c r="H40" s="36"/>
      <c r="I40" s="36">
        <f t="shared" si="2"/>
        <v>0.13411225194079501</v>
      </c>
      <c r="J40" s="36">
        <v>0.8</v>
      </c>
      <c r="K40" s="36" t="e">
        <f>1-#REF!</f>
        <v>#REF!</v>
      </c>
      <c r="L40" s="36" t="e">
        <f t="shared" si="3"/>
        <v>#REF!</v>
      </c>
      <c r="M40" s="36">
        <f t="shared" si="4"/>
        <v>3.0473426020913744E-2</v>
      </c>
      <c r="N40" s="36" t="e">
        <f>G40*I40*#REF!*J40</f>
        <v>#REF!</v>
      </c>
      <c r="O40" s="36">
        <f t="shared" si="5"/>
        <v>8.7066931488324992E-2</v>
      </c>
    </row>
    <row r="41" spans="1:23">
      <c r="A41" s="26">
        <v>5</v>
      </c>
      <c r="B41" s="26">
        <f t="shared" si="0"/>
        <v>7.009232485823591E-2</v>
      </c>
      <c r="C41" s="295">
        <v>0.2</v>
      </c>
      <c r="D41" s="118">
        <v>0.5</v>
      </c>
      <c r="E41" s="321">
        <f>B41*(1-C41)*(1-D41)</f>
        <v>2.8036929943294365E-2</v>
      </c>
      <c r="F41" s="46">
        <f t="shared" si="7"/>
        <v>2.8036929943294365E-2</v>
      </c>
      <c r="G41" s="36">
        <f t="shared" si="1"/>
        <v>0.56214244519682244</v>
      </c>
      <c r="H41" s="36"/>
      <c r="I41" s="36">
        <f t="shared" si="2"/>
        <v>0.13411225194079501</v>
      </c>
      <c r="J41" s="36">
        <v>0.8</v>
      </c>
      <c r="K41" s="36" t="e">
        <f>1-#REF!</f>
        <v>#REF!</v>
      </c>
      <c r="L41" s="36" t="e">
        <f t="shared" si="3"/>
        <v>#REF!</v>
      </c>
      <c r="M41" s="36">
        <f t="shared" si="4"/>
        <v>2.6386566232897778E-2</v>
      </c>
      <c r="N41" s="36" t="e">
        <f>G41*I41*#REF!*J41</f>
        <v>#REF!</v>
      </c>
      <c r="O41" s="36">
        <f t="shared" si="5"/>
        <v>7.5390189236850799E-2</v>
      </c>
    </row>
    <row r="42" spans="1:23">
      <c r="A42" s="26">
        <v>6</v>
      </c>
      <c r="B42" s="26">
        <f t="shared" si="0"/>
        <v>6.0692085327732133E-2</v>
      </c>
      <c r="C42" s="295">
        <v>0.2</v>
      </c>
      <c r="D42" s="118">
        <v>0.75</v>
      </c>
      <c r="E42" s="321">
        <f t="shared" si="6"/>
        <v>1.2138417065546428E-2</v>
      </c>
      <c r="F42" s="46">
        <f>B42*(1-C42)*D42</f>
        <v>3.6415251196639284E-2</v>
      </c>
      <c r="G42" s="36">
        <f t="shared" si="1"/>
        <v>0.48675225595997168</v>
      </c>
      <c r="H42" s="36"/>
      <c r="I42" s="36">
        <f t="shared" si="2"/>
        <v>0.13411225194079501</v>
      </c>
      <c r="J42" s="36">
        <v>0.8</v>
      </c>
      <c r="K42" s="36" t="e">
        <f>1-#REF!</f>
        <v>#REF!</v>
      </c>
      <c r="L42" s="36" t="e">
        <f t="shared" si="3"/>
        <v>#REF!</v>
      </c>
      <c r="M42" s="36">
        <f t="shared" si="4"/>
        <v>2.2847804414418919E-2</v>
      </c>
      <c r="N42" s="36" t="e">
        <f>G42*I42*#REF!*J42</f>
        <v>#REF!</v>
      </c>
      <c r="O42" s="36">
        <f t="shared" si="5"/>
        <v>6.5279441184054057E-2</v>
      </c>
    </row>
    <row r="43" spans="1:23">
      <c r="A43" s="26">
        <v>7</v>
      </c>
      <c r="B43" s="26">
        <f t="shared" si="0"/>
        <v>5.2552533089447094E-2</v>
      </c>
      <c r="C43" s="295">
        <v>0.2</v>
      </c>
      <c r="D43" s="118">
        <v>0.75</v>
      </c>
      <c r="E43" s="321">
        <f t="shared" si="6"/>
        <v>1.051050661788942E-2</v>
      </c>
      <c r="F43" s="46">
        <f t="shared" si="7"/>
        <v>3.1531519853668255E-2</v>
      </c>
      <c r="G43" s="36">
        <f t="shared" si="1"/>
        <v>0.42147281477591764</v>
      </c>
      <c r="H43" s="36"/>
      <c r="I43" s="36">
        <f t="shared" si="2"/>
        <v>0.13411225194079501</v>
      </c>
      <c r="J43" s="36">
        <v>0.8</v>
      </c>
      <c r="K43" s="36" t="e">
        <f>1-#REF!</f>
        <v>#REF!</v>
      </c>
      <c r="L43" s="36" t="e">
        <f t="shared" si="3"/>
        <v>#REF!</v>
      </c>
      <c r="M43" s="36">
        <f t="shared" si="4"/>
        <v>1.9783633912498363E-2</v>
      </c>
      <c r="N43" s="36" t="e">
        <f>G43*I43*#REF!*J43</f>
        <v>#REF!</v>
      </c>
      <c r="O43" s="36">
        <f t="shared" si="5"/>
        <v>5.6524668321423895E-2</v>
      </c>
    </row>
    <row r="44" spans="1:23">
      <c r="A44" s="26">
        <v>8</v>
      </c>
      <c r="B44" s="26">
        <f t="shared" si="0"/>
        <v>4.5504594531628202E-2</v>
      </c>
      <c r="C44" s="295">
        <v>0.2</v>
      </c>
      <c r="D44" s="118">
        <v>0.75</v>
      </c>
      <c r="E44" s="321">
        <f t="shared" si="6"/>
        <v>9.1009189063256408E-3</v>
      </c>
      <c r="F44" s="46">
        <f t="shared" si="7"/>
        <v>2.7302756718976924E-2</v>
      </c>
      <c r="G44" s="36">
        <f t="shared" si="1"/>
        <v>0.36494814645449375</v>
      </c>
      <c r="H44" s="36"/>
      <c r="I44" s="36">
        <f t="shared" si="2"/>
        <v>0.13411225194079501</v>
      </c>
      <c r="J44" s="36">
        <v>0.8</v>
      </c>
      <c r="K44" s="36" t="e">
        <f>1-#REF!</f>
        <v>#REF!</v>
      </c>
      <c r="L44" s="36" t="e">
        <f t="shared" si="3"/>
        <v>#REF!</v>
      </c>
      <c r="M44" s="36">
        <f t="shared" si="4"/>
        <v>1.7130406216920926E-2</v>
      </c>
      <c r="N44" s="36" t="e">
        <f>G44*I44*#REF!*J44</f>
        <v>#REF!</v>
      </c>
      <c r="O44" s="36">
        <f t="shared" si="5"/>
        <v>4.8944017762631221E-2</v>
      </c>
    </row>
    <row r="45" spans="1:23">
      <c r="A45" s="26">
        <v>9</v>
      </c>
      <c r="B45" s="26">
        <f t="shared" si="0"/>
        <v>3.9401870885338766E-2</v>
      </c>
      <c r="C45" s="295">
        <v>0.2</v>
      </c>
      <c r="D45" s="118">
        <v>0.75</v>
      </c>
      <c r="E45" s="321">
        <f t="shared" si="6"/>
        <v>7.8803741770677536E-3</v>
      </c>
      <c r="F45" s="46">
        <f t="shared" si="7"/>
        <v>2.3641122531203262E-2</v>
      </c>
      <c r="G45" s="36">
        <f t="shared" si="1"/>
        <v>0.31600412869186256</v>
      </c>
      <c r="H45" s="36"/>
      <c r="I45" s="36">
        <f t="shared" si="2"/>
        <v>0.13411225194079501</v>
      </c>
      <c r="J45" s="36">
        <v>0.8</v>
      </c>
      <c r="K45" s="36" t="e">
        <f>1-#REF!</f>
        <v>#REF!</v>
      </c>
      <c r="L45" s="36" t="e">
        <f t="shared" si="3"/>
        <v>#REF!</v>
      </c>
      <c r="M45" s="36">
        <f t="shared" si="4"/>
        <v>1.4833008862509068E-2</v>
      </c>
      <c r="N45" s="36" t="e">
        <f>G45*I45*#REF!*J45</f>
        <v>#REF!</v>
      </c>
      <c r="O45" s="36">
        <f t="shared" si="5"/>
        <v>4.2380025321454483E-2</v>
      </c>
    </row>
    <row r="46" spans="1:23">
      <c r="A46" s="26">
        <v>10</v>
      </c>
      <c r="B46" s="26">
        <f t="shared" si="0"/>
        <v>3.4117597250225534E-2</v>
      </c>
      <c r="C46" s="118">
        <v>0.35</v>
      </c>
      <c r="D46" s="118">
        <v>0.75</v>
      </c>
      <c r="E46" s="321">
        <f t="shared" si="6"/>
        <v>5.5441095531616495E-3</v>
      </c>
      <c r="F46" s="46">
        <f t="shared" si="7"/>
        <v>1.6632328659484948E-2</v>
      </c>
      <c r="G46" s="36">
        <f t="shared" si="1"/>
        <v>0.2736241033704081</v>
      </c>
      <c r="H46" s="36"/>
      <c r="I46" s="36">
        <f t="shared" si="2"/>
        <v>0.13411225194079501</v>
      </c>
      <c r="J46" s="36">
        <v>0.8</v>
      </c>
      <c r="K46" s="36" t="e">
        <f>1-#REF!</f>
        <v>#REF!</v>
      </c>
      <c r="L46" s="36" t="e">
        <f t="shared" si="3"/>
        <v>#REF!</v>
      </c>
      <c r="M46" s="36">
        <f t="shared" si="4"/>
        <v>1.2843720640900207E-2</v>
      </c>
      <c r="N46" s="36" t="e">
        <f>G46*I46*#REF!*J46</f>
        <v>#REF!</v>
      </c>
      <c r="O46" s="36">
        <f t="shared" si="5"/>
        <v>3.6696344688286309E-2</v>
      </c>
    </row>
    <row r="47" spans="1:23">
      <c r="A47" s="26">
        <v>11</v>
      </c>
      <c r="B47" s="26">
        <f t="shared" si="0"/>
        <v>2.9542009452188715E-2</v>
      </c>
      <c r="C47" s="295">
        <v>0.35</v>
      </c>
      <c r="D47" s="118">
        <v>0.75</v>
      </c>
      <c r="E47" s="321">
        <f t="shared" si="6"/>
        <v>4.8005765359806661E-3</v>
      </c>
      <c r="F47" s="46">
        <f t="shared" si="7"/>
        <v>1.4401729607941997E-2</v>
      </c>
      <c r="G47" s="36">
        <f t="shared" si="1"/>
        <v>0.23692775868212176</v>
      </c>
      <c r="H47" s="36"/>
      <c r="I47" s="36">
        <f t="shared" si="2"/>
        <v>0.13411225194079501</v>
      </c>
      <c r="J47" s="36">
        <v>0.8</v>
      </c>
      <c r="K47" s="36" t="e">
        <f>1-#REF!</f>
        <v>#REF!</v>
      </c>
      <c r="L47" s="36" t="e">
        <f t="shared" si="3"/>
        <v>#REF!</v>
      </c>
      <c r="M47" s="36">
        <f t="shared" si="4"/>
        <v>1.1121220342450607E-2</v>
      </c>
      <c r="N47" s="36" t="e">
        <f>G47*I47*#REF!*J47</f>
        <v>#REF!</v>
      </c>
      <c r="O47" s="36">
        <f t="shared" si="5"/>
        <v>3.1774915264144596E-2</v>
      </c>
    </row>
    <row r="48" spans="1:23">
      <c r="A48" s="26">
        <v>12</v>
      </c>
      <c r="B48" s="26">
        <f t="shared" si="0"/>
        <v>2.5580064037699433E-2</v>
      </c>
      <c r="C48" s="295">
        <v>0.35</v>
      </c>
      <c r="D48" s="118">
        <v>0.75</v>
      </c>
      <c r="E48" s="321">
        <f t="shared" si="6"/>
        <v>4.1567604061261577E-3</v>
      </c>
      <c r="F48" s="46">
        <f t="shared" si="7"/>
        <v>1.2470281218378473E-2</v>
      </c>
      <c r="G48" s="36">
        <f t="shared" si="1"/>
        <v>0.20515284341797721</v>
      </c>
      <c r="H48" s="36"/>
      <c r="I48" s="36">
        <f t="shared" si="2"/>
        <v>0.13411225194079501</v>
      </c>
      <c r="J48" s="36">
        <v>0.8</v>
      </c>
      <c r="K48" s="36" t="e">
        <f>1-#REF!</f>
        <v>#REF!</v>
      </c>
      <c r="L48" s="36" t="e">
        <f t="shared" si="3"/>
        <v>#REF!</v>
      </c>
      <c r="M48" s="36">
        <f t="shared" si="4"/>
        <v>9.6297284379947799E-3</v>
      </c>
      <c r="N48" s="36" t="e">
        <f>G48*I48*#REF!*J48</f>
        <v>#REF!</v>
      </c>
      <c r="O48" s="36">
        <f t="shared" si="5"/>
        <v>2.751350982284223E-2</v>
      </c>
    </row>
    <row r="49" spans="1:15">
      <c r="A49" s="26">
        <v>13</v>
      </c>
      <c r="B49" s="26">
        <f t="shared" si="0"/>
        <v>2.214946404481382E-2</v>
      </c>
      <c r="C49" s="295">
        <v>0.35</v>
      </c>
      <c r="D49" s="118">
        <v>0.75</v>
      </c>
      <c r="E49" s="321">
        <f t="shared" si="6"/>
        <v>3.5992879072822459E-3</v>
      </c>
      <c r="F49" s="46">
        <f t="shared" si="7"/>
        <v>1.0797863721846738E-2</v>
      </c>
      <c r="G49" s="36">
        <f t="shared" si="1"/>
        <v>0.17763933359513498</v>
      </c>
      <c r="H49" s="36"/>
      <c r="I49" s="36">
        <f t="shared" si="2"/>
        <v>0.13411225194079501</v>
      </c>
      <c r="J49" s="36">
        <v>0.8</v>
      </c>
      <c r="K49" s="36" t="e">
        <f>1-#REF!</f>
        <v>#REF!</v>
      </c>
      <c r="L49" s="36" t="e">
        <f t="shared" si="3"/>
        <v>#REF!</v>
      </c>
      <c r="M49" s="36">
        <f t="shared" si="4"/>
        <v>8.3382638715969858E-3</v>
      </c>
      <c r="N49" s="36" t="e">
        <f>G49*I49*#REF!*J49</f>
        <v>#REF!</v>
      </c>
      <c r="O49" s="36">
        <f t="shared" si="5"/>
        <v>2.3823611061705673E-2</v>
      </c>
    </row>
    <row r="50" spans="1:15">
      <c r="A50" s="26">
        <v>14</v>
      </c>
      <c r="B50" s="26">
        <f t="shared" si="0"/>
        <v>1.9178949542482164E-2</v>
      </c>
      <c r="C50" s="295">
        <v>0.35</v>
      </c>
      <c r="D50" s="118">
        <v>0.75</v>
      </c>
      <c r="E50" s="321">
        <f t="shared" si="6"/>
        <v>3.1165793006533516E-3</v>
      </c>
      <c r="F50" s="46">
        <f t="shared" si="7"/>
        <v>9.3497379019600556E-3</v>
      </c>
      <c r="G50" s="36">
        <f t="shared" si="1"/>
        <v>0.15381572253342932</v>
      </c>
      <c r="H50" s="36"/>
      <c r="I50" s="36">
        <f t="shared" si="2"/>
        <v>0.13411225194079501</v>
      </c>
      <c r="J50" s="36">
        <v>0.8</v>
      </c>
      <c r="K50" s="36" t="e">
        <f>1-#REF!</f>
        <v>#REF!</v>
      </c>
      <c r="L50" s="36" t="e">
        <f t="shared" si="3"/>
        <v>#REF!</v>
      </c>
      <c r="M50" s="36">
        <f t="shared" si="4"/>
        <v>7.2200005265005427E-3</v>
      </c>
      <c r="N50" s="36" t="e">
        <f>G50*I50*#REF!*J50</f>
        <v>#REF!</v>
      </c>
      <c r="O50" s="36">
        <f t="shared" si="5"/>
        <v>2.0628572932858694E-2</v>
      </c>
    </row>
    <row r="51" spans="1:15">
      <c r="A51" s="26">
        <v>15</v>
      </c>
      <c r="B51" s="26">
        <f t="shared" si="0"/>
        <v>1.6606817429481006E-2</v>
      </c>
      <c r="C51" s="295">
        <v>0.35</v>
      </c>
      <c r="D51" s="118">
        <v>0.75</v>
      </c>
      <c r="E51" s="321">
        <f t="shared" si="6"/>
        <v>2.6986078322906635E-3</v>
      </c>
      <c r="F51" s="46">
        <f t="shared" si="7"/>
        <v>8.09582349687199E-3</v>
      </c>
      <c r="G51" s="36">
        <f t="shared" si="1"/>
        <v>0.1331871496005706</v>
      </c>
      <c r="H51" s="36"/>
      <c r="I51" s="36">
        <f t="shared" si="2"/>
        <v>0.13411225194079501</v>
      </c>
      <c r="J51" s="36">
        <v>0.8</v>
      </c>
      <c r="K51" s="36" t="e">
        <f>1-#REF!</f>
        <v>#REF!</v>
      </c>
      <c r="L51" s="36" t="e">
        <f t="shared" si="3"/>
        <v>#REF!</v>
      </c>
      <c r="M51" s="36">
        <f t="shared" si="4"/>
        <v>6.2517099968778279E-3</v>
      </c>
      <c r="N51" s="36" t="e">
        <f>G51*I51*#REF!*J51</f>
        <v>#REF!</v>
      </c>
      <c r="O51" s="36">
        <f t="shared" si="5"/>
        <v>1.786202856250808E-2</v>
      </c>
    </row>
    <row r="52" spans="1:15">
      <c r="A52" s="26">
        <v>16</v>
      </c>
      <c r="B52" s="26">
        <f t="shared" si="0"/>
        <v>1.4379639746443663E-2</v>
      </c>
      <c r="C52" s="295">
        <v>0.35</v>
      </c>
      <c r="D52" s="118">
        <f>GlobalFactors.csv!F23</f>
        <v>0.95</v>
      </c>
      <c r="E52" s="321">
        <f t="shared" si="6"/>
        <v>4.673382917594195E-4</v>
      </c>
      <c r="F52" s="46">
        <f t="shared" si="7"/>
        <v>8.8794275434289621E-3</v>
      </c>
      <c r="G52" s="36">
        <f t="shared" si="1"/>
        <v>0.11532512103806256</v>
      </c>
      <c r="H52" s="36"/>
      <c r="I52" s="36">
        <f t="shared" si="2"/>
        <v>0.13411225194079501</v>
      </c>
      <c r="J52" s="36">
        <v>0.8</v>
      </c>
      <c r="K52" s="36" t="e">
        <f>1-#REF!</f>
        <v>#REF!</v>
      </c>
      <c r="L52" s="36" t="e">
        <f t="shared" si="3"/>
        <v>#REF!</v>
      </c>
      <c r="M52" s="36">
        <f t="shared" si="4"/>
        <v>5.413279090715763E-3</v>
      </c>
      <c r="N52" s="36" t="e">
        <f>G52*I52*#REF!*J52</f>
        <v>#REF!</v>
      </c>
      <c r="O52" s="36">
        <f t="shared" si="5"/>
        <v>1.5466511687759324E-2</v>
      </c>
    </row>
    <row r="53" spans="1:15">
      <c r="A53" s="26">
        <v>17</v>
      </c>
      <c r="B53" s="26">
        <f t="shared" si="0"/>
        <v>1.2451153877950739E-2</v>
      </c>
      <c r="C53" s="295">
        <v>0.35</v>
      </c>
      <c r="D53" s="118">
        <v>0.95</v>
      </c>
      <c r="E53" s="321">
        <f t="shared" si="6"/>
        <v>4.0466250103339942E-4</v>
      </c>
      <c r="F53" s="46">
        <f t="shared" si="7"/>
        <v>7.6885875196345812E-3</v>
      </c>
      <c r="G53" s="36">
        <f t="shared" si="1"/>
        <v>9.9858609350303232E-2</v>
      </c>
      <c r="H53" s="36"/>
      <c r="I53" s="36">
        <f t="shared" si="2"/>
        <v>0.13411225194079501</v>
      </c>
      <c r="J53" s="36">
        <v>0.75</v>
      </c>
      <c r="K53" s="36" t="e">
        <f>1-#REF!</f>
        <v>#REF!</v>
      </c>
      <c r="L53" s="36" t="e">
        <f t="shared" si="3"/>
        <v>#REF!</v>
      </c>
      <c r="M53" s="36">
        <f t="shared" si="4"/>
        <v>4.6872920414758532E-3</v>
      </c>
      <c r="N53" s="36" t="e">
        <f>G53*I53*#REF!*J53</f>
        <v>#REF!</v>
      </c>
      <c r="O53" s="36">
        <f t="shared" si="5"/>
        <v>1.3392262975645296E-2</v>
      </c>
    </row>
    <row r="54" spans="1:15">
      <c r="A54" s="26">
        <v>18</v>
      </c>
      <c r="B54" s="26">
        <f t="shared" si="0"/>
        <v>1.0781301592117407E-2</v>
      </c>
      <c r="C54" s="295">
        <v>0.35</v>
      </c>
      <c r="D54" s="118">
        <v>0.95</v>
      </c>
      <c r="E54" s="321">
        <f t="shared" si="6"/>
        <v>3.5039230174381607E-4</v>
      </c>
      <c r="F54" s="46">
        <f t="shared" si="7"/>
        <v>6.657453733132499E-3</v>
      </c>
      <c r="G54" s="36">
        <f t="shared" si="1"/>
        <v>8.6466346374657915E-2</v>
      </c>
      <c r="H54" s="36"/>
      <c r="I54" s="36">
        <f t="shared" si="2"/>
        <v>0.13411225194079501</v>
      </c>
      <c r="J54" s="36">
        <v>0.75</v>
      </c>
      <c r="K54" s="36" t="e">
        <f>1-#REF!</f>
        <v>#REF!</v>
      </c>
      <c r="L54" s="36" t="e">
        <f t="shared" si="3"/>
        <v>#REF!</v>
      </c>
      <c r="M54" s="36">
        <f t="shared" si="4"/>
        <v>4.0586687502893589E-3</v>
      </c>
      <c r="N54" s="36" t="e">
        <f>G54*I54*#REF!*J54</f>
        <v>#REF!</v>
      </c>
      <c r="O54" s="36">
        <f t="shared" si="5"/>
        <v>1.1596196429398169E-2</v>
      </c>
    </row>
    <row r="55" spans="1:15">
      <c r="A55" s="26">
        <v>19</v>
      </c>
      <c r="B55" s="26">
        <f t="shared" si="0"/>
        <v>9.3353969567456611E-3</v>
      </c>
      <c r="C55" s="295">
        <v>0.35</v>
      </c>
      <c r="D55" s="118">
        <v>0.95</v>
      </c>
      <c r="E55" s="321">
        <f t="shared" si="6"/>
        <v>3.0340040109423427E-4</v>
      </c>
      <c r="F55" s="46">
        <f t="shared" si="7"/>
        <v>5.7646076207904457E-3</v>
      </c>
      <c r="G55" s="36">
        <f t="shared" si="1"/>
        <v>7.4870149945259784E-2</v>
      </c>
      <c r="H55" s="36"/>
      <c r="I55" s="36">
        <f t="shared" si="2"/>
        <v>0.13411225194079501</v>
      </c>
      <c r="J55" s="36">
        <v>0.75</v>
      </c>
      <c r="K55" s="36" t="e">
        <f>1-#REF!</f>
        <v>#REF!</v>
      </c>
      <c r="L55" s="36" t="e">
        <f t="shared" si="3"/>
        <v>#REF!</v>
      </c>
      <c r="M55" s="36">
        <f t="shared" si="4"/>
        <v>3.5143515443063229E-3</v>
      </c>
      <c r="N55" s="36" t="e">
        <f>G55*I55*#REF!*J55</f>
        <v>#REF!</v>
      </c>
      <c r="O55" s="36">
        <f t="shared" si="5"/>
        <v>1.0041004412303781E-2</v>
      </c>
    </row>
    <row r="56" spans="1:15">
      <c r="A56" s="26">
        <v>20</v>
      </c>
      <c r="B56" s="26">
        <f t="shared" si="0"/>
        <v>8.0834058481152552E-3</v>
      </c>
      <c r="C56" s="295">
        <v>0.35</v>
      </c>
      <c r="D56" s="118">
        <v>0.95</v>
      </c>
      <c r="E56" s="321">
        <f t="shared" si="6"/>
        <v>2.6271069006374604E-4</v>
      </c>
      <c r="F56" s="46">
        <f t="shared" si="7"/>
        <v>4.99150311121117E-3</v>
      </c>
      <c r="G56" s="36">
        <f t="shared" si="1"/>
        <v>6.482914553295599E-2</v>
      </c>
      <c r="H56" s="36"/>
      <c r="I56" s="36">
        <f t="shared" si="2"/>
        <v>0.13411225194079501</v>
      </c>
      <c r="J56" s="36">
        <v>0.75</v>
      </c>
      <c r="K56" s="36" t="e">
        <f>1-#REF!</f>
        <v>#REF!</v>
      </c>
      <c r="L56" s="36" t="e">
        <f t="shared" si="3"/>
        <v>#REF!</v>
      </c>
      <c r="M56" s="36">
        <f t="shared" si="4"/>
        <v>3.0430339445877905E-3</v>
      </c>
      <c r="N56" s="36" t="e">
        <f>G56*I56*#REF!*J56</f>
        <v>#REF!</v>
      </c>
      <c r="O56" s="36">
        <f t="shared" si="5"/>
        <v>8.6943826988222592E-3</v>
      </c>
    </row>
    <row r="57" spans="1:15">
      <c r="A57" s="26">
        <v>21</v>
      </c>
      <c r="B57" s="26">
        <f t="shared" si="0"/>
        <v>6.9993220864731295E-3</v>
      </c>
      <c r="C57" s="295">
        <v>0.35</v>
      </c>
      <c r="D57" s="118">
        <v>0.95</v>
      </c>
      <c r="E57" s="321">
        <f t="shared" si="6"/>
        <v>2.2747796781037694E-4</v>
      </c>
      <c r="F57" s="46">
        <f t="shared" si="7"/>
        <v>4.3220813883971575E-3</v>
      </c>
      <c r="G57" s="36">
        <f t="shared" si="1"/>
        <v>5.6134762834133725E-2</v>
      </c>
      <c r="H57" s="36"/>
      <c r="I57" s="36">
        <f t="shared" si="2"/>
        <v>0.13411225194079501</v>
      </c>
      <c r="J57" s="36">
        <v>0.75</v>
      </c>
      <c r="K57" s="36" t="e">
        <f>1-#REF!</f>
        <v>#REF!</v>
      </c>
      <c r="L57" s="36" t="e">
        <f t="shared" si="3"/>
        <v>#REF!</v>
      </c>
      <c r="M57" s="36">
        <f t="shared" si="4"/>
        <v>2.6349258095468412E-3</v>
      </c>
      <c r="N57" s="36" t="e">
        <f>G57*I57*#REF!*J57</f>
        <v>#REF!</v>
      </c>
      <c r="O57" s="36">
        <f t="shared" si="5"/>
        <v>7.528359455848118E-3</v>
      </c>
    </row>
    <row r="58" spans="1:15">
      <c r="A58" s="26">
        <v>22</v>
      </c>
      <c r="B58" s="26">
        <f t="shared" si="0"/>
        <v>6.0606272393972736E-3</v>
      </c>
      <c r="C58" s="295">
        <v>0.35</v>
      </c>
      <c r="D58" s="118">
        <v>0.95</v>
      </c>
      <c r="E58" s="321">
        <f t="shared" si="6"/>
        <v>1.9697038528041156E-4</v>
      </c>
      <c r="F58" s="46">
        <f t="shared" si="7"/>
        <v>3.7424373203278163E-3</v>
      </c>
      <c r="G58" s="36">
        <f t="shared" si="1"/>
        <v>4.8606403378285624E-2</v>
      </c>
      <c r="H58" s="36"/>
      <c r="I58" s="36">
        <f t="shared" si="2"/>
        <v>0.13411225194079501</v>
      </c>
      <c r="J58" s="36">
        <v>0.75</v>
      </c>
      <c r="K58" s="36" t="e">
        <f>1-#REF!</f>
        <v>#REF!</v>
      </c>
      <c r="L58" s="36" t="e">
        <f t="shared" si="3"/>
        <v>#REF!</v>
      </c>
      <c r="M58" s="36">
        <f t="shared" si="4"/>
        <v>2.2815499755315929E-3</v>
      </c>
      <c r="N58" s="36" t="e">
        <f>G58*I58*#REF!*J58</f>
        <v>#REF!</v>
      </c>
      <c r="O58" s="36">
        <f t="shared" si="5"/>
        <v>6.5187142158045514E-3</v>
      </c>
    </row>
    <row r="59" spans="1:15">
      <c r="A59" s="26">
        <v>23</v>
      </c>
      <c r="B59" s="26">
        <f t="shared" si="0"/>
        <v>5.2478228721479815E-3</v>
      </c>
      <c r="C59" s="295">
        <v>0.35</v>
      </c>
      <c r="D59" s="118">
        <v>0.95</v>
      </c>
      <c r="E59" s="321">
        <f t="shared" si="6"/>
        <v>1.7055424334480956E-4</v>
      </c>
      <c r="F59" s="46">
        <f t="shared" si="7"/>
        <v>3.2405306235513786E-3</v>
      </c>
      <c r="G59" s="36">
        <f t="shared" si="1"/>
        <v>4.2087689162481068E-2</v>
      </c>
      <c r="H59" s="36"/>
      <c r="I59" s="36">
        <f t="shared" si="2"/>
        <v>0.13411225194079501</v>
      </c>
      <c r="J59" s="36">
        <v>0.75</v>
      </c>
      <c r="K59" s="36" t="e">
        <f>1-#REF!</f>
        <v>#REF!</v>
      </c>
      <c r="L59" s="36" t="e">
        <f t="shared" si="3"/>
        <v>#REF!</v>
      </c>
      <c r="M59" s="36">
        <f t="shared" si="4"/>
        <v>1.9755661703975851E-3</v>
      </c>
      <c r="N59" s="36" t="e">
        <f>G59*I59*#REF!*J59</f>
        <v>#REF!</v>
      </c>
      <c r="O59" s="36">
        <f t="shared" si="5"/>
        <v>5.6444747725645289E-3</v>
      </c>
    </row>
    <row r="60" spans="1:15">
      <c r="A60" s="26">
        <v>24</v>
      </c>
      <c r="B60" s="26">
        <f t="shared" si="0"/>
        <v>4.5440255289778061E-3</v>
      </c>
      <c r="C60" s="295">
        <v>0.35</v>
      </c>
      <c r="D60" s="118">
        <v>0.95</v>
      </c>
      <c r="E60" s="321">
        <f t="shared" si="6"/>
        <v>1.4768082969177885E-4</v>
      </c>
      <c r="F60" s="46">
        <f t="shared" si="7"/>
        <v>2.8059357641437954E-3</v>
      </c>
      <c r="G60" s="36">
        <f t="shared" si="1"/>
        <v>3.6443214389916538E-2</v>
      </c>
      <c r="H60" s="36"/>
      <c r="I60" s="36">
        <f t="shared" si="2"/>
        <v>0.13411225194079501</v>
      </c>
      <c r="J60" s="36">
        <v>0.75</v>
      </c>
      <c r="K60" s="36" t="e">
        <f>1-#REF!</f>
        <v>#REF!</v>
      </c>
      <c r="L60" s="36" t="e">
        <f t="shared" si="3"/>
        <v>#REF!</v>
      </c>
      <c r="M60" s="36">
        <f t="shared" si="4"/>
        <v>1.7106185424275123E-3</v>
      </c>
      <c r="N60" s="36" t="e">
        <f>G60*I60*#REF!*J60</f>
        <v>#REF!</v>
      </c>
      <c r="O60" s="36">
        <f t="shared" si="5"/>
        <v>4.8874815497928926E-3</v>
      </c>
    </row>
    <row r="61" spans="1:15">
      <c r="A61" s="26">
        <v>25</v>
      </c>
      <c r="B61" s="26">
        <f t="shared" si="0"/>
        <v>3.9346160324101294E-3</v>
      </c>
      <c r="C61" s="295">
        <v>0.35</v>
      </c>
      <c r="D61" s="118">
        <v>0.95</v>
      </c>
      <c r="E61" s="321">
        <f t="shared" si="6"/>
        <v>1.2787502105332933E-4</v>
      </c>
      <c r="F61" s="46">
        <f t="shared" si="7"/>
        <v>2.4296254000132551E-3</v>
      </c>
      <c r="G61" s="36">
        <f t="shared" si="1"/>
        <v>3.1555732840123654E-2</v>
      </c>
      <c r="H61" s="36"/>
      <c r="I61" s="36">
        <f t="shared" si="2"/>
        <v>0.13411225194079501</v>
      </c>
      <c r="J61" s="36">
        <v>0.75</v>
      </c>
      <c r="K61" s="36" t="e">
        <f>1-#REF!</f>
        <v>#REF!</v>
      </c>
      <c r="L61" s="36" t="e">
        <f t="shared" si="3"/>
        <v>#REF!</v>
      </c>
      <c r="M61" s="36">
        <f t="shared" si="4"/>
        <v>1.4812036374908788E-3</v>
      </c>
      <c r="N61" s="36" t="e">
        <f>G61*I61*#REF!*J61</f>
        <v>#REF!</v>
      </c>
      <c r="O61" s="36">
        <f t="shared" si="5"/>
        <v>4.2320103928310824E-3</v>
      </c>
    </row>
    <row r="62" spans="1:15">
      <c r="A62" s="26">
        <v>26</v>
      </c>
      <c r="B62" s="26">
        <f t="shared" si="0"/>
        <v>3.406935815781251E-3</v>
      </c>
      <c r="C62" s="295">
        <v>0.35</v>
      </c>
      <c r="D62" s="118">
        <v>0.95</v>
      </c>
      <c r="E62" s="321">
        <f t="shared" si="6"/>
        <v>1.1072541401289075E-4</v>
      </c>
      <c r="F62" s="46">
        <f t="shared" si="7"/>
        <v>2.1037828662449224E-3</v>
      </c>
      <c r="G62" s="36">
        <f t="shared" si="1"/>
        <v>2.7323722447292569E-2</v>
      </c>
      <c r="H62" s="36"/>
      <c r="I62" s="36">
        <f t="shared" si="2"/>
        <v>0.13411225194079501</v>
      </c>
      <c r="J62" s="36">
        <v>0.75</v>
      </c>
      <c r="K62" s="36" t="e">
        <f>1-#REF!</f>
        <v>#REF!</v>
      </c>
      <c r="L62" s="36" t="e">
        <f t="shared" si="3"/>
        <v>#REF!</v>
      </c>
      <c r="M62" s="36">
        <f t="shared" si="4"/>
        <v>1.2825560820840798E-3</v>
      </c>
      <c r="N62" s="36" t="e">
        <f>G62*I62*#REF!*J62</f>
        <v>#REF!</v>
      </c>
      <c r="O62" s="36">
        <f t="shared" si="5"/>
        <v>3.664445948811657E-3</v>
      </c>
    </row>
    <row r="63" spans="1:15">
      <c r="A63" s="26">
        <v>27</v>
      </c>
      <c r="B63" s="26">
        <f t="shared" si="0"/>
        <v>2.9500239813090774E-3</v>
      </c>
      <c r="C63" s="295">
        <v>0.35</v>
      </c>
      <c r="D63" s="118">
        <v>0.95</v>
      </c>
      <c r="E63" s="321">
        <f t="shared" si="6"/>
        <v>9.5875779392545104E-5</v>
      </c>
      <c r="F63" s="46">
        <f t="shared" si="7"/>
        <v>1.8216398084583553E-3</v>
      </c>
      <c r="G63" s="36">
        <f t="shared" si="1"/>
        <v>2.3659276498480913E-2</v>
      </c>
      <c r="H63" s="36"/>
      <c r="I63" s="36">
        <f t="shared" si="2"/>
        <v>0.13411225194079501</v>
      </c>
      <c r="J63" s="36">
        <v>0.75</v>
      </c>
      <c r="K63" s="36" t="e">
        <f>1-#REF!</f>
        <v>#REF!</v>
      </c>
      <c r="L63" s="36" t="e">
        <f t="shared" si="3"/>
        <v>#REF!</v>
      </c>
      <c r="M63" s="36">
        <f t="shared" si="4"/>
        <v>1.1105495976754208E-3</v>
      </c>
      <c r="N63" s="36" t="e">
        <f>G63*I63*#REF!*J63</f>
        <v>#REF!</v>
      </c>
      <c r="O63" s="36">
        <f t="shared" si="5"/>
        <v>3.1729988505012027E-3</v>
      </c>
    </row>
    <row r="64" spans="1:15">
      <c r="A64" s="26">
        <v>28</v>
      </c>
      <c r="B64" s="26">
        <f t="shared" si="0"/>
        <v>2.5543896218963671E-3</v>
      </c>
      <c r="C64" s="295">
        <v>0.35</v>
      </c>
      <c r="D64" s="118">
        <v>0.95</v>
      </c>
      <c r="E64" s="321">
        <f t="shared" si="6"/>
        <v>8.3017662711632012E-5</v>
      </c>
      <c r="F64" s="46">
        <f t="shared" si="7"/>
        <v>1.5773355915210067E-3</v>
      </c>
      <c r="G64" s="36">
        <f t="shared" si="1"/>
        <v>2.0486277647979705E-2</v>
      </c>
      <c r="H64" s="36"/>
      <c r="I64" s="36">
        <f t="shared" si="2"/>
        <v>0.13411225194079501</v>
      </c>
      <c r="J64" s="36">
        <v>0.75</v>
      </c>
      <c r="K64" s="36" t="e">
        <f>1-#REF!</f>
        <v>#REF!</v>
      </c>
      <c r="L64" s="36" t="e">
        <f t="shared" si="3"/>
        <v>#REF!</v>
      </c>
      <c r="M64" s="36">
        <f t="shared" si="4"/>
        <v>9.6161129023922612E-4</v>
      </c>
      <c r="N64" s="36" t="e">
        <f>G64*I64*#REF!*J64</f>
        <v>#REF!</v>
      </c>
      <c r="O64" s="36">
        <f t="shared" si="5"/>
        <v>2.7474608292549318E-3</v>
      </c>
    </row>
    <row r="65" spans="1:15">
      <c r="A65" s="26">
        <v>29</v>
      </c>
      <c r="B65" s="26">
        <f t="shared" si="0"/>
        <v>2.2118146773696511E-3</v>
      </c>
      <c r="C65" s="295">
        <v>0.35</v>
      </c>
      <c r="D65" s="118">
        <v>0.95</v>
      </c>
      <c r="E65" s="321">
        <f t="shared" si="6"/>
        <v>7.1883977014513729E-5</v>
      </c>
      <c r="F65" s="46">
        <f t="shared" si="7"/>
        <v>1.3657955632757595E-3</v>
      </c>
      <c r="G65" s="36">
        <f t="shared" si="1"/>
        <v>1.7738816818724773E-2</v>
      </c>
      <c r="H65" s="36"/>
      <c r="I65" s="36">
        <f t="shared" si="2"/>
        <v>0.13411225194079501</v>
      </c>
      <c r="J65" s="36">
        <v>0.75</v>
      </c>
      <c r="K65" s="36" t="e">
        <f>1-#REF!</f>
        <v>#REF!</v>
      </c>
      <c r="L65" s="36" t="e">
        <f t="shared" si="3"/>
        <v>#REF!</v>
      </c>
      <c r="M65" s="36">
        <f t="shared" si="4"/>
        <v>8.3264743461354995E-4</v>
      </c>
      <c r="N65" s="36" t="e">
        <f>G65*I65*#REF!*J65</f>
        <v>#REF!</v>
      </c>
      <c r="O65" s="36">
        <f t="shared" si="5"/>
        <v>2.3789926703244287E-3</v>
      </c>
    </row>
    <row r="66" spans="1:15">
      <c r="A66" s="26">
        <v>30</v>
      </c>
      <c r="B66" s="26">
        <f t="shared" si="0"/>
        <v>1.9151832301119041E-3</v>
      </c>
      <c r="C66" s="295">
        <v>0.35</v>
      </c>
      <c r="D66" s="118">
        <v>0.95</v>
      </c>
      <c r="E66" s="321">
        <f t="shared" si="6"/>
        <v>6.224345497863694E-5</v>
      </c>
      <c r="F66" s="46">
        <f t="shared" si="7"/>
        <v>1.1826256445941006E-3</v>
      </c>
      <c r="G66" s="36">
        <f t="shared" si="1"/>
        <v>1.5359824148400357E-2</v>
      </c>
      <c r="H66" s="36"/>
      <c r="I66" s="36">
        <f t="shared" si="2"/>
        <v>0.13411225194079501</v>
      </c>
      <c r="J66" s="36">
        <v>0.75</v>
      </c>
      <c r="K66" s="36" t="e">
        <f>1-#REF!</f>
        <v>#REF!</v>
      </c>
      <c r="L66" s="36" t="e">
        <f t="shared" si="3"/>
        <v>#REF!</v>
      </c>
      <c r="M66" s="36">
        <f t="shared" si="4"/>
        <v>7.209792120848015E-4</v>
      </c>
      <c r="N66" s="36" t="e">
        <f>G66*I66*#REF!*J66</f>
        <v>#REF!</v>
      </c>
      <c r="O66" s="36">
        <f t="shared" si="5"/>
        <v>2.0599406059565758E-3</v>
      </c>
    </row>
    <row r="67" spans="1:15">
      <c r="A67" s="26">
        <v>31</v>
      </c>
      <c r="B67" s="26">
        <f t="shared" si="0"/>
        <v>1.6583336942423506E-3</v>
      </c>
      <c r="C67" s="295">
        <v>0.35</v>
      </c>
      <c r="D67" s="118">
        <v>0.95</v>
      </c>
      <c r="E67" s="321">
        <f t="shared" si="6"/>
        <v>5.3895845062876445E-5</v>
      </c>
      <c r="F67" s="46">
        <f t="shared" si="7"/>
        <v>1.0240210561946515E-3</v>
      </c>
      <c r="G67" s="36">
        <f t="shared" si="1"/>
        <v>1.3299883542443779E-2</v>
      </c>
      <c r="H67" s="36"/>
      <c r="I67" s="36">
        <f t="shared" si="2"/>
        <v>0.13411225194079501</v>
      </c>
      <c r="J67" s="36">
        <v>0.75</v>
      </c>
      <c r="K67" s="36" t="e">
        <f>1-#REF!</f>
        <v>#REF!</v>
      </c>
      <c r="L67" s="36" t="e">
        <f t="shared" si="3"/>
        <v>#REF!</v>
      </c>
      <c r="M67" s="36">
        <f t="shared" si="4"/>
        <v>6.242870663496087E-4</v>
      </c>
      <c r="N67" s="36" t="e">
        <f>G67*I67*#REF!*J67</f>
        <v>#REF!</v>
      </c>
      <c r="O67" s="36">
        <f t="shared" si="5"/>
        <v>1.7836773324274534E-3</v>
      </c>
    </row>
    <row r="68" spans="1:15">
      <c r="A68" s="26">
        <v>32</v>
      </c>
      <c r="B68" s="26">
        <f t="shared" si="0"/>
        <v>1.4359308280382109E-3</v>
      </c>
      <c r="C68" s="295">
        <v>0.35</v>
      </c>
      <c r="D68" s="118">
        <v>0.95</v>
      </c>
      <c r="E68" s="321">
        <f t="shared" si="6"/>
        <v>4.66677519112419E-5</v>
      </c>
      <c r="F68" s="46">
        <f t="shared" si="7"/>
        <v>8.8668728631359516E-4</v>
      </c>
      <c r="G68" s="36">
        <f t="shared" si="1"/>
        <v>1.1516206210016325E-2</v>
      </c>
      <c r="H68" s="36"/>
      <c r="I68" s="36">
        <f t="shared" si="2"/>
        <v>0.13411225194079501</v>
      </c>
      <c r="J68" s="36">
        <v>0.75</v>
      </c>
      <c r="K68" s="36" t="e">
        <f>1-#REF!</f>
        <v>#REF!</v>
      </c>
      <c r="L68" s="36" t="e">
        <f t="shared" si="3"/>
        <v>#REF!</v>
      </c>
      <c r="M68" s="36">
        <f t="shared" si="4"/>
        <v>5.4056252202395007E-4</v>
      </c>
      <c r="N68" s="36" t="e">
        <f>G68*I68*#REF!*J68</f>
        <v>#REF!</v>
      </c>
      <c r="O68" s="36">
        <f t="shared" si="5"/>
        <v>1.5444643486398574E-3</v>
      </c>
    </row>
    <row r="69" spans="1:15">
      <c r="A69" s="26">
        <v>33</v>
      </c>
      <c r="B69" s="26">
        <f t="shared" ref="B69:B86" si="8">$F$7*EXP(-$F$7*A69)</f>
        <v>1.243354911058796E-3</v>
      </c>
      <c r="C69" s="295">
        <v>0.35</v>
      </c>
      <c r="D69" s="118">
        <v>0.95</v>
      </c>
      <c r="E69" s="321">
        <f t="shared" si="6"/>
        <v>4.040903460941091E-5</v>
      </c>
      <c r="F69" s="46">
        <f t="shared" si="7"/>
        <v>7.6777165757880661E-4</v>
      </c>
      <c r="G69" s="36">
        <f t="shared" ref="G69:G85" si="9">EXP(-$F$7*(A69-1))</f>
        <v>9.9717418613764659E-3</v>
      </c>
      <c r="H69" s="36"/>
      <c r="I69" s="36">
        <f t="shared" ref="I69:I85" si="10">1-EXP(-$F$7)</f>
        <v>0.13411225194079501</v>
      </c>
      <c r="J69" s="36">
        <v>0.75</v>
      </c>
      <c r="K69" s="36" t="e">
        <f>1-#REF!</f>
        <v>#REF!</v>
      </c>
      <c r="L69" s="36" t="e">
        <f t="shared" ref="L69:L85" si="11">G69*I69*K69*J69</f>
        <v>#REF!</v>
      </c>
      <c r="M69" s="36">
        <f t="shared" ref="M69:M85" si="12">G69*I69*(1-$J$37)</f>
        <v>4.6806646488052248E-4</v>
      </c>
      <c r="N69" s="36" t="e">
        <f>G69*I69*#REF!*J69</f>
        <v>#REF!</v>
      </c>
      <c r="O69" s="36">
        <f t="shared" ref="O69:O85" si="13">G69*I69</f>
        <v>1.3373327568014929E-3</v>
      </c>
    </row>
    <row r="70" spans="1:15">
      <c r="A70" s="26">
        <v>34</v>
      </c>
      <c r="B70" s="26">
        <f t="shared" si="8"/>
        <v>1.0766057839750539E-3</v>
      </c>
      <c r="C70" s="295">
        <v>0.35</v>
      </c>
      <c r="D70" s="118">
        <v>0.95</v>
      </c>
      <c r="E70" s="321">
        <f t="shared" si="6"/>
        <v>3.4989687979189283E-5</v>
      </c>
      <c r="F70" s="46">
        <f t="shared" si="7"/>
        <v>6.648040716045958E-4</v>
      </c>
      <c r="G70" s="36">
        <f t="shared" si="9"/>
        <v>8.6344091045749728E-3</v>
      </c>
      <c r="H70" s="36"/>
      <c r="I70" s="36">
        <f t="shared" si="10"/>
        <v>0.13411225194079501</v>
      </c>
      <c r="J70" s="36">
        <v>0.75</v>
      </c>
      <c r="K70" s="36" t="e">
        <f>1-#REF!</f>
        <v>#REF!</v>
      </c>
      <c r="L70" s="36" t="e">
        <f t="shared" si="11"/>
        <v>#REF!</v>
      </c>
      <c r="M70" s="36">
        <f t="shared" si="12"/>
        <v>4.0529301721742853E-4</v>
      </c>
      <c r="N70" s="36" t="e">
        <f>G70*I70*#REF!*J70</f>
        <v>#REF!</v>
      </c>
      <c r="O70" s="36">
        <f t="shared" si="13"/>
        <v>1.1579800491926531E-3</v>
      </c>
    </row>
    <row r="71" spans="1:15">
      <c r="A71" s="26">
        <v>35</v>
      </c>
      <c r="B71" s="26">
        <f t="shared" si="8"/>
        <v>9.3221975783367426E-4</v>
      </c>
      <c r="C71" s="295">
        <v>0.35</v>
      </c>
      <c r="D71" s="118">
        <v>0.95</v>
      </c>
      <c r="E71" s="321">
        <f t="shared" si="6"/>
        <v>3.0297142129594438E-5</v>
      </c>
      <c r="F71" s="46">
        <f t="shared" si="7"/>
        <v>5.7564570046229381E-4</v>
      </c>
      <c r="G71" s="36">
        <f t="shared" si="9"/>
        <v>7.4764290553823191E-3</v>
      </c>
      <c r="H71" s="36"/>
      <c r="I71" s="36">
        <f t="shared" si="10"/>
        <v>0.13411225194079501</v>
      </c>
      <c r="J71" s="36">
        <v>0.75</v>
      </c>
      <c r="K71" s="36" t="e">
        <f>1-#REF!</f>
        <v>#REF!</v>
      </c>
      <c r="L71" s="36" t="e">
        <f t="shared" si="11"/>
        <v>#REF!</v>
      </c>
      <c r="M71" s="36">
        <f t="shared" si="12"/>
        <v>3.509382579825197E-4</v>
      </c>
      <c r="N71" s="36" t="e">
        <f>G71*I71*#REF!*J71</f>
        <v>#REF!</v>
      </c>
      <c r="O71" s="36">
        <f t="shared" si="13"/>
        <v>1.0026807370929135E-3</v>
      </c>
    </row>
    <row r="72" spans="1:15">
      <c r="A72" s="26">
        <v>36</v>
      </c>
      <c r="B72" s="26">
        <f t="shared" si="8"/>
        <v>8.0719766680689817E-4</v>
      </c>
      <c r="C72" s="295">
        <v>0.35</v>
      </c>
      <c r="D72" s="118">
        <v>0.95</v>
      </c>
      <c r="E72" s="321">
        <f t="shared" si="6"/>
        <v>2.6233924171224212E-5</v>
      </c>
      <c r="F72" s="46">
        <f t="shared" si="7"/>
        <v>4.984445592532596E-4</v>
      </c>
      <c r="G72" s="36">
        <f t="shared" si="9"/>
        <v>6.4737483182894049E-3</v>
      </c>
      <c r="H72" s="36"/>
      <c r="I72" s="36">
        <f t="shared" si="10"/>
        <v>0.13411225194079501</v>
      </c>
      <c r="J72" s="36">
        <v>0.75</v>
      </c>
      <c r="K72" s="36" t="e">
        <f>1-#REF!</f>
        <v>#REF!</v>
      </c>
      <c r="L72" s="36" t="e">
        <f t="shared" si="11"/>
        <v>#REF!</v>
      </c>
      <c r="M72" s="36">
        <f t="shared" si="12"/>
        <v>3.0387313791230432E-4</v>
      </c>
      <c r="N72" s="36" t="e">
        <f>G72*I72*#REF!*J72</f>
        <v>#REF!</v>
      </c>
      <c r="O72" s="36">
        <f t="shared" si="13"/>
        <v>8.6820896546372674E-4</v>
      </c>
    </row>
    <row r="73" spans="1:15">
      <c r="A73" s="26">
        <v>37</v>
      </c>
      <c r="B73" s="26">
        <f t="shared" si="8"/>
        <v>6.9894256995006948E-4</v>
      </c>
      <c r="C73" s="295">
        <v>0.35</v>
      </c>
      <c r="D73" s="118">
        <v>0.95</v>
      </c>
      <c r="E73" s="321">
        <f t="shared" si="6"/>
        <v>2.2715633523377277E-5</v>
      </c>
      <c r="F73" s="46">
        <f t="shared" si="7"/>
        <v>4.3159703694416787E-4</v>
      </c>
      <c r="G73" s="36">
        <f t="shared" si="9"/>
        <v>5.6055393528256824E-3</v>
      </c>
      <c r="H73" s="36"/>
      <c r="I73" s="36">
        <f t="shared" si="10"/>
        <v>0.13411225194079501</v>
      </c>
      <c r="J73" s="36">
        <v>0.75</v>
      </c>
      <c r="K73" s="36" t="e">
        <f>1-#REF!</f>
        <v>#REF!</v>
      </c>
      <c r="L73" s="36" t="e">
        <f t="shared" si="11"/>
        <v>#REF!</v>
      </c>
      <c r="M73" s="36">
        <f t="shared" si="12"/>
        <v>2.6312002708256963E-4</v>
      </c>
      <c r="N73" s="36" t="e">
        <f>G73*I73*#REF!*J73</f>
        <v>#REF!</v>
      </c>
      <c r="O73" s="36">
        <f t="shared" si="13"/>
        <v>7.5177150595019898E-4</v>
      </c>
    </row>
    <row r="74" spans="1:15">
      <c r="A74" s="26">
        <v>38</v>
      </c>
      <c r="B74" s="26">
        <f t="shared" si="8"/>
        <v>6.0520580791677909E-4</v>
      </c>
      <c r="C74" s="295">
        <v>0.35</v>
      </c>
      <c r="D74" s="118">
        <v>0.95</v>
      </c>
      <c r="E74" s="321">
        <f t="shared" si="6"/>
        <v>1.9669188757295338E-5</v>
      </c>
      <c r="F74" s="46">
        <f t="shared" si="7"/>
        <v>3.737145863886111E-4</v>
      </c>
      <c r="G74" s="36">
        <f t="shared" si="9"/>
        <v>4.8537678468754831E-3</v>
      </c>
      <c r="H74" s="36"/>
      <c r="I74" s="36">
        <f t="shared" si="10"/>
        <v>0.13411225194079501</v>
      </c>
      <c r="J74" s="36">
        <v>0.75</v>
      </c>
      <c r="K74" s="36" t="e">
        <f>1-#REF!</f>
        <v>#REF!</v>
      </c>
      <c r="L74" s="36" t="e">
        <f t="shared" si="11"/>
        <v>#REF!</v>
      </c>
      <c r="M74" s="36">
        <f t="shared" si="12"/>
        <v>2.278324077198032E-4</v>
      </c>
      <c r="N74" s="36" t="e">
        <f>G74*I74*#REF!*J74</f>
        <v>#REF!</v>
      </c>
      <c r="O74" s="36">
        <f t="shared" si="13"/>
        <v>6.5094973634229492E-4</v>
      </c>
    </row>
    <row r="75" spans="1:15">
      <c r="A75" s="26">
        <v>39</v>
      </c>
      <c r="B75" s="26">
        <f t="shared" si="8"/>
        <v>5.240402941294115E-4</v>
      </c>
      <c r="C75" s="295">
        <v>0.35</v>
      </c>
      <c r="D75" s="118">
        <v>0.95</v>
      </c>
      <c r="E75" s="321">
        <f t="shared" si="6"/>
        <v>1.7031309559205889E-5</v>
      </c>
      <c r="F75" s="46">
        <f t="shared" si="7"/>
        <v>3.235948816249116E-4</v>
      </c>
      <c r="G75" s="36">
        <f t="shared" si="9"/>
        <v>4.2028181105331882E-3</v>
      </c>
      <c r="H75" s="36"/>
      <c r="I75" s="36">
        <f t="shared" si="10"/>
        <v>0.13411225194079501</v>
      </c>
      <c r="J75" s="36">
        <v>0.75</v>
      </c>
      <c r="K75" s="36" t="e">
        <f>1-#REF!</f>
        <v>#REF!</v>
      </c>
      <c r="L75" s="36" t="e">
        <f t="shared" si="11"/>
        <v>#REF!</v>
      </c>
      <c r="M75" s="36">
        <f t="shared" si="12"/>
        <v>1.9727729045540706E-4</v>
      </c>
      <c r="N75" s="36" t="e">
        <f>G75*I75*#REF!*J75</f>
        <v>#REF!</v>
      </c>
      <c r="O75" s="36">
        <f t="shared" si="13"/>
        <v>5.6364940130116303E-4</v>
      </c>
    </row>
    <row r="76" spans="1:15">
      <c r="A76" s="26">
        <v>40</v>
      </c>
      <c r="B76" s="26">
        <f t="shared" si="8"/>
        <v>4.5376007017599955E-4</v>
      </c>
      <c r="C76" s="295">
        <v>0.35</v>
      </c>
      <c r="D76" s="118">
        <v>0.95</v>
      </c>
      <c r="E76" s="321">
        <f t="shared" si="6"/>
        <v>1.4747202280720001E-5</v>
      </c>
      <c r="F76" s="46">
        <f t="shared" si="7"/>
        <v>2.8019684333367972E-4</v>
      </c>
      <c r="G76" s="36">
        <f t="shared" si="9"/>
        <v>3.6391687092320246E-3</v>
      </c>
      <c r="H76" s="36"/>
      <c r="I76" s="36">
        <f t="shared" si="10"/>
        <v>0.13411225194079501</v>
      </c>
      <c r="J76" s="36">
        <v>0.75</v>
      </c>
      <c r="K76" s="36" t="e">
        <f>1-#REF!</f>
        <v>#REF!</v>
      </c>
      <c r="L76" s="36" t="e">
        <f t="shared" si="11"/>
        <v>#REF!</v>
      </c>
      <c r="M76" s="36">
        <f t="shared" si="12"/>
        <v>1.7081998877565405E-4</v>
      </c>
      <c r="N76" s="36" t="e">
        <f>G76*I76*#REF!*J76</f>
        <v>#REF!</v>
      </c>
      <c r="O76" s="36">
        <f t="shared" si="13"/>
        <v>4.8805711078758307E-4</v>
      </c>
    </row>
    <row r="77" spans="1:15">
      <c r="A77" s="26">
        <v>41</v>
      </c>
      <c r="B77" s="26">
        <f t="shared" si="8"/>
        <v>3.9290528532388299E-4</v>
      </c>
      <c r="C77" s="295">
        <v>0.35</v>
      </c>
      <c r="D77" s="118">
        <v>0.95</v>
      </c>
      <c r="E77" s="321">
        <f t="shared" si="6"/>
        <v>1.2769421773026211E-5</v>
      </c>
      <c r="F77" s="46">
        <f t="shared" si="7"/>
        <v>2.4261901368749777E-4</v>
      </c>
      <c r="G77" s="36">
        <f t="shared" si="9"/>
        <v>3.1511115984444414E-3</v>
      </c>
      <c r="H77" s="36"/>
      <c r="I77" s="36">
        <f t="shared" si="10"/>
        <v>0.13411225194079501</v>
      </c>
      <c r="J77" s="36">
        <v>0.75</v>
      </c>
      <c r="K77" s="36" t="e">
        <f>1-#REF!</f>
        <v>#REF!</v>
      </c>
      <c r="L77" s="36" t="e">
        <f t="shared" si="11"/>
        <v>#REF!</v>
      </c>
      <c r="M77" s="36">
        <f t="shared" si="12"/>
        <v>1.4791093540444976E-4</v>
      </c>
      <c r="N77" s="36" t="e">
        <f>G77*I77*#REF!*J77</f>
        <v>#REF!</v>
      </c>
      <c r="O77" s="36">
        <f t="shared" si="13"/>
        <v>4.2260267258414219E-4</v>
      </c>
    </row>
    <row r="78" spans="1:15">
      <c r="A78" s="26">
        <v>42</v>
      </c>
      <c r="B78" s="26">
        <f t="shared" si="8"/>
        <v>3.402118727096567E-4</v>
      </c>
      <c r="C78" s="295">
        <v>0.35</v>
      </c>
      <c r="D78" s="118">
        <v>0.95</v>
      </c>
      <c r="E78" s="321">
        <f t="shared" si="6"/>
        <v>1.1056885863063854E-5</v>
      </c>
      <c r="F78" s="46">
        <f t="shared" si="7"/>
        <v>2.1008083139821302E-4</v>
      </c>
      <c r="G78" s="36">
        <f t="shared" si="9"/>
        <v>2.7285089258602987E-3</v>
      </c>
      <c r="H78" s="36"/>
      <c r="I78" s="36">
        <f t="shared" si="10"/>
        <v>0.13411225194079501</v>
      </c>
      <c r="J78" s="36">
        <v>0.75</v>
      </c>
      <c r="K78" s="36" t="e">
        <f>1-#REF!</f>
        <v>#REF!</v>
      </c>
      <c r="L78" s="36" t="e">
        <f t="shared" si="11"/>
        <v>#REF!</v>
      </c>
      <c r="M78" s="36">
        <f t="shared" si="12"/>
        <v>1.2807426677068952E-4</v>
      </c>
      <c r="N78" s="36" t="e">
        <f>G78*I78*#REF!*J78</f>
        <v>#REF!</v>
      </c>
      <c r="O78" s="36">
        <f t="shared" si="13"/>
        <v>3.6592647648768436E-4</v>
      </c>
    </row>
    <row r="79" spans="1:15">
      <c r="A79" s="26">
        <v>43</v>
      </c>
      <c r="B79" s="26">
        <f t="shared" si="8"/>
        <v>2.9458529232356952E-4</v>
      </c>
      <c r="C79" s="295">
        <v>0.35</v>
      </c>
      <c r="D79" s="118">
        <v>0.95</v>
      </c>
      <c r="E79" s="321">
        <f t="shared" si="6"/>
        <v>9.5740220005160179E-6</v>
      </c>
      <c r="F79" s="46">
        <f t="shared" si="7"/>
        <v>1.819064180098042E-4</v>
      </c>
      <c r="G79" s="36">
        <f t="shared" si="9"/>
        <v>2.3625824493726162E-3</v>
      </c>
      <c r="H79" s="36"/>
      <c r="I79" s="36">
        <f t="shared" si="10"/>
        <v>0.13411225194079501</v>
      </c>
      <c r="J79" s="36">
        <v>0.75</v>
      </c>
      <c r="K79" s="36" t="e">
        <f>1-#REF!</f>
        <v>#REF!</v>
      </c>
      <c r="L79" s="36" t="e">
        <f t="shared" si="11"/>
        <v>#REF!</v>
      </c>
      <c r="M79" s="36">
        <f t="shared" si="12"/>
        <v>1.1089793843840629E-4</v>
      </c>
      <c r="N79" s="36" t="e">
        <f>G79*I79*#REF!*J79</f>
        <v>#REF!</v>
      </c>
      <c r="O79" s="36">
        <f t="shared" si="13"/>
        <v>3.1685125268116087E-4</v>
      </c>
    </row>
    <row r="80" spans="1:15">
      <c r="A80" s="26">
        <v>44</v>
      </c>
      <c r="B80" s="26">
        <f t="shared" si="8"/>
        <v>2.5507779538141821E-4</v>
      </c>
      <c r="C80" s="295">
        <v>0.35</v>
      </c>
      <c r="D80" s="118">
        <v>0.95</v>
      </c>
      <c r="E80" s="321">
        <f t="shared" si="6"/>
        <v>8.2900283498960987E-6</v>
      </c>
      <c r="F80" s="46">
        <f t="shared" si="7"/>
        <v>1.5751053864802573E-4</v>
      </c>
      <c r="G80" s="36">
        <f t="shared" si="9"/>
        <v>2.0457311966914551E-3</v>
      </c>
      <c r="H80" s="36"/>
      <c r="I80" s="36">
        <f t="shared" si="10"/>
        <v>0.13411225194079501</v>
      </c>
      <c r="J80" s="36">
        <v>0.75</v>
      </c>
      <c r="K80" s="36" t="e">
        <f>1-#REF!</f>
        <v>#REF!</v>
      </c>
      <c r="L80" s="36" t="e">
        <f t="shared" si="11"/>
        <v>#REF!</v>
      </c>
      <c r="M80" s="36">
        <f t="shared" si="12"/>
        <v>9.6025166178839965E-5</v>
      </c>
      <c r="N80" s="36" t="e">
        <f>G80*I80*#REF!*J80</f>
        <v>#REF!</v>
      </c>
      <c r="O80" s="36">
        <f t="shared" si="13"/>
        <v>2.743576176538285E-4</v>
      </c>
    </row>
    <row r="81" spans="1:30">
      <c r="A81" s="26">
        <v>45</v>
      </c>
      <c r="B81" s="26">
        <f t="shared" si="8"/>
        <v>2.2086873782272285E-4</v>
      </c>
      <c r="C81" s="295">
        <v>0.35</v>
      </c>
      <c r="D81" s="118">
        <v>0.95</v>
      </c>
      <c r="E81" s="321">
        <f t="shared" si="6"/>
        <v>7.1782339792384989E-6</v>
      </c>
      <c r="F81" s="46">
        <f t="shared" si="7"/>
        <v>1.3638644560553135E-4</v>
      </c>
      <c r="G81" s="36">
        <f t="shared" si="9"/>
        <v>1.7713735790376266E-3</v>
      </c>
      <c r="H81" s="36"/>
      <c r="I81" s="36">
        <f t="shared" si="10"/>
        <v>0.13411225194079501</v>
      </c>
      <c r="J81" s="36">
        <v>0.75</v>
      </c>
      <c r="K81" s="36" t="e">
        <f>1-#REF!</f>
        <v>#REF!</v>
      </c>
      <c r="L81" s="36" t="e">
        <f t="shared" si="11"/>
        <v>#REF!</v>
      </c>
      <c r="M81" s="36">
        <f t="shared" si="12"/>
        <v>8.3147014899606677E-5</v>
      </c>
      <c r="N81" s="36" t="e">
        <f>G81*I81*#REF!*J81</f>
        <v>#REF!</v>
      </c>
      <c r="O81" s="36">
        <f t="shared" si="13"/>
        <v>2.3756289971316194E-4</v>
      </c>
    </row>
    <row r="82" spans="1:30">
      <c r="A82" s="26">
        <v>46</v>
      </c>
      <c r="B82" s="26">
        <f t="shared" si="8"/>
        <v>1.9124753400999643E-4</v>
      </c>
      <c r="C82" s="295">
        <v>0.35</v>
      </c>
      <c r="D82" s="118">
        <v>0.95</v>
      </c>
      <c r="E82" s="321">
        <f t="shared" si="6"/>
        <v>6.2155448553248895E-6</v>
      </c>
      <c r="F82" s="46">
        <f t="shared" si="7"/>
        <v>1.180953522511728E-4</v>
      </c>
      <c r="G82" s="36">
        <f t="shared" si="9"/>
        <v>1.5338106793244643E-3</v>
      </c>
      <c r="H82" s="36"/>
      <c r="I82" s="36">
        <f t="shared" si="10"/>
        <v>0.13411225194079501</v>
      </c>
      <c r="J82" s="36">
        <v>0.75</v>
      </c>
      <c r="K82" s="36" t="e">
        <f>1-#REF!</f>
        <v>#REF!</v>
      </c>
      <c r="L82" s="36" t="e">
        <f t="shared" si="11"/>
        <v>#REF!</v>
      </c>
      <c r="M82" s="36">
        <f t="shared" si="12"/>
        <v>7.1995981489265571E-5</v>
      </c>
      <c r="N82" s="36" t="e">
        <f>G82*I82*#REF!*J82</f>
        <v>#REF!</v>
      </c>
      <c r="O82" s="36">
        <f t="shared" si="13"/>
        <v>2.057028042550445E-4</v>
      </c>
    </row>
    <row r="83" spans="1:30">
      <c r="A83" s="26">
        <v>47</v>
      </c>
      <c r="B83" s="26">
        <f t="shared" si="8"/>
        <v>1.6559889654579202E-4</v>
      </c>
      <c r="C83" s="295">
        <v>0.35</v>
      </c>
      <c r="D83" s="118">
        <v>0.95</v>
      </c>
      <c r="E83" s="321">
        <f t="shared" si="6"/>
        <v>5.3819641377382452E-6</v>
      </c>
      <c r="F83" s="46">
        <f t="shared" si="7"/>
        <v>1.0225731861702657E-4</v>
      </c>
      <c r="G83" s="36">
        <f t="shared" si="9"/>
        <v>1.3281078750694197E-3</v>
      </c>
      <c r="H83" s="36"/>
      <c r="I83" s="36">
        <f t="shared" si="10"/>
        <v>0.13411225194079501</v>
      </c>
      <c r="J83" s="36">
        <v>0.75</v>
      </c>
      <c r="K83" s="36" t="e">
        <f>1-#REF!</f>
        <v>#REF!</v>
      </c>
      <c r="L83" s="36" t="e">
        <f t="shared" si="11"/>
        <v>#REF!</v>
      </c>
      <c r="M83" s="36">
        <f t="shared" si="12"/>
        <v>6.2340438281052363E-5</v>
      </c>
      <c r="N83" s="36" t="e">
        <f>G83*I83*#REF!*J83</f>
        <v>#REF!</v>
      </c>
      <c r="O83" s="36">
        <f t="shared" si="13"/>
        <v>1.7811553794586392E-4</v>
      </c>
    </row>
    <row r="84" spans="1:30">
      <c r="A84" s="26">
        <v>48</v>
      </c>
      <c r="B84" s="26">
        <f t="shared" si="8"/>
        <v>1.4339005561112524E-4</v>
      </c>
      <c r="C84" s="295">
        <v>0.35</v>
      </c>
      <c r="D84" s="118">
        <v>0.95</v>
      </c>
      <c r="E84" s="321">
        <f t="shared" si="6"/>
        <v>4.6601768073615748E-6</v>
      </c>
      <c r="F84" s="46">
        <f t="shared" si="7"/>
        <v>8.854335933986984E-5</v>
      </c>
      <c r="G84" s="36">
        <f t="shared" si="9"/>
        <v>1.1499923371235557E-3</v>
      </c>
      <c r="H84" s="36"/>
      <c r="I84" s="36">
        <f t="shared" si="10"/>
        <v>0.13411225194079501</v>
      </c>
      <c r="J84" s="36">
        <v>0.75</v>
      </c>
      <c r="K84" s="36" t="e">
        <f>1-#REF!</f>
        <v>#REF!</v>
      </c>
      <c r="L84" s="36" t="e">
        <f t="shared" si="11"/>
        <v>#REF!</v>
      </c>
      <c r="M84" s="36">
        <f t="shared" si="12"/>
        <v>5.3979821716204282E-5</v>
      </c>
      <c r="N84" s="36" t="e">
        <f>G84*I84*#REF!*J84</f>
        <v>#REF!</v>
      </c>
      <c r="O84" s="36">
        <f t="shared" si="13"/>
        <v>1.5422806204629796E-4</v>
      </c>
    </row>
    <row r="85" spans="1:30">
      <c r="A85" s="26">
        <v>49</v>
      </c>
      <c r="B85" s="26">
        <f t="shared" si="8"/>
        <v>1.2415969234720137E-4</v>
      </c>
      <c r="C85" s="295">
        <v>0.35</v>
      </c>
      <c r="D85" s="118">
        <v>0.95</v>
      </c>
      <c r="E85" s="321">
        <f t="shared" si="6"/>
        <v>4.0351900012840478E-6</v>
      </c>
      <c r="F85" s="46">
        <f t="shared" si="7"/>
        <v>7.6668610024396847E-5</v>
      </c>
      <c r="G85" s="36">
        <f t="shared" si="9"/>
        <v>9.9576427507725861E-4</v>
      </c>
      <c r="H85" s="36"/>
      <c r="I85" s="36">
        <f t="shared" si="10"/>
        <v>0.13411225194079501</v>
      </c>
      <c r="J85" s="36">
        <v>0.75</v>
      </c>
      <c r="K85" s="36" t="e">
        <f>1-#REF!</f>
        <v>#REF!</v>
      </c>
      <c r="L85" s="36" t="e">
        <f t="shared" si="11"/>
        <v>#REF!</v>
      </c>
      <c r="M85" s="36">
        <f t="shared" si="12"/>
        <v>4.6740466266481537E-5</v>
      </c>
      <c r="N85" s="36" t="e">
        <f>G85*I85*#REF!*J85</f>
        <v>#REF!</v>
      </c>
      <c r="O85" s="36">
        <f t="shared" si="13"/>
        <v>1.3354418933280441E-4</v>
      </c>
    </row>
    <row r="86" spans="1:30">
      <c r="A86" s="26">
        <v>50</v>
      </c>
      <c r="B86" s="26">
        <f t="shared" si="8"/>
        <v>1.075083564062419E-4</v>
      </c>
      <c r="C86" s="295">
        <v>0.35</v>
      </c>
      <c r="D86" s="118">
        <v>0.95</v>
      </c>
      <c r="E86" s="321">
        <f t="shared" si="6"/>
        <v>3.4940215832028648E-6</v>
      </c>
      <c r="F86" s="46">
        <f t="shared" si="7"/>
        <v>6.6386410080854363E-5</v>
      </c>
      <c r="G86" s="36"/>
      <c r="H86" s="36"/>
      <c r="I86" s="36"/>
      <c r="J86" s="36"/>
      <c r="K86" s="36">
        <f>SUM(B37:B86)</f>
        <v>0.92903328181307976</v>
      </c>
      <c r="L86" s="36">
        <f>SUM(C37:C86)</f>
        <v>15.949999999999989</v>
      </c>
      <c r="M86" s="36">
        <f>SUM(E37:E86)</f>
        <v>0.37420720881899283</v>
      </c>
      <c r="N86" s="36">
        <f>SUM(F37:F86)</f>
        <v>0.35422951126675384</v>
      </c>
      <c r="O86" s="36">
        <f>SUM(L86:N86)</f>
        <v>16.678436720085738</v>
      </c>
    </row>
    <row r="87" spans="1:30">
      <c r="B87" s="26">
        <f>SUM(B37:B86)</f>
        <v>0.92903328181307976</v>
      </c>
      <c r="C87" s="295">
        <v>0.35</v>
      </c>
      <c r="E87" s="220">
        <f>SUM(E37:E86)</f>
        <v>0.37420720881899283</v>
      </c>
      <c r="F87" s="114">
        <f>SUM(F37:F86)</f>
        <v>0.35422951126675384</v>
      </c>
      <c r="G87" s="114">
        <f>E87+F87+C87</f>
        <v>1.0784367200857465</v>
      </c>
      <c r="I87" s="36"/>
      <c r="J87" s="36"/>
      <c r="K87" s="36"/>
      <c r="L87" s="36"/>
      <c r="M87" s="36"/>
      <c r="N87" s="36">
        <f>SUM(C38:C87)</f>
        <v>16.199999999999989</v>
      </c>
      <c r="O87" s="36"/>
      <c r="P87" s="36"/>
      <c r="Q87" s="36"/>
      <c r="T87" s="26">
        <f>EXP(-$F$7*(A86-1))</f>
        <v>8.6222008574445409E-4</v>
      </c>
      <c r="U87" s="26">
        <f>1-EXP(-$F$7)</f>
        <v>0.13411225194079501</v>
      </c>
      <c r="V87" s="26">
        <v>0.9</v>
      </c>
      <c r="W87" s="26" t="e">
        <f>#REF!</f>
        <v>#REF!</v>
      </c>
      <c r="X87" s="26">
        <v>0.75</v>
      </c>
      <c r="Y87" s="26" t="e">
        <f>V87*W87</f>
        <v>#REF!</v>
      </c>
      <c r="Z87" s="26" t="e">
        <f>1-Y87</f>
        <v>#REF!</v>
      </c>
      <c r="AA87" s="26" t="e">
        <f>T87*U87*Z87*X87</f>
        <v>#REF!</v>
      </c>
      <c r="AB87" s="26">
        <f>T87*U87*(1-$J$37)</f>
        <v>4.0471997078720931E-5</v>
      </c>
      <c r="AC87" s="26" t="e">
        <f>T87*U87*Y87*X87</f>
        <v>#REF!</v>
      </c>
      <c r="AD87" s="26">
        <f>T87*U87</f>
        <v>1.156342773677741E-4</v>
      </c>
    </row>
    <row r="88" spans="1:30">
      <c r="A88" s="296" t="s">
        <v>923</v>
      </c>
      <c r="B88" s="110"/>
      <c r="Z88" s="35" t="e">
        <f>SUM(AA38:AA87)</f>
        <v>#REF!</v>
      </c>
      <c r="AA88" s="114">
        <f>SUM(AB38:AB87)</f>
        <v>4.0471997078720931E-5</v>
      </c>
      <c r="AB88" s="114" t="e">
        <f>SUM(AC38:AC87)</f>
        <v>#REF!</v>
      </c>
      <c r="AC88" s="26" t="e">
        <f>Z88+AA88+AB88</f>
        <v>#REF!</v>
      </c>
    </row>
    <row r="89" spans="1:30">
      <c r="A89" s="26" t="s">
        <v>77</v>
      </c>
    </row>
    <row r="90" spans="1:30">
      <c r="A90" s="110" t="s">
        <v>460</v>
      </c>
      <c r="AD90" s="26" t="s">
        <v>71</v>
      </c>
    </row>
    <row r="91" spans="1:30">
      <c r="A91" s="26" t="s">
        <v>74</v>
      </c>
      <c r="B91" s="34" t="s">
        <v>73</v>
      </c>
      <c r="D91" s="118" t="s">
        <v>64</v>
      </c>
    </row>
    <row r="92" spans="1:30">
      <c r="A92" s="110" t="s">
        <v>437</v>
      </c>
      <c r="B92" s="111">
        <f>D20</f>
        <v>27.161787579667784</v>
      </c>
      <c r="C92" s="118" t="s">
        <v>72</v>
      </c>
      <c r="D92" s="118" t="s">
        <v>64</v>
      </c>
    </row>
    <row r="93" spans="1:30">
      <c r="A93" s="26" t="s">
        <v>70</v>
      </c>
      <c r="B93" s="26">
        <v>35315</v>
      </c>
      <c r="C93" s="118" t="s">
        <v>69</v>
      </c>
    </row>
    <row r="94" spans="1:30">
      <c r="A94" s="33" t="s">
        <v>68</v>
      </c>
      <c r="B94" s="26">
        <v>11700</v>
      </c>
      <c r="C94" s="118" t="s">
        <v>67</v>
      </c>
      <c r="D94" s="118" t="s">
        <v>60</v>
      </c>
      <c r="H94" s="32"/>
      <c r="I94" s="32"/>
      <c r="K94" s="110">
        <v>3412</v>
      </c>
      <c r="L94" s="110" t="s">
        <v>438</v>
      </c>
      <c r="M94" s="112">
        <f>K94/B94</f>
        <v>0.29162393162393163</v>
      </c>
      <c r="N94" s="110" t="s">
        <v>440</v>
      </c>
    </row>
    <row r="95" spans="1:30">
      <c r="A95" s="26" t="s">
        <v>66</v>
      </c>
      <c r="B95" s="26">
        <v>1</v>
      </c>
      <c r="C95" s="118" t="s">
        <v>65</v>
      </c>
      <c r="K95" s="110" t="s">
        <v>439</v>
      </c>
    </row>
    <row r="96" spans="1:30">
      <c r="B96" s="26">
        <f>B92*B93/B94*B95</f>
        <v>81.984489604783562</v>
      </c>
      <c r="C96" s="118" t="s">
        <v>63</v>
      </c>
    </row>
    <row r="97" spans="1:15">
      <c r="A97" s="26" t="s">
        <v>62</v>
      </c>
      <c r="B97" s="26">
        <f>-D100/1000</f>
        <v>-0.53737674279288006</v>
      </c>
      <c r="C97" s="118" t="s">
        <v>61</v>
      </c>
      <c r="D97" s="118" t="s">
        <v>56</v>
      </c>
      <c r="E97" s="26" t="s">
        <v>55</v>
      </c>
    </row>
    <row r="98" spans="1:15">
      <c r="B98" s="30">
        <f>B96*B97</f>
        <v>-44.056557983355326</v>
      </c>
      <c r="C98" s="118" t="s">
        <v>59</v>
      </c>
      <c r="D98" s="118">
        <v>1253.77</v>
      </c>
      <c r="E98" s="26">
        <v>36.83</v>
      </c>
    </row>
    <row r="99" spans="1:15">
      <c r="B99" s="31"/>
      <c r="G99" s="26" t="s">
        <v>54</v>
      </c>
    </row>
    <row r="100" spans="1:15">
      <c r="A100" s="26" t="s">
        <v>58</v>
      </c>
      <c r="B100" s="30" t="e">
        <f>#REF!+B98</f>
        <v>#REF!</v>
      </c>
      <c r="C100" s="118" t="s">
        <v>57</v>
      </c>
      <c r="D100" s="118">
        <v>537.37674279288001</v>
      </c>
      <c r="E100" s="27" t="s">
        <v>53</v>
      </c>
      <c r="F100" s="27"/>
      <c r="G100" s="26">
        <v>13.67</v>
      </c>
    </row>
    <row r="102" spans="1:15">
      <c r="A102" s="26" t="s">
        <v>526</v>
      </c>
      <c r="B102" s="26" t="s">
        <v>527</v>
      </c>
      <c r="C102" s="118" t="s">
        <v>528</v>
      </c>
      <c r="D102" s="118" t="s">
        <v>529</v>
      </c>
      <c r="E102" s="26" t="s">
        <v>530</v>
      </c>
      <c r="G102" s="26" t="s">
        <v>531</v>
      </c>
    </row>
    <row r="103" spans="1:15">
      <c r="A103" s="26" t="s">
        <v>532</v>
      </c>
      <c r="B103" s="26" t="s">
        <v>527</v>
      </c>
      <c r="C103" s="118" t="s">
        <v>533</v>
      </c>
      <c r="D103" s="118" t="s">
        <v>534</v>
      </c>
      <c r="E103" s="26" t="s">
        <v>535</v>
      </c>
      <c r="G103" s="26" t="s">
        <v>536</v>
      </c>
      <c r="H103" s="26" t="s">
        <v>537</v>
      </c>
      <c r="J103" s="26" t="s">
        <v>538</v>
      </c>
      <c r="K103" s="26" t="s">
        <v>533</v>
      </c>
      <c r="L103" s="26" t="s">
        <v>539</v>
      </c>
      <c r="M103" s="26" t="s">
        <v>540</v>
      </c>
      <c r="N103" s="26" t="s">
        <v>541</v>
      </c>
      <c r="O103" s="26">
        <v>-2009</v>
      </c>
    </row>
    <row r="104" spans="1:15">
      <c r="A104" s="26" t="s">
        <v>542</v>
      </c>
      <c r="B104" s="26" t="s">
        <v>527</v>
      </c>
      <c r="C104" s="118" t="s">
        <v>533</v>
      </c>
      <c r="D104" s="118" t="s">
        <v>534</v>
      </c>
      <c r="E104" s="26">
        <v>2.7</v>
      </c>
      <c r="G104" s="26" t="s">
        <v>536</v>
      </c>
      <c r="H104" s="26" t="s">
        <v>537</v>
      </c>
      <c r="J104" s="26" t="s">
        <v>538</v>
      </c>
      <c r="K104" s="26" t="s">
        <v>533</v>
      </c>
      <c r="L104" s="26" t="s">
        <v>539</v>
      </c>
      <c r="M104" s="26" t="s">
        <v>540</v>
      </c>
      <c r="N104" s="26" t="s">
        <v>541</v>
      </c>
      <c r="O104" s="26">
        <v>-2009</v>
      </c>
    </row>
    <row r="105" spans="1:15">
      <c r="A105" s="26" t="s">
        <v>532</v>
      </c>
      <c r="B105" s="26" t="s">
        <v>527</v>
      </c>
      <c r="C105" s="118" t="s">
        <v>543</v>
      </c>
      <c r="D105" s="118" t="s">
        <v>544</v>
      </c>
      <c r="E105" s="26" t="s">
        <v>536</v>
      </c>
      <c r="G105" s="26" t="s">
        <v>537</v>
      </c>
      <c r="H105" s="26" t="s">
        <v>545</v>
      </c>
      <c r="J105" s="26" t="s">
        <v>539</v>
      </c>
      <c r="K105" s="26" t="s">
        <v>540</v>
      </c>
      <c r="L105" s="26" t="s">
        <v>541</v>
      </c>
      <c r="M105" s="26">
        <v>-2009</v>
      </c>
    </row>
    <row r="106" spans="1:15">
      <c r="A106" s="26" t="s">
        <v>546</v>
      </c>
      <c r="B106" s="26" t="s">
        <v>527</v>
      </c>
      <c r="C106" s="118" t="s">
        <v>52</v>
      </c>
      <c r="D106" s="118" t="s">
        <v>547</v>
      </c>
      <c r="E106" s="26" t="s">
        <v>548</v>
      </c>
      <c r="G106" s="26" t="s">
        <v>536</v>
      </c>
      <c r="H106" s="26" t="s">
        <v>537</v>
      </c>
      <c r="J106" s="26" t="s">
        <v>536</v>
      </c>
      <c r="K106" s="26" t="s">
        <v>549</v>
      </c>
      <c r="L106" s="26" t="s">
        <v>550</v>
      </c>
      <c r="M106" s="26">
        <v>10</v>
      </c>
    </row>
    <row r="107" spans="1:15">
      <c r="A107" s="26" t="s">
        <v>546</v>
      </c>
      <c r="B107" s="26" t="s">
        <v>527</v>
      </c>
      <c r="C107" s="118" t="s">
        <v>551</v>
      </c>
      <c r="D107" s="118" t="s">
        <v>547</v>
      </c>
      <c r="E107" s="26" t="s">
        <v>552</v>
      </c>
      <c r="G107" s="26" t="s">
        <v>536</v>
      </c>
      <c r="H107" s="26" t="s">
        <v>537</v>
      </c>
      <c r="J107" s="26" t="s">
        <v>536</v>
      </c>
      <c r="K107" s="26" t="s">
        <v>553</v>
      </c>
      <c r="L107" s="26" t="s">
        <v>550</v>
      </c>
      <c r="M107" s="26">
        <v>10</v>
      </c>
    </row>
    <row r="108" spans="1:15">
      <c r="A108" s="26" t="s">
        <v>546</v>
      </c>
      <c r="B108" s="26" t="s">
        <v>527</v>
      </c>
      <c r="C108" s="118" t="s">
        <v>554</v>
      </c>
      <c r="D108" s="118" t="s">
        <v>547</v>
      </c>
      <c r="E108" s="26" t="s">
        <v>555</v>
      </c>
      <c r="G108" s="26" t="s">
        <v>536</v>
      </c>
      <c r="H108" s="26" t="s">
        <v>537</v>
      </c>
      <c r="J108" s="26" t="s">
        <v>536</v>
      </c>
      <c r="K108" s="26" t="s">
        <v>556</v>
      </c>
      <c r="L108" s="26" t="s">
        <v>550</v>
      </c>
      <c r="M108" s="26">
        <v>10</v>
      </c>
    </row>
    <row r="109" spans="1:15">
      <c r="A109" s="26" t="s">
        <v>546</v>
      </c>
      <c r="B109" s="26" t="s">
        <v>527</v>
      </c>
      <c r="C109" s="118" t="s">
        <v>557</v>
      </c>
      <c r="D109" s="118" t="s">
        <v>558</v>
      </c>
      <c r="E109" s="26" t="s">
        <v>536</v>
      </c>
      <c r="G109" s="26" t="s">
        <v>537</v>
      </c>
      <c r="H109" s="26" t="s">
        <v>559</v>
      </c>
      <c r="J109" s="26" t="s">
        <v>557</v>
      </c>
      <c r="K109" s="26" t="s">
        <v>560</v>
      </c>
      <c r="L109" s="26" t="s">
        <v>561</v>
      </c>
      <c r="M109" s="26" t="s">
        <v>562</v>
      </c>
      <c r="N109" s="26" t="s">
        <v>563</v>
      </c>
      <c r="O109" s="26" t="s">
        <v>564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13" workbookViewId="0">
      <selection activeCell="D30" sqref="D30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2" customFormat="1" ht="30">
      <c r="B1" s="42" t="s">
        <v>14</v>
      </c>
      <c r="C1" s="42" t="s">
        <v>24</v>
      </c>
      <c r="D1" s="42" t="s">
        <v>110</v>
      </c>
      <c r="E1" s="42" t="s">
        <v>650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417</v>
      </c>
      <c r="B3" t="s">
        <v>4</v>
      </c>
      <c r="F3" s="10">
        <v>0.107</v>
      </c>
      <c r="G3" s="1" t="s">
        <v>7</v>
      </c>
      <c r="H3" s="6" t="s">
        <v>384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0" customFormat="1" hidden="1">
      <c r="A6" s="40" t="s">
        <v>108</v>
      </c>
    </row>
    <row r="7" spans="1:20" hidden="1">
      <c r="A7" t="s">
        <v>117</v>
      </c>
      <c r="H7" t="s">
        <v>427</v>
      </c>
    </row>
    <row r="8" spans="1:20" hidden="1">
      <c r="A8" t="s">
        <v>118</v>
      </c>
      <c r="B8" s="103"/>
      <c r="H8" t="s">
        <v>428</v>
      </c>
    </row>
    <row r="9" spans="1:20" hidden="1">
      <c r="A9" t="s">
        <v>119</v>
      </c>
      <c r="H9" t="s">
        <v>120</v>
      </c>
    </row>
    <row r="10" spans="1:20" s="44" customFormat="1">
      <c r="A10" s="44" t="s">
        <v>861</v>
      </c>
      <c r="B10" s="44" t="s">
        <v>860</v>
      </c>
      <c r="C10" s="271">
        <f>D13*(GlobalFactors.csv!F7+GlobalFactors.csv!F6)</f>
        <v>8.4018100074660005</v>
      </c>
    </row>
    <row r="11" spans="1:20">
      <c r="A11" t="s">
        <v>856</v>
      </c>
      <c r="B11" t="s">
        <v>757</v>
      </c>
      <c r="E11">
        <v>10.6</v>
      </c>
    </row>
    <row r="12" spans="1:20">
      <c r="A12" t="s">
        <v>859</v>
      </c>
      <c r="B12" t="s">
        <v>857</v>
      </c>
      <c r="E12">
        <v>0.25</v>
      </c>
      <c r="J12" t="s">
        <v>871</v>
      </c>
    </row>
    <row r="13" spans="1:20">
      <c r="A13" t="s">
        <v>858</v>
      </c>
      <c r="B13" t="s">
        <v>449</v>
      </c>
      <c r="D13">
        <f>E11*E12</f>
        <v>2.65</v>
      </c>
      <c r="J13" t="s">
        <v>888</v>
      </c>
    </row>
    <row r="14" spans="1:20" s="13" customFormat="1">
      <c r="A14" s="13" t="s">
        <v>8</v>
      </c>
      <c r="C14" s="39">
        <f>C24+C26+C31</f>
        <v>-146.6863682693911</v>
      </c>
    </row>
    <row r="15" spans="1:20">
      <c r="A15" s="15" t="s">
        <v>385</v>
      </c>
      <c r="B15" s="15" t="s">
        <v>21</v>
      </c>
      <c r="C15" s="2"/>
      <c r="D15" s="2"/>
      <c r="F15" s="291">
        <f>Parameters!F27</f>
        <v>90.21</v>
      </c>
      <c r="G15" s="98"/>
      <c r="I15" s="5"/>
    </row>
    <row r="16" spans="1:20" s="15" customFormat="1">
      <c r="A16" s="15" t="s">
        <v>958</v>
      </c>
      <c r="B16" s="15" t="s">
        <v>905</v>
      </c>
      <c r="E16" s="298">
        <f>GlobalFactors.csv!F27</f>
        <v>0.9</v>
      </c>
      <c r="F16" s="291"/>
      <c r="I16" s="14" t="s">
        <v>906</v>
      </c>
      <c r="J16" s="15" t="s">
        <v>907</v>
      </c>
    </row>
    <row r="17" spans="1:12" s="15" customFormat="1">
      <c r="A17" s="15" t="s">
        <v>901</v>
      </c>
      <c r="B17" s="15" t="s">
        <v>21</v>
      </c>
      <c r="D17" s="305">
        <f>F15*E16</f>
        <v>81.188999999999993</v>
      </c>
      <c r="H17" s="15" t="s">
        <v>902</v>
      </c>
      <c r="I17" s="14"/>
    </row>
    <row r="18" spans="1:12" s="283" customFormat="1" ht="14" customHeight="1">
      <c r="A18" s="287" t="s">
        <v>668</v>
      </c>
      <c r="B18" s="287" t="s">
        <v>669</v>
      </c>
      <c r="C18" s="288"/>
      <c r="D18" s="289"/>
      <c r="E18" s="283">
        <f>GlobalFactors.csv!F28</f>
        <v>2.5000000000000001E-2</v>
      </c>
      <c r="H18" s="283" t="s">
        <v>10</v>
      </c>
      <c r="I18" s="283" t="s">
        <v>651</v>
      </c>
      <c r="J18" s="283" t="s">
        <v>17</v>
      </c>
    </row>
    <row r="19" spans="1:12" s="15" customFormat="1">
      <c r="A19" s="15" t="s">
        <v>903</v>
      </c>
      <c r="B19" s="15" t="s">
        <v>133</v>
      </c>
      <c r="D19" s="299">
        <f>D17*E19</f>
        <v>4.05945</v>
      </c>
      <c r="E19" s="298">
        <f>GlobalFactors.csv!F29</f>
        <v>0.05</v>
      </c>
      <c r="F19" s="291"/>
      <c r="H19" s="15" t="s">
        <v>902</v>
      </c>
      <c r="I19" s="14"/>
    </row>
    <row r="20" spans="1:12" s="15" customFormat="1">
      <c r="A20" s="15" t="s">
        <v>903</v>
      </c>
      <c r="B20" s="15" t="s">
        <v>578</v>
      </c>
      <c r="C20" s="292"/>
      <c r="D20" s="292">
        <f>D19*Parameters!C19</f>
        <v>2.7198315000000002</v>
      </c>
      <c r="F20" s="291"/>
      <c r="G20" s="298"/>
      <c r="I20" s="14"/>
    </row>
    <row r="21" spans="1:12" s="15" customFormat="1">
      <c r="A21" s="15" t="s">
        <v>961</v>
      </c>
      <c r="B21" s="15" t="s">
        <v>21</v>
      </c>
      <c r="D21" s="299">
        <f>D17*E18</f>
        <v>2.029725</v>
      </c>
      <c r="E21" s="324">
        <f>GlobalFactors.csv!F28</f>
        <v>2.5000000000000001E-2</v>
      </c>
      <c r="F21" s="291"/>
      <c r="H21" s="15" t="s">
        <v>902</v>
      </c>
      <c r="I21" s="14"/>
      <c r="J21" s="15" t="s">
        <v>962</v>
      </c>
    </row>
    <row r="22" spans="1:12" s="15" customFormat="1">
      <c r="A22" s="15" t="s">
        <v>961</v>
      </c>
      <c r="B22" s="15" t="s">
        <v>578</v>
      </c>
      <c r="D22" s="299">
        <f>D21*Parameters!C19</f>
        <v>1.3599157500000001</v>
      </c>
      <c r="F22" s="291"/>
      <c r="G22" s="298"/>
      <c r="I22" s="14"/>
      <c r="J22" s="15" t="s">
        <v>963</v>
      </c>
    </row>
    <row r="23" spans="1:12" s="15" customFormat="1">
      <c r="A23" s="15" t="s">
        <v>959</v>
      </c>
      <c r="B23" s="15" t="s">
        <v>133</v>
      </c>
      <c r="D23" s="300">
        <f>D17-D21-D19</f>
        <v>75.099824999999996</v>
      </c>
      <c r="F23" s="291"/>
      <c r="G23" s="298"/>
      <c r="H23" s="15" t="s">
        <v>902</v>
      </c>
      <c r="I23" s="14"/>
    </row>
    <row r="24" spans="1:12" s="6" customFormat="1" ht="14" customHeight="1">
      <c r="A24" s="14" t="s">
        <v>904</v>
      </c>
      <c r="B24" s="14" t="s">
        <v>28</v>
      </c>
      <c r="C24" s="9">
        <f>D22*Parameters!C6</f>
        <v>38.077641</v>
      </c>
      <c r="D24" s="226"/>
    </row>
    <row r="25" spans="1:12" s="6" customFormat="1" ht="14" customHeight="1">
      <c r="A25" s="221" t="s">
        <v>670</v>
      </c>
      <c r="B25" s="14" t="s">
        <v>669</v>
      </c>
      <c r="C25" s="88"/>
      <c r="D25" s="226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21" t="s">
        <v>416</v>
      </c>
      <c r="B26" s="14" t="s">
        <v>28</v>
      </c>
      <c r="C26" s="21">
        <f>D26*Parameters!C19*Parameters!C6</f>
        <v>7.0443635850000001</v>
      </c>
      <c r="D26" s="227">
        <f>D23*E25</f>
        <v>0.37549912499999999</v>
      </c>
    </row>
    <row r="27" spans="1:12" s="283" customFormat="1">
      <c r="A27" s="287" t="s">
        <v>386</v>
      </c>
      <c r="B27" s="287" t="s">
        <v>1041</v>
      </c>
      <c r="D27" s="290"/>
      <c r="E27" s="290">
        <f>GlobalFactors.csv!F31</f>
        <v>4.19318820416827</v>
      </c>
      <c r="G27" s="290"/>
      <c r="H27" s="283" t="s">
        <v>16</v>
      </c>
      <c r="I27" s="283" t="s">
        <v>808</v>
      </c>
      <c r="J27" s="283" t="s">
        <v>908</v>
      </c>
    </row>
    <row r="28" spans="1:12">
      <c r="A28" s="221" t="s">
        <v>13</v>
      </c>
      <c r="B28" s="221" t="s">
        <v>35</v>
      </c>
      <c r="D28" s="109">
        <f>E27*D23/1000</f>
        <v>0.31490770032510129</v>
      </c>
      <c r="F28" s="90">
        <f>0.02*K28/0.6</f>
        <v>1.1771566666666669</v>
      </c>
      <c r="G28" s="90">
        <f>0.04*K28/0.6</f>
        <v>2.3543133333333337</v>
      </c>
      <c r="J28" s="85" t="s">
        <v>879</v>
      </c>
      <c r="K28">
        <v>35.314700000000002</v>
      </c>
      <c r="L28" t="s">
        <v>878</v>
      </c>
    </row>
    <row r="29" spans="1:12">
      <c r="A29" s="221" t="s">
        <v>652</v>
      </c>
      <c r="B29" s="14" t="s">
        <v>671</v>
      </c>
      <c r="D29" s="109"/>
      <c r="E29" s="10">
        <f>GlobalFactors.csv!F32</f>
        <v>0.12</v>
      </c>
      <c r="G29" s="4"/>
      <c r="H29" t="s">
        <v>31</v>
      </c>
      <c r="I29" t="s">
        <v>653</v>
      </c>
      <c r="J29" t="s">
        <v>652</v>
      </c>
    </row>
    <row r="30" spans="1:12">
      <c r="A30" t="s">
        <v>414</v>
      </c>
      <c r="B30" t="s">
        <v>35</v>
      </c>
      <c r="D30" s="25">
        <f>D28*(1-0.12)</f>
        <v>0.27711877628608916</v>
      </c>
    </row>
    <row r="31" spans="1:12">
      <c r="A31" s="3" t="s">
        <v>33</v>
      </c>
      <c r="B31" s="16" t="s">
        <v>28</v>
      </c>
      <c r="C31" s="228">
        <f>D30*-G31</f>
        <v>-191.80837285439111</v>
      </c>
      <c r="G31" s="282">
        <f>GlobalFactors.csv!F8</f>
        <v>692.15220789071998</v>
      </c>
      <c r="H31" t="s">
        <v>32</v>
      </c>
    </row>
    <row r="32" spans="1:12">
      <c r="A32" s="3" t="s">
        <v>687</v>
      </c>
      <c r="B32" s="16" t="s">
        <v>28</v>
      </c>
      <c r="G32" s="24"/>
    </row>
    <row r="33" spans="1:10" s="12" customFormat="1">
      <c r="A33" s="13" t="s">
        <v>34</v>
      </c>
      <c r="C33" s="106">
        <f>C39+D40</f>
        <v>151.25158857142856</v>
      </c>
    </row>
    <row r="34" spans="1:10" s="6" customFormat="1">
      <c r="A34" s="87" t="s">
        <v>658</v>
      </c>
      <c r="C34" s="88"/>
      <c r="F34" s="216">
        <f>Parameters!D27</f>
        <v>0.27</v>
      </c>
    </row>
    <row r="35" spans="1:10" s="6" customFormat="1">
      <c r="A35" s="45" t="s">
        <v>657</v>
      </c>
      <c r="B35" s="6" t="s">
        <v>22</v>
      </c>
      <c r="C35" s="88"/>
      <c r="E35" s="10">
        <f>GlobalFactors.csv!F33</f>
        <v>0.55000000000000004</v>
      </c>
      <c r="F35" s="215"/>
      <c r="H35" s="6" t="s">
        <v>10</v>
      </c>
      <c r="I35" s="6" t="s">
        <v>656</v>
      </c>
      <c r="J35" s="6" t="s">
        <v>387</v>
      </c>
    </row>
    <row r="36" spans="1:10" s="6" customFormat="1">
      <c r="A36" s="45" t="s">
        <v>388</v>
      </c>
      <c r="B36" s="6" t="s">
        <v>390</v>
      </c>
      <c r="D36" s="217">
        <f>F34*1000*(1-E35)</f>
        <v>121.49999999999999</v>
      </c>
    </row>
    <row r="37" spans="1:10" s="283" customFormat="1">
      <c r="A37" s="285" t="s">
        <v>663</v>
      </c>
      <c r="B37" s="283" t="s">
        <v>659</v>
      </c>
      <c r="D37" s="284"/>
      <c r="E37" s="283">
        <f>GlobalFactors.csv!F34</f>
        <v>5.3999999999999999E-2</v>
      </c>
      <c r="H37" s="283" t="s">
        <v>10</v>
      </c>
      <c r="I37" s="286" t="s">
        <v>691</v>
      </c>
    </row>
    <row r="38" spans="1:10">
      <c r="A38" t="s">
        <v>686</v>
      </c>
      <c r="B38" t="s">
        <v>659</v>
      </c>
      <c r="D38" s="89">
        <f>D36*E37</f>
        <v>6.5609999999999991</v>
      </c>
    </row>
    <row r="39" spans="1:10">
      <c r="A39" t="s">
        <v>662</v>
      </c>
      <c r="B39" t="s">
        <v>28</v>
      </c>
      <c r="C39" s="86">
        <f>D38*Parameters!C19*Parameters!C6</f>
        <v>123.08435999999999</v>
      </c>
      <c r="D39" s="68">
        <f>D38*Parameters!C19</f>
        <v>4.3958699999999995</v>
      </c>
      <c r="F39" s="4"/>
      <c r="G39" s="4"/>
    </row>
    <row r="40" spans="1:10">
      <c r="A40" t="s">
        <v>389</v>
      </c>
      <c r="B40" t="s">
        <v>28</v>
      </c>
      <c r="D40" s="86">
        <f>D42+D45</f>
        <v>28.167228571428574</v>
      </c>
      <c r="F40" s="4"/>
      <c r="G40" s="4"/>
    </row>
    <row r="41" spans="1:10">
      <c r="A41" t="s">
        <v>122</v>
      </c>
      <c r="B41" t="s">
        <v>391</v>
      </c>
      <c r="C41" s="5"/>
      <c r="F41" s="325">
        <f>Parameters!G27</f>
        <v>8900</v>
      </c>
      <c r="G41" s="4"/>
    </row>
    <row r="42" spans="1:10">
      <c r="A42" t="s">
        <v>664</v>
      </c>
      <c r="B42" t="s">
        <v>28</v>
      </c>
      <c r="D42" s="9">
        <f>F41/1000*Parameters!C$16*Parameters!$C$5*E42</f>
        <v>18.53107142857143</v>
      </c>
      <c r="E42" s="10">
        <f>GlobalFactors.csv!F30</f>
        <v>5.0000000000000001E-3</v>
      </c>
      <c r="G42" s="4"/>
      <c r="H42" t="s">
        <v>40</v>
      </c>
      <c r="I42" s="2" t="s">
        <v>41</v>
      </c>
    </row>
    <row r="43" spans="1:10">
      <c r="A43" t="s">
        <v>676</v>
      </c>
      <c r="B43" t="s">
        <v>667</v>
      </c>
      <c r="D43" s="9"/>
      <c r="E43" s="10">
        <f>GlobalFactors.csv!F36</f>
        <v>0.26</v>
      </c>
      <c r="G43" s="6"/>
      <c r="H43" t="s">
        <v>425</v>
      </c>
      <c r="I43" s="2"/>
    </row>
    <row r="44" spans="1:10">
      <c r="A44" t="s">
        <v>679</v>
      </c>
      <c r="B44" t="s">
        <v>666</v>
      </c>
      <c r="E44" s="10">
        <f>GlobalFactors.csv!F37</f>
        <v>0.01</v>
      </c>
      <c r="G44" s="6"/>
      <c r="H44" t="s">
        <v>418</v>
      </c>
      <c r="I44" s="2" t="s">
        <v>42</v>
      </c>
    </row>
    <row r="45" spans="1:10">
      <c r="A45" t="s">
        <v>665</v>
      </c>
      <c r="B45" t="s">
        <v>28</v>
      </c>
      <c r="D45" s="9">
        <f>E44/1000*F41*E43*Parameters!C16*Parameters!C5</f>
        <v>9.6361571428571438</v>
      </c>
    </row>
    <row r="46" spans="1:10" s="3" customFormat="1">
      <c r="A46" s="3" t="s">
        <v>689</v>
      </c>
      <c r="B46" s="3" t="s">
        <v>28</v>
      </c>
      <c r="D46" s="20"/>
    </row>
    <row r="47" spans="1:10" s="12" customFormat="1">
      <c r="A47" s="13" t="s">
        <v>36</v>
      </c>
      <c r="C47" s="106">
        <f>C51+C53+C59</f>
        <v>1.9500220827532857</v>
      </c>
    </row>
    <row r="48" spans="1:10" s="6" customFormat="1">
      <c r="A48" s="45" t="s">
        <v>828</v>
      </c>
      <c r="B48" s="6" t="s">
        <v>825</v>
      </c>
      <c r="G48" s="259">
        <f>GlobalFactors.csv!F11</f>
        <v>0.03</v>
      </c>
      <c r="H48" s="6" t="s">
        <v>1036</v>
      </c>
      <c r="J48" s="6" t="s">
        <v>827</v>
      </c>
    </row>
    <row r="49" spans="1:11" s="6" customFormat="1">
      <c r="A49" s="45" t="s">
        <v>829</v>
      </c>
      <c r="B49" s="6" t="s">
        <v>12</v>
      </c>
      <c r="E49" s="224">
        <f>GlobalFactors.csv!F38</f>
        <v>20</v>
      </c>
      <c r="G49" s="10"/>
    </row>
    <row r="50" spans="1:11" s="6" customFormat="1">
      <c r="A50" s="45" t="s">
        <v>831</v>
      </c>
      <c r="B50" s="6" t="s">
        <v>832</v>
      </c>
      <c r="D50" s="6">
        <f>E49*G48</f>
        <v>0.6</v>
      </c>
      <c r="E50" s="224"/>
      <c r="G50" s="10"/>
    </row>
    <row r="51" spans="1:11" s="283" customFormat="1">
      <c r="A51" s="283" t="s">
        <v>677</v>
      </c>
      <c r="B51" s="283" t="s">
        <v>28</v>
      </c>
      <c r="C51" s="284">
        <f>E49*G48*(GlobalFactors.csv!F7+GlobalFactors.csv!F6)</f>
        <v>1.902296605464</v>
      </c>
      <c r="H51" s="283" t="s">
        <v>43</v>
      </c>
      <c r="I51" s="283" t="s">
        <v>678</v>
      </c>
    </row>
    <row r="52" spans="1:11">
      <c r="A52" t="s">
        <v>45</v>
      </c>
      <c r="B52" t="s">
        <v>51</v>
      </c>
      <c r="D52" s="91">
        <f>F41/1000*(1-E42-E43-E52)</f>
        <v>6.3635000000000002</v>
      </c>
      <c r="E52" s="10">
        <v>0.02</v>
      </c>
      <c r="G52" s="4"/>
      <c r="H52" t="s">
        <v>421</v>
      </c>
      <c r="J52" t="s">
        <v>419</v>
      </c>
    </row>
    <row r="53" spans="1:11">
      <c r="A53" t="s">
        <v>674</v>
      </c>
      <c r="B53" t="s">
        <v>666</v>
      </c>
      <c r="C53" s="9">
        <f>D52*Parameters!C$16*Parameters!$C$5/1000*E53</f>
        <v>3.3124290178571429E-2</v>
      </c>
      <c r="E53" s="10">
        <f>GlobalFactors.csv!F39</f>
        <v>1.2500000000000001E-2</v>
      </c>
      <c r="H53" t="s">
        <v>420</v>
      </c>
    </row>
    <row r="54" spans="1:11">
      <c r="A54" t="s">
        <v>675</v>
      </c>
      <c r="B54" t="s">
        <v>667</v>
      </c>
      <c r="D54" s="9">
        <f>D52*E54</f>
        <v>0.47726249999999998</v>
      </c>
      <c r="E54" s="10">
        <f>GlobalFactors.csv!F40</f>
        <v>7.4999999999999997E-2</v>
      </c>
      <c r="H54" t="s">
        <v>672</v>
      </c>
    </row>
    <row r="55" spans="1:11">
      <c r="A55" t="s">
        <v>1046</v>
      </c>
      <c r="B55" t="s">
        <v>666</v>
      </c>
      <c r="D55" s="9">
        <f>E44*D54*Parameters!C16*Parameters!C5/1000</f>
        <v>1.9874574107142857E-3</v>
      </c>
      <c r="H55" t="s">
        <v>673</v>
      </c>
    </row>
    <row r="56" spans="1:11">
      <c r="A56" t="s">
        <v>1045</v>
      </c>
      <c r="B56" t="s">
        <v>28</v>
      </c>
      <c r="D56" s="18">
        <f>C53+D55</f>
        <v>3.5111747589285716E-2</v>
      </c>
    </row>
    <row r="57" spans="1:11">
      <c r="A57" t="s">
        <v>1042</v>
      </c>
      <c r="B57" t="s">
        <v>1043</v>
      </c>
      <c r="D57" s="18">
        <f>D52*E57</f>
        <v>3.029026</v>
      </c>
      <c r="E57">
        <f>GlobalFactors.csv!F41</f>
        <v>0.47599999999999998</v>
      </c>
    </row>
    <row r="58" spans="1:11">
      <c r="A58" t="s">
        <v>1047</v>
      </c>
      <c r="B58" t="s">
        <v>1044</v>
      </c>
      <c r="D58" s="9">
        <f>E44*D57*Parameters!C16*Parameters!C5/1000</f>
        <v>1.26137297E-2</v>
      </c>
    </row>
    <row r="59" spans="1:11">
      <c r="A59" t="s">
        <v>665</v>
      </c>
      <c r="B59" t="s">
        <v>28</v>
      </c>
      <c r="C59" s="18">
        <f>D55+D58</f>
        <v>1.4601187110714285E-2</v>
      </c>
    </row>
    <row r="60" spans="1:11" s="13" customFormat="1">
      <c r="A60" s="13" t="s">
        <v>424</v>
      </c>
      <c r="C60" s="39">
        <f>C74</f>
        <v>-27.463447035028558</v>
      </c>
      <c r="D60" s="106"/>
    </row>
    <row r="61" spans="1:11" s="115" customFormat="1" ht="14">
      <c r="A61" s="115" t="s">
        <v>470</v>
      </c>
      <c r="B61" s="115" t="s">
        <v>28</v>
      </c>
      <c r="C61" s="206"/>
      <c r="D61" s="206"/>
      <c r="F61" s="214">
        <f>Parameters!J27</f>
        <v>145.73955722402675</v>
      </c>
      <c r="H61" s="115" t="s">
        <v>644</v>
      </c>
      <c r="I61" s="115" t="s">
        <v>682</v>
      </c>
      <c r="J61" s="115" t="s">
        <v>681</v>
      </c>
    </row>
    <row r="62" spans="1:11" s="115" customFormat="1" ht="14" hidden="1">
      <c r="A62" s="115" t="s">
        <v>692</v>
      </c>
      <c r="B62" s="115" t="s">
        <v>684</v>
      </c>
      <c r="C62" s="206"/>
      <c r="D62" s="206"/>
      <c r="F62" s="200">
        <f>Parameters!O27</f>
        <v>0.84099999999999997</v>
      </c>
      <c r="I62" s="115">
        <f>+-3%</f>
        <v>-0.03</v>
      </c>
    </row>
    <row r="63" spans="1:11" s="46" customFormat="1" hidden="1">
      <c r="A63" s="115" t="s">
        <v>899</v>
      </c>
      <c r="B63" s="222" t="s">
        <v>683</v>
      </c>
      <c r="C63" s="293"/>
      <c r="D63" s="269">
        <f>F61*(1-F62)</f>
        <v>23.172589598620259</v>
      </c>
      <c r="F63" s="168">
        <f>D63/F61</f>
        <v>0.15900000000000003</v>
      </c>
      <c r="J63" s="255" t="s">
        <v>843</v>
      </c>
      <c r="K63" s="187"/>
    </row>
    <row r="64" spans="1:11" s="46" customFormat="1">
      <c r="A64" s="115" t="s">
        <v>965</v>
      </c>
      <c r="B64" s="222"/>
      <c r="C64" s="293"/>
      <c r="D64" s="269"/>
      <c r="F64" s="168"/>
      <c r="G64" s="46">
        <v>0.6</v>
      </c>
      <c r="J64" s="255"/>
      <c r="K64" s="187"/>
    </row>
    <row r="65" spans="1:11" s="46" customFormat="1">
      <c r="A65" s="115" t="s">
        <v>966</v>
      </c>
      <c r="B65" s="255" t="s">
        <v>964</v>
      </c>
      <c r="C65" s="293"/>
      <c r="D65" s="269">
        <f>D17/G64</f>
        <v>135.315</v>
      </c>
      <c r="F65" s="168"/>
      <c r="J65" s="255"/>
      <c r="K65" s="187"/>
    </row>
    <row r="66" spans="1:11" s="46" customFormat="1">
      <c r="A66" s="115" t="s">
        <v>901</v>
      </c>
      <c r="B66" s="255" t="s">
        <v>964</v>
      </c>
      <c r="C66" s="293"/>
      <c r="D66" s="269">
        <f>D65*G64</f>
        <v>81.188999999999993</v>
      </c>
      <c r="F66" s="168"/>
      <c r="J66" s="255"/>
      <c r="K66" s="187"/>
    </row>
    <row r="67" spans="1:11" s="46" customFormat="1">
      <c r="A67" s="115" t="s">
        <v>967</v>
      </c>
      <c r="B67" s="255" t="s">
        <v>964</v>
      </c>
      <c r="C67" s="293"/>
      <c r="D67" s="269">
        <f>D65*(1-G64)</f>
        <v>54.126000000000005</v>
      </c>
      <c r="F67" s="168"/>
      <c r="J67" s="255"/>
      <c r="K67" s="187"/>
    </row>
    <row r="68" spans="1:11" s="302" customFormat="1">
      <c r="A68" s="301" t="s">
        <v>968</v>
      </c>
      <c r="B68" s="302" t="s">
        <v>969</v>
      </c>
      <c r="D68" s="303">
        <f>D66*Parameters!C19*F68</f>
        <v>40.797472499999998</v>
      </c>
      <c r="F68" s="15">
        <f>1/Parameters!C18</f>
        <v>0.75</v>
      </c>
      <c r="G68" s="15" t="s">
        <v>951</v>
      </c>
    </row>
    <row r="69" spans="1:11" s="15" customFormat="1">
      <c r="A69" s="301" t="s">
        <v>910</v>
      </c>
      <c r="B69" s="15" t="s">
        <v>955</v>
      </c>
      <c r="D69" s="234">
        <f>D67*Parameters!C21*AD!F69</f>
        <v>26.556183818181822</v>
      </c>
      <c r="F69" s="15">
        <f>1/Parameters!C17</f>
        <v>0.27272727272727276</v>
      </c>
      <c r="G69" s="15" t="s">
        <v>952</v>
      </c>
    </row>
    <row r="70" spans="1:11" s="15" customFormat="1">
      <c r="A70" s="301" t="s">
        <v>953</v>
      </c>
      <c r="B70" s="15" t="s">
        <v>954</v>
      </c>
      <c r="D70" s="234">
        <f>D39/Parameters!C18</f>
        <v>3.2969024999999998</v>
      </c>
    </row>
    <row r="71" spans="1:11" s="15" customFormat="1">
      <c r="A71" s="301" t="s">
        <v>1004</v>
      </c>
      <c r="B71" s="15" t="s">
        <v>1005</v>
      </c>
      <c r="D71" s="299">
        <f>D26*Parameters!C19*F68</f>
        <v>0.1886883103125</v>
      </c>
      <c r="G71" s="299"/>
    </row>
    <row r="72" spans="1:11" s="15" customFormat="1">
      <c r="A72" s="301" t="s">
        <v>839</v>
      </c>
      <c r="B72" s="15" t="s">
        <v>840</v>
      </c>
      <c r="D72" s="299">
        <f>F61-D68-D69-D70-D71</f>
        <v>74.900310095532433</v>
      </c>
      <c r="G72" s="299"/>
    </row>
    <row r="73" spans="1:11">
      <c r="A73" s="115" t="s">
        <v>912</v>
      </c>
      <c r="B73" s="15" t="s">
        <v>913</v>
      </c>
      <c r="D73" s="85">
        <f>D72*F73</f>
        <v>7.4900310095532436</v>
      </c>
      <c r="F73" s="10">
        <f>0.1</f>
        <v>0.1</v>
      </c>
      <c r="G73" s="52"/>
      <c r="I73" t="s">
        <v>842</v>
      </c>
      <c r="J73" t="s">
        <v>900</v>
      </c>
    </row>
    <row r="74" spans="1:11" s="15" customFormat="1">
      <c r="A74" s="301" t="s">
        <v>912</v>
      </c>
      <c r="B74" s="15" t="s">
        <v>28</v>
      </c>
      <c r="C74" s="299">
        <f>D73*-Parameters!C17</f>
        <v>-27.463447035028558</v>
      </c>
      <c r="E74" s="304">
        <f>D73/F61</f>
        <v>5.1393260362660349E-2</v>
      </c>
    </row>
    <row r="75" spans="1:11" s="43" customFormat="1">
      <c r="A75" s="44" t="s">
        <v>382</v>
      </c>
      <c r="C75" s="181">
        <f>C14+C33+C47+C60+C10</f>
        <v>-12.546394642771812</v>
      </c>
    </row>
    <row r="76" spans="1:11" s="44" customFormat="1">
      <c r="A76" s="44" t="s">
        <v>107</v>
      </c>
    </row>
    <row r="77" spans="1:11">
      <c r="A77" t="s">
        <v>45</v>
      </c>
      <c r="C77" s="90"/>
      <c r="D77" s="92">
        <f>D52-D52*E53-D52*E54-D52*E57</f>
        <v>2.77766775</v>
      </c>
    </row>
    <row r="78" spans="1:11" s="6" customFormat="1">
      <c r="A78" s="6" t="s">
        <v>395</v>
      </c>
      <c r="B78" s="6" t="s">
        <v>46</v>
      </c>
      <c r="D78" s="18">
        <f>D77*E78</f>
        <v>1.8054840375000001</v>
      </c>
      <c r="E78" s="10">
        <f>GlobalFactors.csv!F42</f>
        <v>0.65</v>
      </c>
      <c r="H78" s="93">
        <f>-'[2]Fertilizer literature'!I1</f>
        <v>0</v>
      </c>
    </row>
    <row r="79" spans="1:11">
      <c r="A79" t="s">
        <v>393</v>
      </c>
      <c r="B79" t="s">
        <v>394</v>
      </c>
      <c r="D79" s="18">
        <f>G79*D78/1000</f>
        <v>1.5978533731875001E-2</v>
      </c>
      <c r="G79" s="4">
        <f>GlobalFactors.csv!F9</f>
        <v>8.85</v>
      </c>
      <c r="I79" t="s">
        <v>422</v>
      </c>
    </row>
    <row r="80" spans="1:11">
      <c r="A80" t="s">
        <v>398</v>
      </c>
      <c r="B80" t="s">
        <v>394</v>
      </c>
      <c r="D80" s="18">
        <f>G80*D78/1000</f>
        <v>-9.7496138025000012E-3</v>
      </c>
      <c r="G80">
        <v>-5.4</v>
      </c>
      <c r="I80" t="s">
        <v>423</v>
      </c>
    </row>
    <row r="81" spans="1:8">
      <c r="A81" t="s">
        <v>1073</v>
      </c>
      <c r="D81" s="18">
        <f>D78/GlobalFactors.csv!F57</f>
        <v>3.1686244858124999</v>
      </c>
      <c r="G81" s="327">
        <f>GlobalFactors.csv!F57</f>
        <v>0.56980056980056981</v>
      </c>
    </row>
    <row r="82" spans="1:8">
      <c r="A82" t="s">
        <v>975</v>
      </c>
      <c r="B82" t="s">
        <v>1049</v>
      </c>
      <c r="D82" s="326">
        <f>Parameters!Q27*GlobalFactors.csv!F13/1000</f>
        <v>3.42</v>
      </c>
      <c r="F82" s="85">
        <f>Parameters!P27+Parameters!Q27</f>
        <v>5200</v>
      </c>
    </row>
    <row r="83" spans="1:8">
      <c r="A83" t="s">
        <v>1074</v>
      </c>
      <c r="D83" s="326"/>
    </row>
    <row r="84" spans="1:8">
      <c r="A84" t="s">
        <v>1048</v>
      </c>
      <c r="B84" t="s">
        <v>1050</v>
      </c>
      <c r="D84" s="326">
        <f>Parameters!P27*GlobalFactors.csv!F14/1000</f>
        <v>3.1680000000000001</v>
      </c>
      <c r="F84" s="85">
        <f>Parameters!P27</f>
        <v>3300</v>
      </c>
    </row>
    <row r="85" spans="1:8" s="3" customFormat="1">
      <c r="A85" s="3" t="s">
        <v>688</v>
      </c>
      <c r="B85" s="3" t="s">
        <v>28</v>
      </c>
      <c r="C85" s="20">
        <f>D79+D80+D82+D84</f>
        <v>6.5942289199293747</v>
      </c>
      <c r="D85" s="229"/>
    </row>
    <row r="86" spans="1:8" s="6" customFormat="1">
      <c r="A86" s="87" t="s">
        <v>690</v>
      </c>
      <c r="C86" s="230">
        <f>C75+C85</f>
        <v>-5.9521657228424374</v>
      </c>
      <c r="D86" s="7"/>
    </row>
    <row r="87" spans="1:8" s="6" customFormat="1">
      <c r="A87" s="87"/>
      <c r="C87" s="107"/>
    </row>
    <row r="88" spans="1:8" s="6" customFormat="1">
      <c r="A88" s="87"/>
      <c r="C88" s="107"/>
    </row>
    <row r="89" spans="1:8">
      <c r="C89" s="85"/>
    </row>
    <row r="90" spans="1:8">
      <c r="A90" s="7"/>
      <c r="C90" s="85"/>
      <c r="E90" s="7"/>
    </row>
    <row r="91" spans="1:8">
      <c r="A91" s="7" t="s">
        <v>426</v>
      </c>
      <c r="H91" s="103"/>
    </row>
    <row r="92" spans="1:8">
      <c r="A92" s="7"/>
    </row>
    <row r="97" spans="6:7" ht="16">
      <c r="F97" s="74"/>
      <c r="G97" s="7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38" workbookViewId="0">
      <selection activeCell="A39" sqref="A39:G48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2" customFormat="1" ht="30">
      <c r="B1" s="42" t="s">
        <v>14</v>
      </c>
      <c r="C1" s="42" t="s">
        <v>24</v>
      </c>
      <c r="D1" s="42" t="s">
        <v>110</v>
      </c>
      <c r="E1" s="42" t="s">
        <v>742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49" customFormat="1" ht="56" hidden="1">
      <c r="A4" s="75" t="s">
        <v>1</v>
      </c>
      <c r="B4" s="76" t="s">
        <v>4</v>
      </c>
      <c r="C4" s="77"/>
      <c r="D4" s="77"/>
      <c r="E4" s="78" t="s">
        <v>20</v>
      </c>
      <c r="F4" s="79">
        <v>1.31</v>
      </c>
      <c r="G4" s="80" t="s">
        <v>138</v>
      </c>
      <c r="H4" s="80" t="s">
        <v>383</v>
      </c>
      <c r="I4" s="51" t="s">
        <v>81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70">
        <f>C10+C12</f>
        <v>35.716296605464002</v>
      </c>
    </row>
    <row r="8" spans="1:20" s="6" customFormat="1">
      <c r="A8" s="45" t="s">
        <v>833</v>
      </c>
      <c r="B8" s="6" t="s">
        <v>825</v>
      </c>
      <c r="C8" s="223"/>
      <c r="E8" s="226">
        <f>GlobalFactors.csv!F11</f>
        <v>0.03</v>
      </c>
    </row>
    <row r="9" spans="1:20" s="6" customFormat="1">
      <c r="A9" s="45" t="s">
        <v>829</v>
      </c>
      <c r="B9" s="6" t="s">
        <v>12</v>
      </c>
      <c r="C9" s="223"/>
      <c r="E9" s="5">
        <f>GlobalFactors.csv!F50</f>
        <v>20</v>
      </c>
    </row>
    <row r="10" spans="1:20">
      <c r="A10" t="s">
        <v>44</v>
      </c>
      <c r="B10" t="s">
        <v>28</v>
      </c>
      <c r="C10" s="9">
        <f>E9*E8*(GlobalFactors.csv!F6+GlobalFactors.csv!F7)</f>
        <v>1.902296605464</v>
      </c>
      <c r="G10" s="231" t="s">
        <v>693</v>
      </c>
      <c r="H10" t="s">
        <v>43</v>
      </c>
    </row>
    <row r="11" spans="1:20">
      <c r="A11" t="s">
        <v>399</v>
      </c>
      <c r="B11" t="s">
        <v>51</v>
      </c>
      <c r="D11" s="91"/>
      <c r="F11" s="8">
        <f>Parameters!G34</f>
        <v>5600</v>
      </c>
      <c r="H11" t="s">
        <v>392</v>
      </c>
    </row>
    <row r="12" spans="1:20">
      <c r="A12" t="s">
        <v>389</v>
      </c>
      <c r="B12" t="s">
        <v>28</v>
      </c>
      <c r="C12" s="18">
        <f>D14+D17</f>
        <v>33.814</v>
      </c>
    </row>
    <row r="13" spans="1:20">
      <c r="A13" t="s">
        <v>674</v>
      </c>
      <c r="B13" t="s">
        <v>666</v>
      </c>
      <c r="C13" s="18"/>
      <c r="E13" s="4">
        <v>1.2500000000000001E-2</v>
      </c>
      <c r="H13" t="s">
        <v>420</v>
      </c>
    </row>
    <row r="14" spans="1:20">
      <c r="A14" t="s">
        <v>38</v>
      </c>
      <c r="B14" t="s">
        <v>28</v>
      </c>
      <c r="D14" s="9">
        <f>F11*Parameters!C$16*Parameters!$C$5/1000*E13</f>
        <v>29.150000000000002</v>
      </c>
    </row>
    <row r="15" spans="1:20">
      <c r="A15" t="s">
        <v>679</v>
      </c>
      <c r="B15" t="s">
        <v>666</v>
      </c>
      <c r="D15" s="9"/>
      <c r="E15" s="4">
        <v>0.01</v>
      </c>
      <c r="H15" t="s">
        <v>673</v>
      </c>
    </row>
    <row r="16" spans="1:20">
      <c r="A16" t="s">
        <v>675</v>
      </c>
      <c r="B16" t="s">
        <v>667</v>
      </c>
      <c r="D16" s="9"/>
      <c r="E16" s="10">
        <v>0.2</v>
      </c>
      <c r="H16" t="s">
        <v>672</v>
      </c>
    </row>
    <row r="17" spans="1:11">
      <c r="A17" t="s">
        <v>39</v>
      </c>
      <c r="B17" t="s">
        <v>28</v>
      </c>
      <c r="D17" s="9">
        <f>F11*Parameters!C$16*Parameters!$C$5/1000*E15*E16</f>
        <v>4.6640000000000006</v>
      </c>
    </row>
    <row r="18" spans="1:11" s="13" customFormat="1">
      <c r="A18" s="13" t="s">
        <v>424</v>
      </c>
      <c r="D18" s="106"/>
    </row>
    <row r="19" spans="1:11" s="115" customFormat="1" ht="14">
      <c r="A19" s="115" t="s">
        <v>470</v>
      </c>
      <c r="B19" s="115" t="s">
        <v>685</v>
      </c>
      <c r="C19" s="206"/>
      <c r="D19" s="206"/>
      <c r="F19" s="214">
        <f>Parameters!J27</f>
        <v>145.73955722402675</v>
      </c>
      <c r="H19" s="115" t="s">
        <v>644</v>
      </c>
      <c r="I19" s="115" t="s">
        <v>682</v>
      </c>
      <c r="J19" s="115" t="s">
        <v>681</v>
      </c>
    </row>
    <row r="20" spans="1:11" s="115" customFormat="1" ht="14">
      <c r="A20" s="115" t="s">
        <v>738</v>
      </c>
      <c r="C20" s="206"/>
      <c r="D20" s="206"/>
      <c r="E20" s="115">
        <v>1</v>
      </c>
      <c r="F20" s="214"/>
    </row>
    <row r="21" spans="1:11" s="115" customFormat="1" ht="14">
      <c r="A21" s="115" t="s">
        <v>692</v>
      </c>
      <c r="B21" s="115" t="s">
        <v>684</v>
      </c>
      <c r="C21" s="206"/>
      <c r="D21" s="206"/>
      <c r="F21" s="200">
        <f>Parameters!O27</f>
        <v>0.84099999999999997</v>
      </c>
      <c r="I21" s="115">
        <f>+-3%</f>
        <v>-0.03</v>
      </c>
    </row>
    <row r="22" spans="1:11" s="46" customFormat="1" ht="14">
      <c r="A22" s="115" t="s">
        <v>523</v>
      </c>
      <c r="B22" s="222" t="s">
        <v>683</v>
      </c>
      <c r="D22" s="206">
        <f>F19*(1-F21)</f>
        <v>23.172589598620259</v>
      </c>
      <c r="F22" s="168"/>
      <c r="J22" s="199" t="s">
        <v>643</v>
      </c>
      <c r="K22" s="187"/>
    </row>
    <row r="23" spans="1:11">
      <c r="A23" s="115" t="s">
        <v>841</v>
      </c>
      <c r="C23" s="225">
        <f>-D23*Parameters!C17</f>
        <v>-8.4966161861607628</v>
      </c>
      <c r="D23" s="85">
        <f>D22*(F23)</f>
        <v>2.3172589598620261</v>
      </c>
      <c r="E23">
        <v>1</v>
      </c>
      <c r="F23" s="10">
        <f>GlobalFactors.csv!F73</f>
        <v>0.1</v>
      </c>
      <c r="G23" s="52">
        <f>D23/F19</f>
        <v>1.5900000000000004E-2</v>
      </c>
      <c r="H23" t="s">
        <v>850</v>
      </c>
      <c r="I23" t="s">
        <v>842</v>
      </c>
      <c r="J23" t="s">
        <v>844</v>
      </c>
    </row>
    <row r="24" spans="1:11" s="43" customFormat="1">
      <c r="A24" s="44" t="s">
        <v>382</v>
      </c>
      <c r="C24" s="181">
        <f>C23+C7</f>
        <v>27.219680419303238</v>
      </c>
    </row>
    <row r="25" spans="1:11" s="44" customFormat="1">
      <c r="A25" s="44" t="s">
        <v>107</v>
      </c>
      <c r="C25" s="233">
        <f>D29+D30</f>
        <v>-283.15224000000001</v>
      </c>
    </row>
    <row r="26" spans="1:11" s="44" customFormat="1">
      <c r="A26" s="87" t="s">
        <v>421</v>
      </c>
      <c r="B26" s="87" t="s">
        <v>22</v>
      </c>
      <c r="C26" s="232"/>
      <c r="D26" s="87"/>
      <c r="E26" s="87"/>
      <c r="F26" s="10">
        <v>0.02</v>
      </c>
      <c r="G26" s="4"/>
      <c r="H26" t="s">
        <v>421</v>
      </c>
      <c r="I26"/>
      <c r="J26"/>
    </row>
    <row r="27" spans="1:11">
      <c r="A27" t="s">
        <v>45</v>
      </c>
      <c r="B27" t="s">
        <v>598</v>
      </c>
      <c r="C27" s="90"/>
      <c r="D27" s="92">
        <f>F11-F11*E13-F11*E16-F11*F26</f>
        <v>4298</v>
      </c>
      <c r="F27">
        <v>0.02</v>
      </c>
    </row>
    <row r="28" spans="1:11">
      <c r="A28" t="s">
        <v>395</v>
      </c>
      <c r="B28" t="s">
        <v>46</v>
      </c>
      <c r="D28" s="9">
        <f>D27*F28</f>
        <v>23209.200000000001</v>
      </c>
      <c r="F28" s="4">
        <f>GlobalFactors.csv!F10</f>
        <v>5.4</v>
      </c>
      <c r="G28" s="93"/>
      <c r="H28" t="s">
        <v>396</v>
      </c>
    </row>
    <row r="29" spans="1:11">
      <c r="A29" t="s">
        <v>591</v>
      </c>
      <c r="B29" t="s">
        <v>394</v>
      </c>
      <c r="D29" s="9">
        <f>F29*D28/1000</f>
        <v>-157.82256000000001</v>
      </c>
      <c r="F29" s="4">
        <v>-6.8</v>
      </c>
      <c r="G29" t="s">
        <v>596</v>
      </c>
      <c r="H29" t="s">
        <v>397</v>
      </c>
    </row>
    <row r="30" spans="1:11">
      <c r="A30" t="s">
        <v>525</v>
      </c>
      <c r="B30" t="s">
        <v>394</v>
      </c>
      <c r="D30" s="9">
        <f>F30*D28/1000</f>
        <v>-125.32968000000001</v>
      </c>
      <c r="F30" s="10">
        <f>AD!G80</f>
        <v>-5.4</v>
      </c>
      <c r="G30" t="s">
        <v>595</v>
      </c>
      <c r="H30" t="s">
        <v>423</v>
      </c>
    </row>
    <row r="31" spans="1:11">
      <c r="A31" t="s">
        <v>592</v>
      </c>
      <c r="B31" t="s">
        <v>593</v>
      </c>
      <c r="D31" s="9">
        <f>F31*D28/1000</f>
        <v>46.418399999999998</v>
      </c>
      <c r="F31" s="10">
        <v>2</v>
      </c>
      <c r="G31" t="s">
        <v>694</v>
      </c>
    </row>
    <row r="32" spans="1:11">
      <c r="A32" t="s">
        <v>590</v>
      </c>
      <c r="D32" s="9"/>
      <c r="F32" s="4">
        <v>0.75</v>
      </c>
      <c r="G32" t="s">
        <v>694</v>
      </c>
    </row>
    <row r="33" spans="1:3" s="43" customFormat="1">
      <c r="A33" s="44" t="s">
        <v>382</v>
      </c>
      <c r="C33" s="94">
        <f>C24+C25</f>
        <v>-255.93255958069676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opLeftCell="A40" workbookViewId="0">
      <selection activeCell="C78" sqref="C78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2" customFormat="1" ht="45">
      <c r="B1" s="42" t="s">
        <v>14</v>
      </c>
      <c r="C1" s="42" t="s">
        <v>24</v>
      </c>
      <c r="D1" s="42" t="s">
        <v>110</v>
      </c>
      <c r="E1" s="42" t="s">
        <v>743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42" customFormat="1" ht="45">
      <c r="B2" s="42" t="s">
        <v>14</v>
      </c>
      <c r="C2" s="42" t="s">
        <v>24</v>
      </c>
      <c r="D2" s="42" t="s">
        <v>110</v>
      </c>
      <c r="E2" s="42" t="s">
        <v>111</v>
      </c>
      <c r="F2" s="42" t="s">
        <v>112</v>
      </c>
      <c r="H2" s="42" t="s">
        <v>2</v>
      </c>
      <c r="I2" s="42" t="s">
        <v>619</v>
      </c>
      <c r="J2" s="42" t="s">
        <v>5</v>
      </c>
    </row>
    <row r="3" spans="1:20" s="12" customFormat="1" hidden="1">
      <c r="A3" s="13" t="s">
        <v>429</v>
      </c>
      <c r="C3" s="11">
        <f>C7</f>
        <v>4.28</v>
      </c>
      <c r="D3" s="11"/>
      <c r="E3" s="11"/>
    </row>
    <row r="4" spans="1:20" hidden="1">
      <c r="A4" t="s">
        <v>417</v>
      </c>
      <c r="B4" t="s">
        <v>4</v>
      </c>
      <c r="F4" s="10">
        <v>0.107</v>
      </c>
      <c r="G4" s="10"/>
      <c r="H4" s="1" t="s">
        <v>7</v>
      </c>
      <c r="I4" s="1"/>
      <c r="J4" s="6" t="s">
        <v>384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430</v>
      </c>
      <c r="J6" t="s">
        <v>431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0" customFormat="1" hidden="1">
      <c r="A8" s="40" t="s">
        <v>108</v>
      </c>
    </row>
    <row r="9" spans="1:20" hidden="1">
      <c r="A9" t="s">
        <v>117</v>
      </c>
      <c r="F9">
        <f>118*0.021*16/12</f>
        <v>3.3040000000000003</v>
      </c>
      <c r="J9" t="s">
        <v>427</v>
      </c>
    </row>
    <row r="10" spans="1:20" hidden="1">
      <c r="A10" t="s">
        <v>118</v>
      </c>
      <c r="J10" t="s">
        <v>428</v>
      </c>
    </row>
    <row r="11" spans="1:20" hidden="1">
      <c r="A11" t="s">
        <v>119</v>
      </c>
      <c r="J11" t="s">
        <v>120</v>
      </c>
    </row>
    <row r="12" spans="1:20" s="13" customFormat="1">
      <c r="A12" s="13" t="s">
        <v>566</v>
      </c>
      <c r="C12" s="39">
        <f>C14+C15</f>
        <v>9.5274025281014865</v>
      </c>
    </row>
    <row r="13" spans="1:20" s="45" customFormat="1">
      <c r="A13" s="45" t="s">
        <v>576</v>
      </c>
      <c r="B13" s="45" t="s">
        <v>449</v>
      </c>
      <c r="C13" s="108"/>
      <c r="E13" s="260">
        <v>3</v>
      </c>
      <c r="F13" s="338"/>
      <c r="H13" s="45" t="s">
        <v>524</v>
      </c>
      <c r="I13" s="45">
        <f>GlobalFactors.csv!G59</f>
        <v>0.13</v>
      </c>
      <c r="J13" s="188" t="s">
        <v>889</v>
      </c>
    </row>
    <row r="14" spans="1:20" s="45" customFormat="1">
      <c r="A14" s="45" t="s">
        <v>577</v>
      </c>
      <c r="B14" s="45" t="s">
        <v>28</v>
      </c>
      <c r="C14" s="172">
        <f>E13*F14</f>
        <v>9.5114830273200006</v>
      </c>
      <c r="F14" s="338">
        <f>'Landfill '!G4+'Landfill '!G5</f>
        <v>3.1704943424400001</v>
      </c>
      <c r="H14" s="45" t="s">
        <v>565</v>
      </c>
      <c r="J14" s="45" t="s">
        <v>575</v>
      </c>
    </row>
    <row r="15" spans="1:20" s="45" customFormat="1">
      <c r="A15" s="45" t="s">
        <v>890</v>
      </c>
      <c r="B15" s="45" t="s">
        <v>28</v>
      </c>
      <c r="C15" s="172">
        <f>E15/1000*Parameters!C14</f>
        <v>1.5919500781486559E-2</v>
      </c>
      <c r="E15" s="45">
        <f>GlobalFactors.csv!F60</f>
        <v>2.3E-2</v>
      </c>
      <c r="F15" s="338"/>
      <c r="H15" s="45" t="s">
        <v>892</v>
      </c>
    </row>
    <row r="16" spans="1:20" s="13" customFormat="1">
      <c r="A16" s="13" t="s">
        <v>1120</v>
      </c>
      <c r="C16" s="39">
        <f>C22+C26+C30</f>
        <v>89.521721034199487</v>
      </c>
      <c r="F16" s="339"/>
    </row>
    <row r="17" spans="1:10">
      <c r="A17" s="15" t="s">
        <v>470</v>
      </c>
      <c r="B17" s="15" t="s">
        <v>435</v>
      </c>
      <c r="C17" s="2"/>
      <c r="D17" s="2"/>
      <c r="F17" s="340">
        <f>Parameters!J27</f>
        <v>145.73955722402675</v>
      </c>
      <c r="I17" t="s">
        <v>567</v>
      </c>
      <c r="J17" s="5"/>
    </row>
    <row r="18" spans="1:10">
      <c r="A18" s="15" t="s">
        <v>695</v>
      </c>
      <c r="B18" s="15" t="s">
        <v>583</v>
      </c>
      <c r="C18" s="2"/>
      <c r="D18" s="299">
        <f>F17*E18</f>
        <v>84.528943189935518</v>
      </c>
      <c r="E18" s="4">
        <f>GlobalFactors.csv!F61</f>
        <v>0.57999999999999996</v>
      </c>
      <c r="F18" s="341"/>
      <c r="H18" t="s">
        <v>524</v>
      </c>
      <c r="I18">
        <f>GlobalFactors.csv!G61</f>
        <v>0.4</v>
      </c>
      <c r="J18" s="6" t="s">
        <v>971</v>
      </c>
    </row>
    <row r="19" spans="1:10">
      <c r="A19" s="15" t="s">
        <v>811</v>
      </c>
      <c r="B19" s="15" t="s">
        <v>751</v>
      </c>
      <c r="C19" s="2"/>
      <c r="D19" s="175"/>
      <c r="E19" s="4">
        <f>GlobalFactors.csv!F62</f>
        <v>0.02</v>
      </c>
      <c r="F19" s="341"/>
      <c r="J19" s="6"/>
    </row>
    <row r="20" spans="1:10">
      <c r="A20" s="15" t="s">
        <v>568</v>
      </c>
      <c r="B20" s="15" t="s">
        <v>697</v>
      </c>
      <c r="C20" s="2"/>
      <c r="D20" s="234">
        <f>D18*E19</f>
        <v>1.6905788637987105</v>
      </c>
      <c r="F20" s="341"/>
      <c r="H20" s="6" t="s">
        <v>579</v>
      </c>
      <c r="I20" s="6"/>
      <c r="J20" s="5" t="s">
        <v>881</v>
      </c>
    </row>
    <row r="21" spans="1:10">
      <c r="A21" s="15" t="s">
        <v>568</v>
      </c>
      <c r="B21" s="15" t="s">
        <v>578</v>
      </c>
      <c r="C21" s="2"/>
      <c r="D21" s="306">
        <f>D20*Parameters!C18</f>
        <v>2.254105151731614</v>
      </c>
      <c r="E21" s="6"/>
      <c r="F21" s="341"/>
    </row>
    <row r="22" spans="1:10" s="6" customFormat="1">
      <c r="A22" s="14" t="s">
        <v>812</v>
      </c>
      <c r="B22" s="14" t="s">
        <v>28</v>
      </c>
      <c r="C22" s="300">
        <f>D21*Parameters!C6</f>
        <v>63.114944248485187</v>
      </c>
      <c r="D22" s="5"/>
      <c r="E22" s="5"/>
      <c r="F22" s="338"/>
      <c r="J22" s="14" t="s">
        <v>701</v>
      </c>
    </row>
    <row r="23" spans="1:10">
      <c r="A23" t="s">
        <v>122</v>
      </c>
      <c r="B23" t="s">
        <v>1111</v>
      </c>
      <c r="D23" s="174"/>
      <c r="F23" s="340">
        <f>Parameters!G27/1000</f>
        <v>8.9</v>
      </c>
    </row>
    <row r="24" spans="1:10">
      <c r="A24" s="14" t="s">
        <v>758</v>
      </c>
      <c r="B24" s="14" t="s">
        <v>1082</v>
      </c>
      <c r="D24" s="336">
        <f>F23*E24</f>
        <v>3.827</v>
      </c>
      <c r="E24">
        <f>GlobalFactors.csv!F65</f>
        <v>0.43</v>
      </c>
      <c r="F24" s="340">
        <f>F23*E24</f>
        <v>3.827</v>
      </c>
    </row>
    <row r="25" spans="1:10" s="15" customFormat="1">
      <c r="A25" s="14" t="s">
        <v>1083</v>
      </c>
      <c r="B25" s="14" t="s">
        <v>1106</v>
      </c>
      <c r="D25" s="299">
        <f>F23*E25</f>
        <v>4.4500000000000005E-2</v>
      </c>
      <c r="E25" s="331">
        <f>GlobalFactors.csv!F63</f>
        <v>5.0000000000000001E-3</v>
      </c>
      <c r="F25" s="342"/>
      <c r="H25" s="15" t="s">
        <v>524</v>
      </c>
      <c r="I25" s="15" t="s">
        <v>821</v>
      </c>
      <c r="J25" s="15" t="s">
        <v>580</v>
      </c>
    </row>
    <row r="26" spans="1:10" s="15" customFormat="1">
      <c r="A26" s="15" t="s">
        <v>1084</v>
      </c>
      <c r="B26" s="15" t="s">
        <v>581</v>
      </c>
      <c r="C26" s="299">
        <f>D26*Parameters!C5</f>
        <v>18.53107142857143</v>
      </c>
      <c r="D26" s="234">
        <f>D25*Parameters!C16</f>
        <v>6.9928571428571437E-2</v>
      </c>
      <c r="F26" s="342"/>
      <c r="J26" s="14"/>
    </row>
    <row r="27" spans="1:10" s="15" customFormat="1">
      <c r="A27" s="15" t="s">
        <v>1087</v>
      </c>
      <c r="C27" s="299"/>
      <c r="D27" s="332">
        <f>(F23*E24-F23*E25)</f>
        <v>3.7824999999999998</v>
      </c>
      <c r="F27" s="342"/>
      <c r="J27" s="14"/>
    </row>
    <row r="28" spans="1:10" s="15" customFormat="1">
      <c r="A28" s="14" t="s">
        <v>1107</v>
      </c>
      <c r="B28" s="14" t="s">
        <v>1085</v>
      </c>
      <c r="D28" s="333">
        <f>D27*E28</f>
        <v>1.8912499999999999</v>
      </c>
      <c r="E28" s="15">
        <f>GlobalFactors.csv!F64</f>
        <v>0.5</v>
      </c>
      <c r="F28" s="342"/>
      <c r="H28" s="15" t="s">
        <v>1086</v>
      </c>
    </row>
    <row r="29" spans="1:10">
      <c r="A29" s="14" t="s">
        <v>1108</v>
      </c>
      <c r="B29" s="14" t="s">
        <v>1109</v>
      </c>
      <c r="D29" s="334">
        <f>D28*GlobalFactors.csv!F37</f>
        <v>1.8912499999999999E-2</v>
      </c>
      <c r="F29" s="341"/>
    </row>
    <row r="30" spans="1:10" s="15" customFormat="1">
      <c r="A30" s="14" t="s">
        <v>665</v>
      </c>
      <c r="B30" s="14" t="s">
        <v>28</v>
      </c>
      <c r="C30" s="333">
        <f>D29*Parameters!C16*Parameters!C5</f>
        <v>7.8757053571428566</v>
      </c>
      <c r="F30" s="340"/>
    </row>
    <row r="31" spans="1:10" s="352" customFormat="1">
      <c r="A31" s="352" t="s">
        <v>566</v>
      </c>
      <c r="C31" s="353">
        <f>C12+C16</f>
        <v>99.049123562300977</v>
      </c>
      <c r="F31" s="354"/>
    </row>
    <row r="32" spans="1:10" s="44" customFormat="1">
      <c r="A32" s="170" t="s">
        <v>1110</v>
      </c>
      <c r="B32" s="170"/>
      <c r="C32" s="182">
        <f>C39+C40+C41</f>
        <v>15.567210000000001</v>
      </c>
      <c r="D32" s="171"/>
      <c r="E32" s="169"/>
      <c r="F32" s="343"/>
      <c r="J32" s="171"/>
    </row>
    <row r="33" spans="1:10" s="5" customFormat="1" hidden="1">
      <c r="A33" s="5" t="s">
        <v>828</v>
      </c>
      <c r="B33" s="5" t="s">
        <v>825</v>
      </c>
      <c r="F33" s="344"/>
      <c r="G33" s="335">
        <f>GlobalFactors.csv!F11</f>
        <v>0.03</v>
      </c>
      <c r="H33" s="5" t="s">
        <v>1089</v>
      </c>
      <c r="I33" s="5" t="s">
        <v>830</v>
      </c>
      <c r="J33" s="5" t="s">
        <v>616</v>
      </c>
    </row>
    <row r="34" spans="1:10" s="5" customFormat="1" hidden="1">
      <c r="A34" s="5" t="s">
        <v>829</v>
      </c>
      <c r="B34" s="5" t="s">
        <v>12</v>
      </c>
      <c r="E34" s="224">
        <f>GlobalFactors.csv!F68</f>
        <v>20</v>
      </c>
      <c r="F34" s="344"/>
      <c r="G34" s="224"/>
      <c r="J34" s="5" t="s">
        <v>616</v>
      </c>
    </row>
    <row r="35" spans="1:10" s="5" customFormat="1" hidden="1">
      <c r="A35" s="5" t="s">
        <v>831</v>
      </c>
      <c r="B35" s="5" t="s">
        <v>832</v>
      </c>
      <c r="D35" s="5">
        <f>E34*G33</f>
        <v>0.6</v>
      </c>
      <c r="E35" s="224"/>
      <c r="F35" s="344"/>
      <c r="J35" s="5" t="s">
        <v>616</v>
      </c>
    </row>
    <row r="36" spans="1:10" s="45" customFormat="1">
      <c r="A36" s="14" t="s">
        <v>849</v>
      </c>
      <c r="B36" s="14"/>
      <c r="C36" s="5"/>
      <c r="E36" s="338">
        <f>GlobalFactors.csv!F69</f>
        <v>0.2</v>
      </c>
      <c r="J36" s="179"/>
    </row>
    <row r="37" spans="1:10" s="45" customFormat="1">
      <c r="A37" s="14" t="s">
        <v>1098</v>
      </c>
      <c r="B37" s="14"/>
      <c r="C37" s="5"/>
      <c r="D37" s="108">
        <f>(F23-D24)</f>
        <v>5.0730000000000004</v>
      </c>
      <c r="E37" s="178"/>
      <c r="F37" s="338"/>
      <c r="J37" s="179"/>
    </row>
    <row r="38" spans="1:10" s="45" customFormat="1">
      <c r="A38" s="14" t="s">
        <v>597</v>
      </c>
      <c r="B38" s="19" t="s">
        <v>585</v>
      </c>
      <c r="C38" s="5"/>
      <c r="D38" s="300">
        <f>D37*E36</f>
        <v>1.0146000000000002</v>
      </c>
      <c r="E38" s="235"/>
      <c r="F38" s="338"/>
      <c r="J38" s="179"/>
    </row>
    <row r="39" spans="1:10" s="87" customFormat="1">
      <c r="A39" s="14" t="s">
        <v>589</v>
      </c>
      <c r="B39" s="87" t="s">
        <v>28</v>
      </c>
      <c r="C39" s="180">
        <f>D38*G39</f>
        <v>8.9792100000000019</v>
      </c>
      <c r="D39" s="176"/>
      <c r="E39" s="177"/>
      <c r="F39" s="345"/>
      <c r="G39" s="87">
        <f>GlobalFactors.csv!F9</f>
        <v>8.85</v>
      </c>
      <c r="H39" s="87" t="s">
        <v>596</v>
      </c>
      <c r="J39" s="176"/>
    </row>
    <row r="40" spans="1:10">
      <c r="A40" t="s">
        <v>975</v>
      </c>
      <c r="B40" t="s">
        <v>600</v>
      </c>
      <c r="C40" s="174">
        <f>F40*G40</f>
        <v>3.42</v>
      </c>
      <c r="E40">
        <f>GlobalFactors.csv!F56</f>
        <v>1</v>
      </c>
      <c r="F40" s="346">
        <f>Parameters!Q27/1000</f>
        <v>1.9</v>
      </c>
      <c r="G40">
        <f>GlobalFactors.csv!F13</f>
        <v>1.8</v>
      </c>
      <c r="H40" t="s">
        <v>609</v>
      </c>
    </row>
    <row r="41" spans="1:10">
      <c r="A41" s="14" t="s">
        <v>1048</v>
      </c>
      <c r="B41" t="s">
        <v>600</v>
      </c>
      <c r="C41" s="174">
        <f>F41*E41*G41</f>
        <v>3.1679999999999997</v>
      </c>
      <c r="E41">
        <f>GlobalFactors.csv!F54</f>
        <v>1</v>
      </c>
      <c r="F41" s="346">
        <f>Parameters!P27/1000</f>
        <v>3.3</v>
      </c>
      <c r="G41">
        <f>GlobalFactors.csv!F14</f>
        <v>0.96</v>
      </c>
    </row>
    <row r="42" spans="1:10" s="348" customFormat="1">
      <c r="A42" s="347" t="s">
        <v>1121</v>
      </c>
      <c r="C42" s="349">
        <f>C32+C16+C12</f>
        <v>114.61633356230098</v>
      </c>
      <c r="F42" s="350"/>
    </row>
    <row r="43" spans="1:10" s="195" customFormat="1">
      <c r="A43" s="170" t="s">
        <v>1122</v>
      </c>
      <c r="C43" s="181" t="e">
        <f>C46+C47+C48+C49</f>
        <v>#REF!</v>
      </c>
    </row>
    <row r="44" spans="1:10" s="45" customFormat="1">
      <c r="A44" s="14" t="s">
        <v>45</v>
      </c>
      <c r="B44" s="14" t="s">
        <v>598</v>
      </c>
      <c r="C44" s="5"/>
      <c r="D44" s="173">
        <f>F23*(1-E24)</f>
        <v>5.0730000000000004</v>
      </c>
      <c r="E44" s="260"/>
      <c r="H44" s="45" t="s">
        <v>700</v>
      </c>
      <c r="J44" s="179" t="s">
        <v>594</v>
      </c>
    </row>
    <row r="45" spans="1:10">
      <c r="A45" s="14" t="s">
        <v>610</v>
      </c>
      <c r="B45" t="s">
        <v>22</v>
      </c>
      <c r="E45" s="4">
        <f>GlobalFactors.csv!F70</f>
        <v>3.4000000000000002E-2</v>
      </c>
      <c r="H45" t="s">
        <v>524</v>
      </c>
      <c r="J45" s="7" t="s">
        <v>699</v>
      </c>
    </row>
    <row r="46" spans="1:10">
      <c r="A46" s="14" t="s">
        <v>698</v>
      </c>
      <c r="B46" t="s">
        <v>28</v>
      </c>
      <c r="C46" s="267">
        <f>D46*Parameters!C16*Parameters!C5</f>
        <v>71.826432857142862</v>
      </c>
      <c r="D46" s="85">
        <f>D44*E45</f>
        <v>0.17248200000000002</v>
      </c>
    </row>
    <row r="47" spans="1:10">
      <c r="A47" s="14" t="s">
        <v>1099</v>
      </c>
      <c r="B47" t="s">
        <v>1085</v>
      </c>
      <c r="C47" s="267" t="e">
        <f>D47*GlobalFactors.csv!F37*Parameters!C5*Parameters!C16</f>
        <v>#REF!</v>
      </c>
      <c r="D47" s="85" t="e">
        <f>D44*E47</f>
        <v>#REF!</v>
      </c>
      <c r="E47" t="e">
        <f>GlobalFactors.csv!#REF!</f>
        <v>#REF!</v>
      </c>
    </row>
    <row r="48" spans="1:10">
      <c r="A48" s="14" t="s">
        <v>1100</v>
      </c>
      <c r="B48" t="s">
        <v>1085</v>
      </c>
      <c r="C48" s="85">
        <f>D48*Parameters!C16*Parameters!C5*GlobalFactors.csv!F37</f>
        <v>0.33800674285714288</v>
      </c>
      <c r="D48" s="85">
        <f>D44*E48</f>
        <v>8.1168000000000004E-2</v>
      </c>
      <c r="E48">
        <f>GlobalFactors.csv!F72</f>
        <v>1.6E-2</v>
      </c>
      <c r="J48" t="s">
        <v>819</v>
      </c>
    </row>
    <row r="49" spans="1:11">
      <c r="A49" s="14" t="s">
        <v>1101</v>
      </c>
      <c r="C49" s="85" t="e">
        <f>C47+C48</f>
        <v>#REF!</v>
      </c>
    </row>
    <row r="50" spans="1:11" s="44" customFormat="1">
      <c r="A50" s="170" t="s">
        <v>570</v>
      </c>
      <c r="B50" s="170"/>
      <c r="C50" s="181" t="e">
        <f>C60+C59+C61+C62</f>
        <v>#REF!</v>
      </c>
      <c r="D50" s="171"/>
      <c r="E50" s="169"/>
      <c r="J50" s="171"/>
    </row>
    <row r="51" spans="1:11">
      <c r="A51" s="14" t="s">
        <v>601</v>
      </c>
      <c r="B51" t="s">
        <v>602</v>
      </c>
      <c r="C51" s="85"/>
      <c r="D51">
        <f>1000*(1-E51)</f>
        <v>400</v>
      </c>
      <c r="E51" s="4">
        <f>GlobalFactors.csv!F66</f>
        <v>0.6</v>
      </c>
      <c r="H51" t="s">
        <v>1064</v>
      </c>
      <c r="I51" t="s">
        <v>1065</v>
      </c>
      <c r="J51" s="7"/>
    </row>
    <row r="52" spans="1:11" s="6" customFormat="1" hidden="1">
      <c r="A52" s="45" t="s">
        <v>828</v>
      </c>
      <c r="B52" s="6" t="s">
        <v>825</v>
      </c>
      <c r="G52" s="259">
        <f>GlobalFactors.csv!F11</f>
        <v>0.03</v>
      </c>
      <c r="H52" s="6" t="s">
        <v>826</v>
      </c>
      <c r="I52" s="6" t="s">
        <v>830</v>
      </c>
      <c r="J52" s="6" t="s">
        <v>827</v>
      </c>
    </row>
    <row r="53" spans="1:11" s="6" customFormat="1" hidden="1">
      <c r="A53" s="45" t="s">
        <v>829</v>
      </c>
      <c r="B53" s="6" t="s">
        <v>12</v>
      </c>
      <c r="E53" s="224">
        <f>GlobalFactors.csv!F68</f>
        <v>20</v>
      </c>
      <c r="G53" s="10"/>
    </row>
    <row r="54" spans="1:11" s="6" customFormat="1" hidden="1">
      <c r="A54" s="45" t="s">
        <v>831</v>
      </c>
      <c r="B54" s="6" t="s">
        <v>832</v>
      </c>
      <c r="D54" s="6">
        <f>E53*G52</f>
        <v>0.6</v>
      </c>
      <c r="E54" s="224"/>
      <c r="G54" s="10"/>
    </row>
    <row r="55" spans="1:11" s="283" customFormat="1" hidden="1">
      <c r="A55" s="283" t="s">
        <v>677</v>
      </c>
      <c r="B55" s="283" t="s">
        <v>28</v>
      </c>
      <c r="C55" s="284">
        <f>E53*G52*(GlobalFactors.csv!F6+GlobalFactors.csv!F7)</f>
        <v>1.902296605464</v>
      </c>
      <c r="H55" s="283" t="s">
        <v>43</v>
      </c>
      <c r="I55" s="283" t="s">
        <v>678</v>
      </c>
    </row>
    <row r="56" spans="1:11" s="45" customFormat="1">
      <c r="A56" s="14" t="s">
        <v>849</v>
      </c>
      <c r="B56" s="14"/>
      <c r="C56" s="5"/>
      <c r="E56" s="178"/>
      <c r="F56" s="45">
        <f>GlobalFactors.csv!F69</f>
        <v>0.2</v>
      </c>
      <c r="J56" s="179"/>
    </row>
    <row r="57" spans="1:11" s="45" customFormat="1">
      <c r="A57" s="14" t="s">
        <v>1098</v>
      </c>
      <c r="B57" s="14"/>
      <c r="C57" s="5"/>
      <c r="D57" s="108" t="e">
        <f>D44-D46-D47-D48</f>
        <v>#REF!</v>
      </c>
      <c r="E57" s="178"/>
      <c r="J57" s="179"/>
    </row>
    <row r="58" spans="1:11" s="45" customFormat="1">
      <c r="A58" s="14" t="s">
        <v>597</v>
      </c>
      <c r="B58" s="19" t="s">
        <v>585</v>
      </c>
      <c r="C58" s="5"/>
      <c r="D58" s="173" t="e">
        <f>D57*F56</f>
        <v>#REF!</v>
      </c>
      <c r="E58" s="235"/>
      <c r="J58" s="179"/>
    </row>
    <row r="59" spans="1:11" s="87" customFormat="1">
      <c r="A59" s="14" t="s">
        <v>589</v>
      </c>
      <c r="B59" s="87" t="s">
        <v>28</v>
      </c>
      <c r="C59" s="180" t="e">
        <f>D58*G59</f>
        <v>#REF!</v>
      </c>
      <c r="D59" s="176"/>
      <c r="E59" s="177"/>
      <c r="G59" s="87">
        <f>GlobalFactors.csv!F9</f>
        <v>8.85</v>
      </c>
      <c r="H59" s="87" t="s">
        <v>596</v>
      </c>
      <c r="J59" s="176"/>
    </row>
    <row r="60" spans="1:11" s="87" customFormat="1">
      <c r="A60" s="14" t="s">
        <v>599</v>
      </c>
      <c r="B60" s="19" t="s">
        <v>28</v>
      </c>
      <c r="C60" s="180" t="e">
        <f>D58*G60</f>
        <v>#REF!</v>
      </c>
      <c r="D60" s="176"/>
      <c r="E60" s="177"/>
      <c r="G60" s="87">
        <f>'Land application'!F30</f>
        <v>-5.4</v>
      </c>
      <c r="H60" s="87" t="s">
        <v>595</v>
      </c>
      <c r="J60" s="176"/>
    </row>
    <row r="61" spans="1:11">
      <c r="A61" t="s">
        <v>975</v>
      </c>
      <c r="B61" t="s">
        <v>600</v>
      </c>
      <c r="C61" s="174">
        <f>C40</f>
        <v>3.42</v>
      </c>
      <c r="F61" t="e">
        <f>Parameters!R27+Parameters!Q28</f>
        <v>#VALUE!</v>
      </c>
      <c r="G61">
        <f>GlobalFactors.csv!F13</f>
        <v>1.8</v>
      </c>
      <c r="H61" t="s">
        <v>609</v>
      </c>
    </row>
    <row r="62" spans="1:11">
      <c r="A62" s="14" t="s">
        <v>618</v>
      </c>
      <c r="B62" t="s">
        <v>600</v>
      </c>
      <c r="C62" s="174">
        <f>C41</f>
        <v>3.1679999999999997</v>
      </c>
    </row>
    <row r="63" spans="1:11" s="13" customFormat="1">
      <c r="A63" s="13" t="s">
        <v>569</v>
      </c>
      <c r="C63" s="39">
        <f>C68</f>
        <v>-22.443891812500119</v>
      </c>
    </row>
    <row r="64" spans="1:11" s="6" customFormat="1">
      <c r="A64" s="14" t="s">
        <v>584</v>
      </c>
      <c r="B64" s="14" t="s">
        <v>585</v>
      </c>
      <c r="D64" s="109">
        <f>F17*(1-E18)</f>
        <v>61.210614034091243</v>
      </c>
      <c r="J64" s="6" t="s">
        <v>617</v>
      </c>
      <c r="K64" s="107"/>
    </row>
    <row r="65" spans="1:11" s="6" customFormat="1">
      <c r="A65" s="14" t="s">
        <v>586</v>
      </c>
      <c r="B65" s="14" t="s">
        <v>587</v>
      </c>
      <c r="D65" s="109">
        <f>D64*F65</f>
        <v>6.1210614034091249</v>
      </c>
      <c r="E65" s="107"/>
      <c r="F65" s="6">
        <v>0.1</v>
      </c>
      <c r="J65" s="6" t="s">
        <v>616</v>
      </c>
      <c r="K65" s="107"/>
    </row>
    <row r="66" spans="1:11" s="6" customFormat="1" hidden="1">
      <c r="A66" s="14" t="s">
        <v>752</v>
      </c>
      <c r="B66" s="14" t="s">
        <v>435</v>
      </c>
      <c r="C66" s="85"/>
      <c r="D66" s="109">
        <f>F17-D18</f>
        <v>61.210614034091236</v>
      </c>
      <c r="E66" s="107"/>
      <c r="F66" s="107"/>
      <c r="J66" s="6" t="s">
        <v>974</v>
      </c>
      <c r="K66" s="107"/>
    </row>
    <row r="67" spans="1:11" s="6" customFormat="1">
      <c r="A67" s="14" t="s">
        <v>607</v>
      </c>
      <c r="B67" s="14" t="s">
        <v>913</v>
      </c>
      <c r="C67" s="85"/>
      <c r="D67" s="109">
        <f>D66*F67</f>
        <v>6.121061403409124</v>
      </c>
      <c r="E67" s="107"/>
      <c r="F67" s="261">
        <f>GlobalFactors.csv!F73</f>
        <v>0.1</v>
      </c>
      <c r="K67" s="107"/>
    </row>
    <row r="68" spans="1:11">
      <c r="A68" s="14" t="s">
        <v>607</v>
      </c>
      <c r="B68" s="14" t="s">
        <v>588</v>
      </c>
      <c r="C68" s="85">
        <f>D67*-Parameters!C17</f>
        <v>-22.443891812500119</v>
      </c>
      <c r="D68" s="85"/>
      <c r="I68" s="167"/>
      <c r="J68" s="7" t="s">
        <v>814</v>
      </c>
    </row>
    <row r="69" spans="1:11" s="44" customFormat="1">
      <c r="A69" s="170" t="s">
        <v>1123</v>
      </c>
      <c r="C69" s="181" t="e">
        <f>C63+C50+C43</f>
        <v>#REF!</v>
      </c>
    </row>
    <row r="70" spans="1:11" s="348" customFormat="1">
      <c r="A70" s="347" t="s">
        <v>1124</v>
      </c>
      <c r="C70" s="351" t="e">
        <f>C69+C12+C16</f>
        <v>#REF!</v>
      </c>
    </row>
    <row r="71" spans="1:11" s="44" customFormat="1">
      <c r="A71" s="170" t="s">
        <v>571</v>
      </c>
      <c r="B71" s="44" t="s">
        <v>28</v>
      </c>
      <c r="C71" s="44">
        <f>C74</f>
        <v>388</v>
      </c>
    </row>
    <row r="72" spans="1:11">
      <c r="A72" s="14" t="s">
        <v>603</v>
      </c>
      <c r="F72">
        <v>1</v>
      </c>
    </row>
    <row r="73" spans="1:11">
      <c r="A73" s="14" t="s">
        <v>604</v>
      </c>
      <c r="B73" t="s">
        <v>605</v>
      </c>
      <c r="D73">
        <f>D51</f>
        <v>400</v>
      </c>
    </row>
    <row r="74" spans="1:11">
      <c r="A74" t="s">
        <v>571</v>
      </c>
      <c r="B74" t="s">
        <v>606</v>
      </c>
      <c r="C74">
        <f>F74*D73/1000</f>
        <v>388</v>
      </c>
      <c r="F74">
        <f>GlobalFactors.csv!F15</f>
        <v>970</v>
      </c>
      <c r="H74" t="s">
        <v>608</v>
      </c>
      <c r="J74" s="7" t="s">
        <v>611</v>
      </c>
    </row>
    <row r="75" spans="1:11" s="348" customFormat="1">
      <c r="A75" s="348" t="s">
        <v>976</v>
      </c>
      <c r="C75" s="351">
        <f>C71+C16+C12</f>
        <v>487.04912356230096</v>
      </c>
    </row>
    <row r="76" spans="1:11">
      <c r="C76" s="183"/>
    </row>
    <row r="77" spans="1:11" s="58" customFormat="1">
      <c r="A77" s="58" t="s">
        <v>1125</v>
      </c>
      <c r="C77" s="355">
        <f>0.21*C75+0.18*C42+0.61*C31</f>
        <v>183.33122136230097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C1" workbookViewId="0">
      <selection activeCell="A5" sqref="A5:XFD8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2"/>
      <c r="B1" s="42" t="s">
        <v>14</v>
      </c>
      <c r="C1" s="42" t="s">
        <v>24</v>
      </c>
      <c r="D1" s="42" t="s">
        <v>110</v>
      </c>
      <c r="E1" s="42" t="s">
        <v>111</v>
      </c>
      <c r="F1" s="42" t="s">
        <v>112</v>
      </c>
      <c r="G1" s="42" t="s">
        <v>2</v>
      </c>
      <c r="H1" s="42" t="s">
        <v>5</v>
      </c>
    </row>
    <row r="2" spans="1:10">
      <c r="A2" s="13" t="s">
        <v>0</v>
      </c>
      <c r="B2" s="12" t="s">
        <v>28</v>
      </c>
      <c r="C2" s="82">
        <f>F3*E4</f>
        <v>5.35</v>
      </c>
      <c r="D2" s="11"/>
      <c r="E2" s="11"/>
      <c r="F2" s="12"/>
      <c r="G2" s="12"/>
      <c r="H2" s="12"/>
    </row>
    <row r="3" spans="1:10">
      <c r="A3" t="s">
        <v>3</v>
      </c>
      <c r="B3" t="s">
        <v>4</v>
      </c>
      <c r="C3" s="81"/>
      <c r="E3" s="8" t="s">
        <v>19</v>
      </c>
      <c r="F3" s="10">
        <v>0.107</v>
      </c>
      <c r="G3" s="1" t="s">
        <v>7</v>
      </c>
      <c r="H3" s="6" t="s">
        <v>6</v>
      </c>
    </row>
    <row r="4" spans="1:10">
      <c r="A4" t="s">
        <v>377</v>
      </c>
      <c r="B4" t="s">
        <v>12</v>
      </c>
      <c r="C4" s="81"/>
      <c r="E4" s="8">
        <v>50</v>
      </c>
    </row>
    <row r="5" spans="1:10" s="44" customFormat="1">
      <c r="A5" s="44" t="s">
        <v>861</v>
      </c>
      <c r="B5" s="44" t="s">
        <v>860</v>
      </c>
      <c r="C5" s="271" t="e">
        <f>D8*(GlobalFactors.csv!#REF!+GlobalFactors.csv!#REF!)</f>
        <v>#REF!</v>
      </c>
    </row>
    <row r="6" spans="1:10">
      <c r="A6" t="s">
        <v>856</v>
      </c>
      <c r="B6" t="s">
        <v>757</v>
      </c>
      <c r="E6">
        <v>10.6</v>
      </c>
    </row>
    <row r="7" spans="1:10">
      <c r="A7" t="s">
        <v>859</v>
      </c>
      <c r="B7" t="s">
        <v>857</v>
      </c>
      <c r="E7">
        <v>0.25</v>
      </c>
      <c r="J7" t="s">
        <v>871</v>
      </c>
    </row>
    <row r="8" spans="1:10">
      <c r="A8" t="s">
        <v>858</v>
      </c>
      <c r="B8" t="s">
        <v>449</v>
      </c>
      <c r="D8">
        <f>E6*E7</f>
        <v>2.65</v>
      </c>
      <c r="J8" t="s">
        <v>888</v>
      </c>
    </row>
    <row r="9" spans="1:10" s="44" customFormat="1">
      <c r="A9" s="44" t="s">
        <v>378</v>
      </c>
      <c r="C9" s="83">
        <f>F16*E15*(1-C14)</f>
        <v>-563.3479338842975</v>
      </c>
    </row>
    <row r="10" spans="1:10" s="44" customFormat="1">
      <c r="A10" s="44" t="s">
        <v>880</v>
      </c>
      <c r="C10" s="83"/>
    </row>
    <row r="11" spans="1:10" s="87" customFormat="1">
      <c r="A11" s="45" t="s">
        <v>55</v>
      </c>
      <c r="C11" s="232"/>
    </row>
    <row r="12" spans="1:10" s="87" customFormat="1">
      <c r="A12" s="45" t="s">
        <v>389</v>
      </c>
      <c r="C12" s="232"/>
    </row>
    <row r="13" spans="1:10" s="44" customFormat="1">
      <c r="A13" s="44" t="s">
        <v>887</v>
      </c>
      <c r="C13" s="83"/>
    </row>
    <row r="14" spans="1:10" s="87" customFormat="1">
      <c r="A14" s="45" t="s">
        <v>882</v>
      </c>
      <c r="B14" s="87" t="s">
        <v>22</v>
      </c>
      <c r="C14" s="281">
        <f>GlobalFactors.csv!F75</f>
        <v>0.1</v>
      </c>
    </row>
    <row r="15" spans="1:10">
      <c r="A15" t="s">
        <v>379</v>
      </c>
      <c r="B15" t="s">
        <v>883</v>
      </c>
      <c r="C15" s="81"/>
      <c r="E15" s="105">
        <f>D32</f>
        <v>1.0573347107438016</v>
      </c>
    </row>
    <row r="16" spans="1:10">
      <c r="A16" t="s">
        <v>381</v>
      </c>
      <c r="B16" t="s">
        <v>28</v>
      </c>
      <c r="C16" s="81"/>
      <c r="F16" s="4">
        <v>-592</v>
      </c>
    </row>
    <row r="17" spans="1:14" s="43" customFormat="1">
      <c r="A17" s="44" t="s">
        <v>382</v>
      </c>
      <c r="B17" s="43" t="s">
        <v>28</v>
      </c>
      <c r="C17" s="84">
        <f>C2+C9</f>
        <v>-557.99793388429748</v>
      </c>
    </row>
    <row r="27" spans="1:14" ht="17">
      <c r="A27" s="67" t="s">
        <v>365</v>
      </c>
      <c r="B27" s="1"/>
      <c r="C27" s="1"/>
      <c r="D27" s="1"/>
    </row>
    <row r="28" spans="1:14" ht="45">
      <c r="B28" s="1" t="s">
        <v>334</v>
      </c>
      <c r="C28" s="1" t="s">
        <v>335</v>
      </c>
      <c r="D28" s="1" t="s">
        <v>380</v>
      </c>
      <c r="E28" s="1" t="s">
        <v>2</v>
      </c>
      <c r="F28" s="1" t="s">
        <v>28</v>
      </c>
      <c r="J28" s="50"/>
      <c r="K28" s="72"/>
      <c r="L28" s="50"/>
      <c r="M28" s="50"/>
      <c r="N28" s="73"/>
    </row>
    <row r="29" spans="1:14">
      <c r="A29" t="s">
        <v>332</v>
      </c>
      <c r="B29">
        <v>88</v>
      </c>
      <c r="C29">
        <v>88</v>
      </c>
      <c r="D29">
        <f>B29*C29/(B$29*C$29)</f>
        <v>1</v>
      </c>
      <c r="E29" t="s">
        <v>373</v>
      </c>
      <c r="J29" s="50"/>
      <c r="K29" s="72"/>
      <c r="L29" s="50"/>
      <c r="M29" s="50"/>
      <c r="N29" s="50"/>
    </row>
    <row r="30" spans="1:14">
      <c r="A30" t="s">
        <v>161</v>
      </c>
      <c r="B30">
        <v>22</v>
      </c>
      <c r="C30">
        <v>68.900000000000006</v>
      </c>
      <c r="D30" s="68">
        <f>B30*C30/(B$29*C$29)</f>
        <v>0.19573863636363639</v>
      </c>
      <c r="E30" t="s">
        <v>374</v>
      </c>
      <c r="F30" s="81">
        <v>-110.52727272727275</v>
      </c>
      <c r="J30" s="50"/>
      <c r="K30" s="72"/>
      <c r="L30" s="50"/>
      <c r="M30" s="50"/>
      <c r="N30" s="50"/>
    </row>
    <row r="31" spans="1:14">
      <c r="A31" t="s">
        <v>50</v>
      </c>
      <c r="B31">
        <v>7</v>
      </c>
      <c r="C31">
        <v>81</v>
      </c>
      <c r="D31" s="68">
        <f>B31*C31/(B$29*C$29)</f>
        <v>7.3217975206611566E-2</v>
      </c>
      <c r="E31" t="s">
        <v>376</v>
      </c>
      <c r="F31" s="81">
        <v>-37.995041322314044</v>
      </c>
      <c r="J31" s="50"/>
      <c r="K31" s="50"/>
      <c r="L31" s="50"/>
      <c r="M31" s="50"/>
      <c r="N31" s="50"/>
    </row>
    <row r="32" spans="1:14">
      <c r="A32" t="s">
        <v>333</v>
      </c>
      <c r="B32">
        <v>92</v>
      </c>
      <c r="C32">
        <v>89</v>
      </c>
      <c r="D32" s="68">
        <f>B32*C32/(B$29*C$29)</f>
        <v>1.0573347107438016</v>
      </c>
      <c r="E32" t="s">
        <v>375</v>
      </c>
      <c r="F32" s="81">
        <v>-620.59214876033047</v>
      </c>
      <c r="J32" s="50"/>
      <c r="K32" s="72"/>
      <c r="L32" s="50"/>
      <c r="M32" s="50"/>
      <c r="N32" s="73"/>
    </row>
    <row r="33" spans="1:14">
      <c r="J33" s="50"/>
      <c r="K33" s="72"/>
      <c r="L33" s="50"/>
      <c r="M33" s="50"/>
      <c r="N33" s="50"/>
    </row>
    <row r="34" spans="1:14">
      <c r="J34" s="50"/>
      <c r="K34" s="50"/>
      <c r="L34" s="50"/>
      <c r="M34" s="50"/>
      <c r="N34" s="50"/>
    </row>
    <row r="35" spans="1:14" ht="16" thickBot="1">
      <c r="A35" s="147" t="s">
        <v>499</v>
      </c>
      <c r="B35" s="65"/>
      <c r="C35" s="65"/>
      <c r="D35" s="65"/>
      <c r="J35" s="50"/>
      <c r="K35" s="50"/>
      <c r="L35" s="50"/>
      <c r="M35" s="50"/>
      <c r="N35" s="50"/>
    </row>
    <row r="36" spans="1:14" ht="16" thickBot="1">
      <c r="A36" s="147" t="s">
        <v>500</v>
      </c>
      <c r="J36" s="50"/>
      <c r="K36" s="50"/>
      <c r="L36" s="50"/>
      <c r="M36" s="50"/>
      <c r="N36" s="50"/>
    </row>
    <row r="37" spans="1:14" ht="16" thickBot="1">
      <c r="A37" s="147" t="s">
        <v>501</v>
      </c>
      <c r="J37" s="50"/>
      <c r="K37" s="50"/>
      <c r="L37" s="50"/>
      <c r="M37" s="50"/>
      <c r="N37" s="50"/>
    </row>
    <row r="38" spans="1:14" ht="16" thickBot="1">
      <c r="A38" s="147" t="s">
        <v>502</v>
      </c>
    </row>
    <row r="39" spans="1:14" ht="16" thickBot="1">
      <c r="A39" s="147" t="s">
        <v>503</v>
      </c>
    </row>
    <row r="40" spans="1:14" ht="16" thickBot="1">
      <c r="A40" s="147" t="s">
        <v>645</v>
      </c>
    </row>
    <row r="41" spans="1:14" ht="16" thickBot="1">
      <c r="A41" s="147" t="s">
        <v>505</v>
      </c>
    </row>
    <row r="42" spans="1:14" ht="16" thickBot="1">
      <c r="A42" s="147" t="s">
        <v>506</v>
      </c>
    </row>
    <row r="43" spans="1:14" ht="16" thickBot="1">
      <c r="A43" s="147" t="s">
        <v>507</v>
      </c>
    </row>
    <row r="44" spans="1:14" ht="16" thickBot="1">
      <c r="A44" s="148" t="s">
        <v>508</v>
      </c>
    </row>
    <row r="45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2" customFormat="1" ht="60">
      <c r="B1" s="42" t="s">
        <v>14</v>
      </c>
      <c r="C1" s="202" t="s">
        <v>24</v>
      </c>
      <c r="D1" s="202" t="s">
        <v>110</v>
      </c>
      <c r="E1" s="42" t="s">
        <v>642</v>
      </c>
      <c r="F1" s="42" t="s">
        <v>636</v>
      </c>
      <c r="G1" s="42" t="s">
        <v>635</v>
      </c>
      <c r="H1" s="42" t="s">
        <v>2</v>
      </c>
      <c r="I1" s="42" t="s">
        <v>619</v>
      </c>
      <c r="J1" s="42" t="s">
        <v>5</v>
      </c>
      <c r="S1" s="26">
        <v>3.7854100000000002</v>
      </c>
      <c r="T1" s="110" t="s">
        <v>433</v>
      </c>
    </row>
    <row r="2" spans="1:20" s="12" customFormat="1">
      <c r="A2" s="13" t="s">
        <v>709</v>
      </c>
      <c r="C2" s="203"/>
      <c r="D2" s="203"/>
      <c r="E2" s="11"/>
      <c r="F2" s="11"/>
    </row>
    <row r="3" spans="1:20">
      <c r="B3" t="s">
        <v>727</v>
      </c>
      <c r="H3">
        <f>2.6/16</f>
        <v>0.16250000000000001</v>
      </c>
      <c r="J3" t="s">
        <v>730</v>
      </c>
    </row>
    <row r="4" spans="1:20" ht="45">
      <c r="A4" t="s">
        <v>714</v>
      </c>
      <c r="B4" t="s">
        <v>726</v>
      </c>
      <c r="G4">
        <v>-1225</v>
      </c>
      <c r="H4" s="248" t="s">
        <v>721</v>
      </c>
      <c r="I4" t="s">
        <v>722</v>
      </c>
      <c r="J4" s="1" t="s">
        <v>715</v>
      </c>
    </row>
    <row r="5" spans="1:20">
      <c r="A5" t="s">
        <v>710</v>
      </c>
      <c r="B5" t="s">
        <v>717</v>
      </c>
      <c r="G5">
        <v>6.8</v>
      </c>
      <c r="H5" s="248" t="s">
        <v>718</v>
      </c>
      <c r="I5">
        <v>6.8</v>
      </c>
      <c r="J5" t="s">
        <v>716</v>
      </c>
    </row>
    <row r="6" spans="1:20">
      <c r="A6" t="s">
        <v>711</v>
      </c>
      <c r="B6" t="s">
        <v>717</v>
      </c>
      <c r="G6">
        <v>30</v>
      </c>
      <c r="H6" s="248" t="s">
        <v>719</v>
      </c>
      <c r="I6" t="s">
        <v>713</v>
      </c>
      <c r="J6" t="s">
        <v>712</v>
      </c>
    </row>
    <row r="7" spans="1:20">
      <c r="A7" t="s">
        <v>725</v>
      </c>
      <c r="B7" t="s">
        <v>717</v>
      </c>
      <c r="G7">
        <f>-1081*1.1</f>
        <v>-1189.1000000000001</v>
      </c>
      <c r="H7" s="248" t="s">
        <v>720</v>
      </c>
      <c r="I7" s="247" t="s">
        <v>724</v>
      </c>
      <c r="J7" t="s">
        <v>723</v>
      </c>
    </row>
    <row r="8" spans="1:20">
      <c r="A8" t="s">
        <v>729</v>
      </c>
      <c r="B8" t="s">
        <v>728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4"/>
      <c r="C1" s="54" t="s">
        <v>101</v>
      </c>
      <c r="D1" s="54" t="s">
        <v>102</v>
      </c>
      <c r="E1" s="54" t="s">
        <v>36</v>
      </c>
      <c r="F1" s="54" t="s">
        <v>105</v>
      </c>
      <c r="G1" s="55" t="s">
        <v>103</v>
      </c>
      <c r="H1" s="55" t="s">
        <v>104</v>
      </c>
    </row>
    <row r="2" spans="2:8">
      <c r="B2" s="54" t="s">
        <v>11</v>
      </c>
      <c r="C2" s="56">
        <v>770</v>
      </c>
      <c r="D2" s="55"/>
      <c r="E2" s="69">
        <v>6</v>
      </c>
      <c r="F2" s="96">
        <v>-177</v>
      </c>
      <c r="G2" s="55" t="s">
        <v>148</v>
      </c>
      <c r="H2" s="55" t="s">
        <v>147</v>
      </c>
    </row>
    <row r="3" spans="2:8">
      <c r="B3" s="54" t="s">
        <v>48</v>
      </c>
      <c r="C3" s="55"/>
      <c r="D3" s="56">
        <v>-37.995041322314044</v>
      </c>
      <c r="E3" s="56">
        <v>7</v>
      </c>
      <c r="F3" s="95">
        <v>7</v>
      </c>
      <c r="G3" s="55" t="s">
        <v>106</v>
      </c>
      <c r="H3" s="55" t="s">
        <v>52</v>
      </c>
    </row>
    <row r="4" spans="2:8">
      <c r="B4" s="54" t="s">
        <v>99</v>
      </c>
      <c r="C4" s="55"/>
      <c r="D4" s="56">
        <v>-110.52727272727275</v>
      </c>
      <c r="E4" s="56">
        <v>8.25</v>
      </c>
      <c r="F4" s="97"/>
      <c r="G4" s="55" t="s">
        <v>52</v>
      </c>
      <c r="H4" s="55" t="s">
        <v>147</v>
      </c>
    </row>
    <row r="5" spans="2:8">
      <c r="B5" s="54" t="s">
        <v>100</v>
      </c>
      <c r="C5" s="56">
        <v>1924</v>
      </c>
      <c r="D5" s="56">
        <v>-620.59214876033047</v>
      </c>
      <c r="E5" s="55"/>
      <c r="F5" s="96">
        <v>-479</v>
      </c>
      <c r="G5" s="55" t="s">
        <v>52</v>
      </c>
      <c r="H5" s="55" t="s">
        <v>52</v>
      </c>
    </row>
    <row r="6" spans="2:8">
      <c r="B6" s="69"/>
      <c r="C6" s="56"/>
      <c r="D6" s="54"/>
      <c r="E6" s="54"/>
      <c r="F6" s="54"/>
      <c r="G6" s="54"/>
      <c r="H6" s="54"/>
    </row>
    <row r="7" spans="2:8">
      <c r="B7" s="69"/>
      <c r="C7" s="54"/>
      <c r="D7" s="54"/>
      <c r="E7" s="54"/>
      <c r="F7" s="54"/>
      <c r="G7" s="54"/>
      <c r="H7" s="54"/>
    </row>
    <row r="46" spans="1:13">
      <c r="A46" s="54"/>
      <c r="B46" s="69" t="s">
        <v>409</v>
      </c>
      <c r="C46" s="69" t="s">
        <v>408</v>
      </c>
      <c r="D46" s="69" t="s">
        <v>404</v>
      </c>
      <c r="E46" s="69" t="s">
        <v>406</v>
      </c>
      <c r="F46" s="69" t="s">
        <v>402</v>
      </c>
      <c r="G46" s="69" t="s">
        <v>403</v>
      </c>
      <c r="H46" s="54" t="s">
        <v>401</v>
      </c>
      <c r="I46" s="69" t="s">
        <v>405</v>
      </c>
      <c r="J46" s="69" t="s">
        <v>407</v>
      </c>
      <c r="K46" s="69" t="s">
        <v>411</v>
      </c>
      <c r="L46" s="69" t="s">
        <v>410</v>
      </c>
      <c r="M46" s="69" t="s">
        <v>412</v>
      </c>
    </row>
    <row r="47" spans="1:13">
      <c r="A47" s="54" t="s">
        <v>11</v>
      </c>
      <c r="B47" s="54"/>
      <c r="C47" s="54"/>
      <c r="D47" s="69">
        <f>F2-E2</f>
        <v>-183</v>
      </c>
      <c r="E47" s="54">
        <f>E2-F2</f>
        <v>183</v>
      </c>
      <c r="F47" s="56">
        <f>E2-C2</f>
        <v>-764</v>
      </c>
      <c r="G47" s="56">
        <f>C2-E2</f>
        <v>764</v>
      </c>
      <c r="H47" s="101">
        <f>F2-C2</f>
        <v>-947</v>
      </c>
      <c r="I47" s="101">
        <f>C2-F2</f>
        <v>947</v>
      </c>
      <c r="J47" s="54"/>
      <c r="K47" s="54"/>
      <c r="L47" s="54"/>
      <c r="M47" s="54"/>
    </row>
    <row r="48" spans="1:13">
      <c r="A48" s="54" t="s">
        <v>48</v>
      </c>
      <c r="B48" s="70">
        <f>E3-D3</f>
        <v>44.995041322314044</v>
      </c>
      <c r="C48" s="56">
        <f>D3-E3</f>
        <v>-44.995041322314044</v>
      </c>
      <c r="D48" s="101">
        <f>H86-G86</f>
        <v>0</v>
      </c>
      <c r="E48" s="101">
        <f>G86-H86</f>
        <v>0</v>
      </c>
      <c r="F48" s="56"/>
      <c r="G48" s="54"/>
      <c r="H48" s="101"/>
      <c r="I48" s="102"/>
      <c r="J48" s="70">
        <f>F3-D3</f>
        <v>44.995041322314044</v>
      </c>
      <c r="K48" s="56">
        <f>D3-F3</f>
        <v>-44.995041322314044</v>
      </c>
      <c r="L48" s="54"/>
      <c r="M48" s="54"/>
    </row>
    <row r="49" spans="1:13">
      <c r="A49" s="54" t="s">
        <v>99</v>
      </c>
      <c r="B49" s="56">
        <f>E4-D4</f>
        <v>118.77727272727275</v>
      </c>
      <c r="C49" s="56">
        <f>D4-E4</f>
        <v>-118.77727272727275</v>
      </c>
      <c r="D49" s="101"/>
      <c r="E49" s="54"/>
      <c r="F49" s="54"/>
      <c r="G49" s="54"/>
      <c r="H49" s="101"/>
      <c r="I49" s="69"/>
      <c r="J49" s="54"/>
      <c r="K49" s="54"/>
      <c r="L49" s="54"/>
      <c r="M49" s="54"/>
    </row>
    <row r="50" spans="1:13">
      <c r="A50" s="54" t="s">
        <v>100</v>
      </c>
      <c r="B50" s="54"/>
      <c r="C50" s="54"/>
      <c r="D50" s="69"/>
      <c r="E50" s="54"/>
      <c r="F50" s="54"/>
      <c r="G50" s="54"/>
      <c r="H50" s="101">
        <f>F5-C5</f>
        <v>-2403</v>
      </c>
      <c r="I50" s="101">
        <f>C5-F5</f>
        <v>2403</v>
      </c>
      <c r="J50" s="56">
        <f>F5-D5</f>
        <v>141.59214876033047</v>
      </c>
      <c r="K50" s="56">
        <f>D5-F5</f>
        <v>-141.59214876033047</v>
      </c>
      <c r="L50" s="56">
        <f>D5-C5</f>
        <v>-2544.5921487603305</v>
      </c>
      <c r="M50" s="56">
        <f>C5-D5</f>
        <v>2544.5921487603305</v>
      </c>
    </row>
    <row r="83" spans="2:8">
      <c r="B83" t="s">
        <v>400</v>
      </c>
    </row>
    <row r="84" spans="2:8">
      <c r="B84" s="54"/>
      <c r="C84" s="54" t="s">
        <v>101</v>
      </c>
      <c r="D84" s="54" t="s">
        <v>102</v>
      </c>
      <c r="E84" s="55" t="s">
        <v>103</v>
      </c>
      <c r="F84" s="55" t="s">
        <v>104</v>
      </c>
      <c r="G84" s="54" t="s">
        <v>36</v>
      </c>
      <c r="H84" s="54" t="s">
        <v>105</v>
      </c>
    </row>
    <row r="85" spans="2:8">
      <c r="B85" s="54" t="s">
        <v>11</v>
      </c>
      <c r="C85" s="56"/>
      <c r="D85" s="56"/>
      <c r="E85" s="56"/>
      <c r="F85" s="56"/>
      <c r="G85" s="56"/>
      <c r="H85" s="56"/>
    </row>
    <row r="86" spans="2:8">
      <c r="B86" s="54" t="s">
        <v>48</v>
      </c>
      <c r="C86" s="56"/>
      <c r="D86" s="56"/>
      <c r="E86" s="56"/>
      <c r="F86" s="56"/>
      <c r="G86" s="56"/>
      <c r="H86" s="56"/>
    </row>
    <row r="87" spans="2:8">
      <c r="B87" s="54" t="s">
        <v>99</v>
      </c>
      <c r="C87" s="56"/>
      <c r="D87" s="56"/>
      <c r="E87" s="56"/>
      <c r="F87" s="56"/>
      <c r="G87" s="56"/>
      <c r="H87" s="56"/>
    </row>
    <row r="88" spans="2:8">
      <c r="B88" s="54" t="s">
        <v>100</v>
      </c>
      <c r="C88" s="56"/>
      <c r="D88" s="56"/>
      <c r="E88" s="56"/>
      <c r="F88" s="56"/>
      <c r="G88" s="56"/>
      <c r="H88" s="56"/>
    </row>
    <row r="91" spans="2:8" ht="45">
      <c r="C91" s="1" t="s">
        <v>334</v>
      </c>
      <c r="D91" s="1" t="s">
        <v>335</v>
      </c>
      <c r="E91" s="1" t="s">
        <v>380</v>
      </c>
      <c r="F91" s="1" t="s">
        <v>2</v>
      </c>
    </row>
    <row r="92" spans="2:8">
      <c r="B92" t="s">
        <v>332</v>
      </c>
      <c r="C92">
        <v>88</v>
      </c>
      <c r="D92">
        <v>88</v>
      </c>
      <c r="E92">
        <v>1</v>
      </c>
      <c r="F92" t="s">
        <v>373</v>
      </c>
    </row>
    <row r="93" spans="2:8">
      <c r="B93" t="s">
        <v>161</v>
      </c>
      <c r="C93">
        <v>22</v>
      </c>
      <c r="D93">
        <v>68.900000000000006</v>
      </c>
      <c r="E93" s="68">
        <v>0.19573863636363639</v>
      </c>
      <c r="F93" t="s">
        <v>374</v>
      </c>
    </row>
    <row r="94" spans="2:8">
      <c r="B94" t="s">
        <v>50</v>
      </c>
      <c r="C94">
        <v>7</v>
      </c>
      <c r="D94">
        <v>81</v>
      </c>
      <c r="E94" s="68">
        <v>7.3217975206611566E-2</v>
      </c>
      <c r="F94" t="s">
        <v>376</v>
      </c>
    </row>
    <row r="95" spans="2:8">
      <c r="B95" t="s">
        <v>333</v>
      </c>
      <c r="C95">
        <v>92</v>
      </c>
      <c r="D95">
        <v>89</v>
      </c>
      <c r="E95" s="68">
        <v>1.0573347107438016</v>
      </c>
      <c r="F95" t="s">
        <v>375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N2O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2015-11-16T01:20:02Z</dcterms:modified>
</cp:coreProperties>
</file>