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020" yWindow="0" windowWidth="25600" windowHeight="15740" activeTab="1"/>
  </bookViews>
  <sheets>
    <sheet name="Parameters" sheetId="9" r:id="rId1"/>
    <sheet name="Global factors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9" l="1"/>
  <c r="F13" i="17"/>
  <c r="C17" i="17"/>
  <c r="E3" i="17"/>
  <c r="G5" i="17"/>
  <c r="G4" i="17"/>
  <c r="D20" i="17"/>
  <c r="F23" i="10"/>
  <c r="D36" i="10"/>
  <c r="F35" i="10"/>
  <c r="I32" i="10"/>
  <c r="E32" i="10"/>
  <c r="F17" i="10"/>
  <c r="D31" i="10"/>
  <c r="C30" i="10"/>
  <c r="C31" i="10"/>
  <c r="E18" i="10"/>
  <c r="D18" i="10"/>
  <c r="D30" i="10"/>
  <c r="I31" i="10"/>
  <c r="I24" i="10"/>
  <c r="E24" i="10"/>
  <c r="E19" i="10"/>
  <c r="I18" i="10"/>
  <c r="I13" i="10"/>
  <c r="E13" i="10"/>
  <c r="I4" i="19"/>
  <c r="I3" i="19"/>
  <c r="B39" i="19"/>
  <c r="B41" i="19"/>
  <c r="B45" i="19"/>
  <c r="B3" i="19"/>
  <c r="J3" i="19"/>
  <c r="A3" i="19"/>
  <c r="G43" i="19"/>
  <c r="E46" i="19"/>
  <c r="A41" i="19"/>
  <c r="B32" i="19"/>
  <c r="D32" i="19"/>
  <c r="E32" i="19"/>
  <c r="G32" i="19"/>
  <c r="B33" i="19"/>
  <c r="D33" i="19"/>
  <c r="G33" i="19"/>
  <c r="B34" i="19"/>
  <c r="D34" i="19"/>
  <c r="G34" i="19"/>
  <c r="B35" i="19"/>
  <c r="D35" i="19"/>
  <c r="G35" i="19"/>
  <c r="B36" i="19"/>
  <c r="D36" i="19"/>
  <c r="B37" i="19"/>
  <c r="D37" i="19"/>
  <c r="J37" i="19"/>
  <c r="A37" i="19"/>
  <c r="A36" i="19"/>
  <c r="A34" i="19"/>
  <c r="A35" i="19"/>
  <c r="A33" i="19"/>
  <c r="A32" i="19"/>
  <c r="B28" i="19"/>
  <c r="D28" i="19"/>
  <c r="G28" i="19"/>
  <c r="I28" i="19"/>
  <c r="B29" i="19"/>
  <c r="D29" i="19"/>
  <c r="G29" i="19"/>
  <c r="I29" i="19"/>
  <c r="B30" i="19"/>
  <c r="E35" i="15"/>
  <c r="D30" i="19"/>
  <c r="G30" i="19"/>
  <c r="I30" i="19"/>
  <c r="A29" i="19"/>
  <c r="A30" i="19"/>
  <c r="A28" i="19"/>
  <c r="B20" i="19"/>
  <c r="D20" i="19"/>
  <c r="G20" i="19"/>
  <c r="E20" i="19"/>
  <c r="J20" i="19"/>
  <c r="B21" i="19"/>
  <c r="D21" i="19"/>
  <c r="G21" i="19"/>
  <c r="J21" i="19"/>
  <c r="B22" i="19"/>
  <c r="D22" i="19"/>
  <c r="G22" i="19"/>
  <c r="J22" i="19"/>
  <c r="B23" i="19"/>
  <c r="F11" i="15"/>
  <c r="D13" i="15"/>
  <c r="D17" i="15"/>
  <c r="C17" i="15"/>
  <c r="D23" i="19"/>
  <c r="G23" i="19"/>
  <c r="B24" i="19"/>
  <c r="D24" i="19"/>
  <c r="G24" i="19"/>
  <c r="J24" i="19"/>
  <c r="B25" i="19"/>
  <c r="D25" i="19"/>
  <c r="G25" i="19"/>
  <c r="E25" i="19"/>
  <c r="J25" i="19"/>
  <c r="B26" i="19"/>
  <c r="D26" i="19"/>
  <c r="G26" i="19"/>
  <c r="E26" i="19"/>
  <c r="J26" i="19"/>
  <c r="B27" i="19"/>
  <c r="D27" i="19"/>
  <c r="G27" i="19"/>
  <c r="E27" i="19"/>
  <c r="A21" i="19"/>
  <c r="A22" i="19"/>
  <c r="A23" i="19"/>
  <c r="A24" i="19"/>
  <c r="A25" i="19"/>
  <c r="A26" i="19"/>
  <c r="A27" i="19"/>
  <c r="A20" i="19"/>
  <c r="J15" i="19"/>
  <c r="J18" i="19"/>
  <c r="J16" i="19"/>
  <c r="G16" i="19"/>
  <c r="B16" i="19"/>
  <c r="D16" i="19"/>
  <c r="E16" i="19"/>
  <c r="B18" i="19"/>
  <c r="D18" i="19"/>
  <c r="E18" i="19"/>
  <c r="A16" i="19"/>
  <c r="B15" i="19"/>
  <c r="E14" i="19"/>
  <c r="E13" i="19"/>
  <c r="B13" i="19"/>
  <c r="G13" i="19"/>
  <c r="J13" i="19"/>
  <c r="B14" i="19"/>
  <c r="D14" i="19"/>
  <c r="G14" i="19"/>
  <c r="J14" i="19"/>
  <c r="A14" i="19"/>
  <c r="A13" i="19"/>
  <c r="J12" i="19"/>
  <c r="G12" i="19"/>
  <c r="B12" i="19"/>
  <c r="A12" i="19"/>
  <c r="C8" i="18"/>
  <c r="H3" i="18"/>
  <c r="G7" i="18"/>
  <c r="F26" i="17"/>
  <c r="G65" i="9"/>
  <c r="J65" i="9"/>
  <c r="C3" i="9"/>
  <c r="G67" i="9"/>
  <c r="J67" i="9"/>
  <c r="C4" i="9"/>
  <c r="G66" i="9"/>
  <c r="J66" i="9"/>
  <c r="C2" i="9"/>
  <c r="J27" i="9"/>
  <c r="F25" i="17"/>
  <c r="D27" i="17"/>
  <c r="C24" i="17"/>
  <c r="B36" i="17"/>
  <c r="E36" i="17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E86" i="17"/>
  <c r="D16" i="17"/>
  <c r="C14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D19" i="17"/>
  <c r="G20" i="17"/>
  <c r="D23" i="17"/>
  <c r="C18" i="17"/>
  <c r="F8" i="9"/>
  <c r="D10" i="9"/>
  <c r="D11" i="9"/>
  <c r="D12" i="9"/>
  <c r="C13" i="9"/>
  <c r="C4" i="17"/>
  <c r="C5" i="17"/>
  <c r="C2" i="17"/>
  <c r="C29" i="17"/>
  <c r="B38" i="9"/>
  <c r="D38" i="9"/>
  <c r="N38" i="9"/>
  <c r="L38" i="9"/>
  <c r="M38" i="9"/>
  <c r="B35" i="9"/>
  <c r="N35" i="9"/>
  <c r="M35" i="9"/>
  <c r="L35" i="9"/>
  <c r="C35" i="9"/>
  <c r="C34" i="9"/>
  <c r="D34" i="10"/>
  <c r="D50" i="10"/>
  <c r="C51" i="10"/>
  <c r="F14" i="10"/>
  <c r="C14" i="10"/>
  <c r="C12" i="10"/>
  <c r="D20" i="10"/>
  <c r="C18" i="9"/>
  <c r="D21" i="10"/>
  <c r="C22" i="10"/>
  <c r="C16" i="9"/>
  <c r="D25" i="10"/>
  <c r="C26" i="10"/>
  <c r="C16" i="10"/>
  <c r="F31" i="10"/>
  <c r="C27" i="10"/>
  <c r="D38" i="10"/>
  <c r="C38" i="10"/>
  <c r="C35" i="10"/>
  <c r="C33" i="10"/>
  <c r="C39" i="10"/>
  <c r="D42" i="10"/>
  <c r="F27" i="1"/>
  <c r="G44" i="10"/>
  <c r="C44" i="10"/>
  <c r="G43" i="10"/>
  <c r="C43" i="10"/>
  <c r="G34" i="9"/>
  <c r="F32" i="15"/>
  <c r="D40" i="15"/>
  <c r="F9" i="1"/>
  <c r="D24" i="1"/>
  <c r="D25" i="1"/>
  <c r="D26" i="1"/>
  <c r="D27" i="1"/>
  <c r="C22" i="1"/>
  <c r="F17" i="1"/>
  <c r="F19" i="1"/>
  <c r="D20" i="1"/>
  <c r="C17" i="9"/>
  <c r="C20" i="1"/>
  <c r="D12" i="1"/>
  <c r="D15" i="1"/>
  <c r="C10" i="1"/>
  <c r="C8" i="1"/>
  <c r="C7" i="1"/>
  <c r="C21" i="1"/>
  <c r="C30" i="1"/>
  <c r="D52" i="15"/>
  <c r="D53" i="15"/>
  <c r="C6" i="1"/>
  <c r="C2" i="1"/>
  <c r="D28" i="1"/>
  <c r="I19" i="1"/>
  <c r="D15" i="15"/>
  <c r="C15" i="15"/>
  <c r="D19" i="15"/>
  <c r="D21" i="15"/>
  <c r="D22" i="15"/>
  <c r="C23" i="15"/>
  <c r="D27" i="9"/>
  <c r="F25" i="15"/>
  <c r="D27" i="15"/>
  <c r="D29" i="15"/>
  <c r="D30" i="15"/>
  <c r="D33" i="15"/>
  <c r="D36" i="15"/>
  <c r="D31" i="15"/>
  <c r="C37" i="15"/>
  <c r="D41" i="15"/>
  <c r="E43" i="15"/>
  <c r="D43" i="15"/>
  <c r="D44" i="15"/>
  <c r="D39" i="15"/>
  <c r="C45" i="15"/>
  <c r="F47" i="15"/>
  <c r="F48" i="15"/>
  <c r="D49" i="15"/>
  <c r="C49" i="15"/>
  <c r="C50" i="15"/>
  <c r="I48" i="15"/>
  <c r="D54" i="15"/>
  <c r="D55" i="15"/>
  <c r="C56" i="15"/>
  <c r="C57" i="15"/>
  <c r="C5" i="15"/>
  <c r="C2" i="15"/>
  <c r="C3" i="17"/>
  <c r="G86" i="17"/>
  <c r="N86" i="17"/>
  <c r="B86" i="17"/>
  <c r="D28" i="10"/>
  <c r="B83" i="9"/>
  <c r="B84" i="9"/>
  <c r="B85" i="9"/>
  <c r="B86" i="9"/>
  <c r="E27" i="9"/>
  <c r="J31" i="9"/>
  <c r="F12" i="17"/>
  <c r="F11" i="17"/>
  <c r="D29" i="10"/>
  <c r="C40" i="10"/>
  <c r="C48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1" i="17"/>
  <c r="T86" i="17"/>
  <c r="U86" i="17"/>
  <c r="AD86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W86" i="17"/>
  <c r="Y86" i="17"/>
  <c r="Z86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I37" i="17"/>
  <c r="N37" i="17"/>
  <c r="I36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AC86" i="17"/>
  <c r="AB87" i="17"/>
  <c r="K85" i="17"/>
  <c r="M85" i="17"/>
  <c r="N85" i="17"/>
  <c r="L85" i="17"/>
  <c r="O85" i="17"/>
  <c r="M93" i="17"/>
  <c r="B95" i="17"/>
  <c r="B96" i="17"/>
  <c r="B97" i="17"/>
  <c r="B99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AA86" i="17"/>
  <c r="Z87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53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H5" i="11"/>
  <c r="H6" i="11"/>
  <c r="H4" i="11"/>
  <c r="C5" i="11"/>
  <c r="C6" i="11"/>
  <c r="C7" i="11"/>
  <c r="C4" i="11"/>
  <c r="E8" i="17"/>
  <c r="J36" i="17"/>
  <c r="L36" i="17"/>
  <c r="M36" i="17"/>
  <c r="N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AB86" i="17"/>
  <c r="AA87" i="17"/>
  <c r="AC87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<sst xmlns="http://schemas.openxmlformats.org/spreadsheetml/2006/main" count="1276" uniqueCount="855">
  <si>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</si>
  <si>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</si>
  <si>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</si>
  <si>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</si>
  <si>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</si>
  <si>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</si>
  <si>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</si>
  <si>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</si>
  <si>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</si>
  <si>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</si>
  <si>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</si>
  <si>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</si>
  <si>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</si>
  <si>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</si>
  <si>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</si>
  <si>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</si>
  <si>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</si>
  <si>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</si>
  <si>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</si>
  <si>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</si>
  <si>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</si>
  <si>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</si>
  <si>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</si>
  <si>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</si>
  <si>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</si>
  <si>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</si>
  <si>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</si>
  <si>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</si>
  <si>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</si>
  <si>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</si>
  <si>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</si>
  <si>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</si>
  <si>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</si>
  <si>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</si>
  <si>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</si>
  <si>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</si>
  <si>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</si>
  <si>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</si>
  <si>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</si>
  <si>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</si>
  <si>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</si>
  <si>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</si>
  <si>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</si>
  <si>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</si>
  <si>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</si>
  <si>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</si>
  <si>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</si>
  <si>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</si>
  <si>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</si>
  <si>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</si>
  <si>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</si>
  <si>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</si>
  <si>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</si>
  <si>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</si>
  <si>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</si>
  <si>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</si>
  <si>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</si>
  <si>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</si>
  <si>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</si>
  <si>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</si>
  <si>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</si>
  <si>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</si>
  <si>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</si>
  <si>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</si>
  <si>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</si>
  <si>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</si>
  <si>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</si>
  <si>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</si>
  <si>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</si>
  <si>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</si>
  <si>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</si>
  <si>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</si>
  <si>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</si>
  <si>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</si>
  <si>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</si>
  <si>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</si>
  <si>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</si>
  <si>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</si>
  <si>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</si>
  <si>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</si>
  <si>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</si>
  <si>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</si>
  <si>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</si>
  <si>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</si>
  <si>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</si>
  <si>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</si>
  <si>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</si>
  <si>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</si>
  <si>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</si>
  <si>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</si>
  <si>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</si>
  <si>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</si>
  <si>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</si>
  <si>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</si>
  <si>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</si>
  <si>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</si>
  <si>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</si>
  <si>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</si>
  <si>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</si>
  <si>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</si>
  <si>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</si>
  <si>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</si>
  <si>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</si>
  <si>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</si>
  <si>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</si>
  <si>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</si>
  <si>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</si>
  <si>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</si>
  <si>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</si>
  <si>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</si>
  <si>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</si>
  <si>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</si>
  <si>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</si>
  <si>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</si>
  <si>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</si>
  <si>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</si>
  <si>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</si>
  <si>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</si>
  <si>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</si>
  <si>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</si>
  <si>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</si>
  <si>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</si>
  <si>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</si>
  <si>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</si>
  <si>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</si>
  <si>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</si>
  <si>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</si>
  <si>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</si>
  <si>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</si>
  <si>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</si>
  <si>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</si>
  <si>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</si>
  <si>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</si>
  <si>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</si>
  <si>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</si>
  <si>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</si>
  <si>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</si>
  <si>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</si>
  <si>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</si>
  <si>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</si>
  <si>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</si>
  <si>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</si>
  <si>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</si>
  <si>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</si>
  <si>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</si>
  <si>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Boldrin low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</si>
  <si>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</si>
  <si>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</si>
  <si>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</si>
  <si>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</si>
  <si>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</si>
  <si>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</si>
  <si>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</si>
  <si>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</si>
  <si>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</si>
  <si>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</si>
  <si>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</si>
  <si>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</si>
  <si>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</si>
  <si>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</si>
  <si>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</si>
  <si>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</si>
  <si>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</si>
  <si>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</si>
  <si>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</si>
  <si>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</si>
  <si>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</si>
  <si>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</si>
  <si>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</si>
  <si>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</si>
  <si>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</si>
  <si>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</si>
  <si>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</si>
  <si>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</si>
  <si>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</si>
  <si>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</si>
  <si>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</si>
  <si>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</si>
  <si>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</si>
  <si>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</si>
  <si>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</si>
  <si>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</si>
  <si>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</si>
  <si>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</si>
  <si>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</si>
  <si>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</si>
  <si>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</si>
  <si>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</si>
  <si>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</si>
  <si>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</si>
  <si>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</si>
  <si>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</si>
  <si>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</si>
  <si>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</si>
  <si>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</si>
  <si>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</si>
  <si>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</si>
  <si>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</si>
  <si>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</si>
  <si>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</si>
  <si>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</si>
  <si>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</si>
  <si>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</si>
  <si>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</si>
  <si>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</si>
  <si>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</si>
  <si>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</si>
  <si>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</si>
  <si>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</si>
  <si>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</si>
  <si>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</si>
  <si>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</si>
  <si>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</si>
  <si>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</si>
  <si>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</si>
  <si>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</si>
  <si>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</si>
  <si>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</si>
  <si>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</si>
  <si>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</si>
  <si>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</si>
  <si>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</si>
  <si>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</si>
  <si>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</si>
  <si>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</si>
  <si>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</si>
  <si>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</si>
  <si>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</si>
  <si>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</si>
  <si>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</si>
  <si>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</si>
  <si>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</si>
  <si>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</si>
  <si>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</si>
  <si>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</si>
  <si>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</si>
  <si>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</si>
  <si>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</si>
  <si>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</si>
  <si>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</si>
  <si>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</si>
  <si>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</si>
  <si>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</si>
  <si>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</si>
  <si>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</si>
  <si>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</si>
  <si>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</si>
  <si>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</si>
  <si>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</si>
  <si>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</si>
  <si>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</si>
  <si>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</si>
  <si>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</si>
  <si>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</si>
  <si>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</si>
  <si>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</si>
  <si>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</si>
  <si>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</si>
  <si>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</si>
  <si>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</si>
  <si>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</si>
  <si>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</si>
  <si>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</si>
  <si>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</si>
  <si>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</si>
  <si>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</si>
  <si>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</si>
  <si>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</si>
  <si>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</si>
  <si>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</si>
  <si>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</si>
  <si>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</si>
  <si>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</si>
  <si>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</si>
  <si>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</si>
  <si>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</si>
  <si>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</si>
  <si>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</si>
  <si>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</si>
  <si>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</si>
  <si>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</si>
  <si>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</si>
  <si>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</si>
  <si>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</si>
  <si>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</si>
  <si>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</si>
  <si>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</si>
  <si>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</si>
  <si>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</si>
  <si>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</si>
  <si>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</si>
  <si>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</si>
  <si>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</si>
  <si>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</si>
  <si>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</si>
  <si>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</si>
  <si>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</si>
  <si>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</si>
  <si>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</si>
  <si>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</si>
  <si>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</si>
  <si>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</si>
  <si>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</si>
  <si>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</si>
  <si>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</si>
  <si>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</si>
  <si>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</si>
  <si>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</si>
  <si>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</si>
  <si>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</si>
  <si>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</si>
  <si>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</si>
  <si>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</si>
  <si>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</si>
  <si>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</si>
  <si>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</si>
  <si>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</si>
  <si>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</si>
  <si>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</si>
  <si>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</si>
  <si>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</si>
  <si>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</si>
  <si>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</si>
  <si>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</si>
  <si>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</si>
  <si>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</si>
  <si>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</si>
  <si>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</si>
  <si>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</si>
  <si>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</si>
  <si>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</si>
  <si>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</si>
  <si>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</si>
  <si>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</si>
  <si>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</si>
  <si>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</si>
  <si>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</si>
  <si>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</si>
  <si>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</si>
  <si>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</si>
  <si>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</si>
  <si>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</si>
  <si>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</si>
  <si>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</si>
  <si>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</si>
  <si>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</si>
  <si>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</si>
  <si>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</si>
  <si>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</si>
  <si>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</si>
  <si>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</si>
  <si>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</si>
  <si>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</si>
  <si>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</si>
  <si>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</si>
  <si>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</si>
  <si>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</si>
  <si>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</si>
  <si>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</si>
  <si>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</si>
  <si>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</si>
  <si>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</si>
  <si>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</si>
  <si>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</si>
  <si>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</si>
  <si>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</si>
  <si>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</si>
  <si>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</si>
  <si>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</si>
  <si>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</si>
  <si>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</si>
  <si>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</si>
  <si>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</si>
  <si>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</si>
  <si>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</si>
  <si>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</si>
  <si>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</si>
  <si>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</si>
  <si>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</si>
  <si>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</si>
  <si>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</si>
  <si>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</si>
  <si>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</si>
  <si>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</si>
  <si>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</si>
  <si>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</si>
  <si>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</si>
  <si>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</si>
  <si>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</si>
  <si>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</si>
  <si>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</si>
  <si>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</si>
  <si>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</si>
  <si>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KWh/m3 methane 43% efficiency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</si>
  <si>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</si>
  <si>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</si>
  <si>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</si>
  <si>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</si>
  <si>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</si>
  <si>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</si>
  <si>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</si>
  <si>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</si>
  <si>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</si>
  <si>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</si>
  <si>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</si>
  <si>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</si>
  <si>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</si>
  <si>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</si>
  <si>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</si>
  <si>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</si>
  <si>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</si>
  <si>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</si>
  <si>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</si>
  <si>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</si>
  <si>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</si>
  <si>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</si>
  <si>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</si>
  <si>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</si>
  <si>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</si>
  <si>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</si>
  <si>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</si>
  <si>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</si>
  <si>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</si>
  <si>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</si>
  <si>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</si>
  <si>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</si>
  <si>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</si>
  <si>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</si>
  <si>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</si>
  <si>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</si>
  <si>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</si>
  <si>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</si>
  <si>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</si>
  <si>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</si>
  <si>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</si>
  <si>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</si>
  <si>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</si>
  <si>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</si>
  <si>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</si>
  <si>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</si>
  <si>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</si>
  <si>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</si>
  <si>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</si>
  <si>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</si>
  <si>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</si>
  <si>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</si>
  <si>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</si>
  <si>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</si>
  <si>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</si>
  <si>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</si>
  <si>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</si>
  <si>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</si>
  <si>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</si>
  <si>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</si>
  <si>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</si>
  <si>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</si>
  <si>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</si>
  <si>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</si>
  <si>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</si>
  <si>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</si>
  <si>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</si>
  <si>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</si>
  <si>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</si>
  <si>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</si>
  <si>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</si>
  <si>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</si>
  <si>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</si>
  <si>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</si>
  <si>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</si>
  <si>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</si>
  <si>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</si>
  <si>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</si>
  <si>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</si>
  <si>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</si>
  <si>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</si>
  <si>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</si>
  <si>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</si>
  <si>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</si>
  <si>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</si>
  <si>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</si>
  <si>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</si>
  <si>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</si>
  <si>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</si>
  <si>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</si>
  <si>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</si>
  <si>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</si>
  <si>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</si>
  <si>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</si>
  <si>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</si>
  <si>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</si>
  <si>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</si>
  <si>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</si>
  <si>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</si>
  <si>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</si>
  <si>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</si>
  <si>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</si>
  <si>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</si>
  <si>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</si>
  <si>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</si>
  <si>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</si>
  <si>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</si>
  <si>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</si>
  <si>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</si>
  <si>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</si>
  <si>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</si>
  <si>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</si>
  <si>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</si>
  <si>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</si>
  <si>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</si>
  <si>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</si>
  <si>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</si>
  <si>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</si>
  <si>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</si>
  <si>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</si>
  <si>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</si>
  <si>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</si>
  <si>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</si>
  <si>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</si>
  <si>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</si>
  <si>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</si>
  <si>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</si>
  <si>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</si>
  <si>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</si>
  <si>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</si>
  <si>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</si>
  <si>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</si>
  <si>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</si>
  <si>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</si>
  <si>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</si>
  <si>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</si>
  <si>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</si>
  <si>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</si>
  <si>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</si>
  <si>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</si>
  <si>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</si>
  <si>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</si>
  <si>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</si>
  <si>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</si>
  <si>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</si>
  <si>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</si>
  <si>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</si>
  <si>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</si>
  <si>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</si>
  <si>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</si>
  <si>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</si>
  <si>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</si>
  <si>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</si>
  <si>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</si>
  <si>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</si>
  <si>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</si>
  <si>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</si>
  <si>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</si>
  <si>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</si>
  <si>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</si>
  <si>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</si>
  <si>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</si>
  <si>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</si>
  <si>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</si>
  <si>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</si>
  <si>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</si>
  <si>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</si>
  <si>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</si>
  <si>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</si>
  <si>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</si>
  <si>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</si>
  <si>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</si>
  <si>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</si>
  <si>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</si>
  <si>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</si>
  <si>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</si>
  <si>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</si>
  <si>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</si>
  <si>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</si>
  <si>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</si>
  <si>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</si>
  <si>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</si>
  <si>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</si>
  <si>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</si>
  <si>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</si>
  <si>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</si>
  <si>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</si>
  <si>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</si>
  <si>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</si>
  <si>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</si>
  <si>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</si>
  <si>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</si>
  <si>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</si>
  <si>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N2O emission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</si>
  <si>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</si>
  <si>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</si>
  <si>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</si>
  <si>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</si>
  <si>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</si>
  <si>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</si>
  <si>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</si>
  <si>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</si>
  <si>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</si>
  <si>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</si>
  <si>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</si>
  <si>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</si>
  <si>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</si>
  <si>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</si>
  <si>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</si>
  <si>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</si>
  <si>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</si>
  <si>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</si>
  <si>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</si>
  <si>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</si>
  <si>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</si>
  <si>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</si>
  <si>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</si>
  <si>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</si>
  <si>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</si>
  <si>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</si>
  <si>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</si>
  <si>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>N remaining</t>
  </si>
  <si>
    <t xml:space="preserve"> 26–51% of the initial N content have been reported for biowaste (Beck-Friiset al. 2000, NIRAS 2004, Den Boer et al. 2005), </t>
  </si>
  <si>
    <t>IPCC</t>
  </si>
  <si>
    <t>Wood and Cowie</t>
  </si>
  <si>
    <t>Substitution ratio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</si>
  <si>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</si>
  <si>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</si>
  <si>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</si>
  <si>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</si>
  <si>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</si>
  <si>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</si>
  <si>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</si>
  <si>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</si>
  <si>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</si>
  <si>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</si>
  <si>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</si>
  <si>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</si>
  <si>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</si>
  <si>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</si>
  <si>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</si>
  <si>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</si>
  <si>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</si>
  <si>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</si>
  <si>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</si>
  <si>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</si>
  <si>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</si>
  <si>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</si>
  <si>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</si>
  <si>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</si>
  <si>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</si>
  <si>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</si>
  <si>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</si>
  <si>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</si>
  <si>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</si>
  <si>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</si>
  <si>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</si>
  <si>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0.4-6.0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</si>
  <si>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</si>
  <si>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</si>
  <si>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</si>
  <si>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</si>
  <si>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</si>
  <si>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</si>
  <si>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</si>
  <si>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</si>
  <si>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</si>
  <si>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</si>
  <si>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</si>
  <si>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</si>
  <si>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</si>
  <si>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</si>
  <si>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</si>
  <si>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</si>
  <si>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</si>
  <si>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</si>
  <si>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</si>
  <si>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</si>
  <si>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</si>
  <si>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</si>
  <si>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</si>
  <si>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</si>
  <si>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</si>
  <si>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</si>
  <si>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</si>
  <si>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</si>
  <si>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</si>
  <si>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0.7-0.9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</si>
  <si>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</si>
  <si>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</si>
  <si>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</si>
  <si>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</si>
  <si>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</si>
  <si>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</si>
  <si>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</si>
  <si>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</si>
  <si>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</si>
  <si>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</si>
  <si>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</si>
  <si>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</si>
  <si>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</si>
  <si>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</si>
  <si>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</si>
  <si>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</si>
  <si>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</si>
  <si>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</si>
  <si>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</si>
  <si>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</si>
  <si>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</si>
  <si>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</si>
  <si>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</si>
  <si>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</si>
  <si>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</si>
  <si>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</si>
  <si>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</si>
  <si>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</si>
  <si>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</si>
  <si>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</si>
  <si>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</si>
  <si>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</si>
  <si>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</si>
  <si>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</si>
  <si>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</si>
  <si>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</si>
  <si>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</si>
  <si>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</si>
  <si>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</si>
  <si>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</si>
  <si>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</si>
  <si>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</si>
  <si>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</si>
  <si>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</si>
  <si>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</si>
  <si>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</si>
  <si>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</si>
  <si>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</si>
  <si>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</si>
  <si>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</si>
  <si>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</si>
  <si>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</si>
  <si>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</si>
  <si>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</si>
  <si>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</si>
  <si>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</si>
  <si>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</si>
  <si>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</si>
  <si>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</si>
  <si>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</si>
  <si>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</si>
  <si>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</si>
  <si>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</si>
  <si>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</si>
  <si>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 xml:space="preserve">Barlaz and Levis, 2011 had 0.08kgC/kg dry </t>
  </si>
  <si>
    <t>guess to match C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</si>
  <si>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</si>
  <si>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</si>
  <si>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</si>
  <si>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</si>
  <si>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</si>
  <si>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</si>
  <si>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</si>
  <si>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</si>
  <si>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</si>
  <si>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</si>
  <si>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</si>
  <si>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</si>
  <si>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</si>
  <si>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</si>
  <si>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</si>
  <si>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</si>
  <si>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</si>
  <si>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</si>
  <si>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</si>
  <si>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</si>
  <si>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</si>
  <si>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</si>
  <si>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</si>
  <si>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</si>
  <si>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Hunziker</t>
  </si>
  <si>
    <t>Value</t>
  </si>
  <si>
    <t>Hunziker (1-3L)</t>
  </si>
  <si>
    <r>
      <t>a little high compared to Manfredi, 2009, slightly lower</t>
    </r>
    <r>
      <rPr>
        <sz val="11"/>
        <color theme="1"/>
        <rFont val="Calibri"/>
        <family val="2"/>
        <scheme val="minor"/>
      </rPr>
      <t xml:space="preserve"> than warm (19.25)</t>
    </r>
    <r>
      <rPr>
        <sz val="11"/>
        <color theme="1"/>
        <rFont val="Calibri"/>
        <family val="2"/>
        <scheme val="minor"/>
      </rPr>
      <t>? Did not include</t>
    </r>
    <r>
      <rPr>
        <sz val="11"/>
        <color theme="1"/>
        <rFont val="Calibri"/>
        <family val="2"/>
        <scheme val="minor"/>
      </rPr>
      <t xml:space="preserve"> AR5 factors and of provision of fuel</t>
    </r>
  </si>
  <si>
    <t>Hyrdolysis constant (k)</t>
  </si>
  <si>
    <t>0.096-0.229</t>
  </si>
  <si>
    <t>IPCC, AR5</t>
  </si>
  <si>
    <t>Carbon storage factor</t>
  </si>
  <si>
    <t>.09-1.1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</si>
  <si>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</si>
  <si>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</si>
  <si>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</si>
  <si>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t>Correction factor for carbon storage</t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</si>
  <si>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</si>
  <si>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</si>
  <si>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</si>
  <si>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</si>
  <si>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</si>
  <si>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</si>
  <si>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</si>
  <si>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</si>
  <si>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</si>
  <si>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Production P fertilizer</t>
  </si>
  <si>
    <t>Constants</t>
  </si>
  <si>
    <t>Production of Peat</t>
  </si>
  <si>
    <t>Emission Factors</t>
  </si>
  <si>
    <t>Diesel use</t>
  </si>
  <si>
    <t>0.4-0.83</t>
  </si>
  <si>
    <t>range for garden waste and biowaste, open closed and notn specified</t>
  </si>
  <si>
    <t>Boldrin, 2010</t>
  </si>
  <si>
    <t>Boldrin, 2012</t>
  </si>
  <si>
    <t>% CH4 emissions</t>
  </si>
  <si>
    <t>% N emissions</t>
  </si>
  <si>
    <t>%CH4-C/degraded C</t>
  </si>
  <si>
    <t>%N2O-N/degraded N</t>
  </si>
  <si>
    <t>0.008-0.036</t>
  </si>
  <si>
    <t>0.01-.018</t>
  </si>
  <si>
    <t>Carbon remaining/applied</t>
  </si>
  <si>
    <t>Carbon Storage factor</t>
  </si>
  <si>
    <t>% deg beyond fd</t>
  </si>
  <si>
    <t>0.2-.8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</si>
  <si>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</si>
  <si>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</si>
  <si>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</si>
  <si>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</si>
  <si>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</si>
  <si>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0.03-65</t>
  </si>
  <si>
    <t>N loss</t>
  </si>
  <si>
    <t>.26-.51</t>
  </si>
  <si>
    <t>%initial N</t>
  </si>
  <si>
    <t>0-0.1</t>
  </si>
  <si>
    <t>Mineral fertilizer equivalent N</t>
  </si>
  <si>
    <t>Mineral fertilizer equivalent P</t>
  </si>
  <si>
    <t>Mineral fertilizer equivalent K</t>
  </si>
  <si>
    <t>Ratio of compost required to meet P demand to N demand.</t>
  </si>
  <si>
    <t>Ratio of compost required to meet K demand to N demand.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</si>
  <si>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</si>
  <si>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</si>
  <si>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</si>
  <si>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</si>
  <si>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</si>
  <si>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</si>
  <si>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4-10</t>
  </si>
  <si>
    <t>%N2O-N/N</t>
  </si>
  <si>
    <t>sw name</t>
  </si>
  <si>
    <t>Range Low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</si>
  <si>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</si>
  <si>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</si>
  <si>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</si>
  <si>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</si>
  <si>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</si>
  <si>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</si>
  <si>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</si>
  <si>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</si>
  <si>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</si>
  <si>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</si>
  <si>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</si>
  <si>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</si>
  <si>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</si>
  <si>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0.8-0.95</t>
  </si>
  <si>
    <t>Barlaz, 1998</t>
  </si>
  <si>
    <t>Carbon Storage correction factor</t>
  </si>
  <si>
    <t>Landfill_CF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</si>
</sst>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93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1" fontId="0" fillId="6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43" fontId="45" fillId="0" borderId="13" xfId="1" applyFont="1" applyBorder="1" applyAlignment="1">
      <alignment horizontal="center" vertical="center"/>
    </xf>
    <xf numFmtId="0" fontId="28" fillId="0" borderId="0" xfId="0" applyFont="1"/>
  </cellXfs>
  <cellStyles count="393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167800"/>
        <c:axId val="-2090120072"/>
      </c:barChart>
      <c:catAx>
        <c:axId val="-209016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120072"/>
        <c:crosses val="autoZero"/>
        <c:auto val="1"/>
        <c:lblAlgn val="ctr"/>
        <c:lblOffset val="100"/>
        <c:noMultiLvlLbl val="0"/>
      </c:catAx>
      <c:valAx>
        <c:axId val="-20901200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0167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0114232"/>
        <c:axId val="-2090111256"/>
      </c:barChart>
      <c:catAx>
        <c:axId val="-20901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111256"/>
        <c:crosses val="autoZero"/>
        <c:auto val="1"/>
        <c:lblAlgn val="ctr"/>
        <c:lblOffset val="100"/>
        <c:noMultiLvlLbl val="0"/>
      </c:catAx>
      <c:valAx>
        <c:axId val="-209011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90114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2090015032"/>
        <c:axId val="-2090678936"/>
      </c:barChart>
      <c:catAx>
        <c:axId val="209001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90678936"/>
        <c:crosses val="autoZero"/>
        <c:auto val="1"/>
        <c:lblAlgn val="ctr"/>
        <c:lblOffset val="100"/>
        <c:noMultiLvlLbl val="1"/>
      </c:catAx>
      <c:valAx>
        <c:axId val="-209067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01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workbookViewId="0">
      <selection activeCell="K32" sqref="K3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</cols>
  <sheetData>
    <row r="1" spans="1:18" s="44" customFormat="1" ht="13" customHeight="1">
      <c r="A1" s="41" t="s">
        <v>665</v>
      </c>
      <c r="B1" s="41" t="s">
        <v>14</v>
      </c>
      <c r="C1" s="41" t="s">
        <v>116</v>
      </c>
      <c r="D1" s="200" t="s">
        <v>646</v>
      </c>
      <c r="E1" s="41" t="s">
        <v>2</v>
      </c>
      <c r="F1" s="41" t="s">
        <v>5</v>
      </c>
    </row>
    <row r="2" spans="1:18">
      <c r="A2" t="s">
        <v>668</v>
      </c>
      <c r="B2" t="s">
        <v>671</v>
      </c>
      <c r="C2" s="197">
        <f>J66</f>
        <v>0.44445499769952745</v>
      </c>
      <c r="F2" t="s">
        <v>691</v>
      </c>
    </row>
    <row r="3" spans="1:18">
      <c r="A3" t="s">
        <v>670</v>
      </c>
      <c r="B3" t="s">
        <v>671</v>
      </c>
      <c r="C3" s="197">
        <f>J65</f>
        <v>0.53090857076072773</v>
      </c>
      <c r="F3" t="s">
        <v>691</v>
      </c>
    </row>
    <row r="4" spans="1:18">
      <c r="A4" t="s">
        <v>669</v>
      </c>
      <c r="B4" t="s">
        <v>671</v>
      </c>
      <c r="C4" s="197">
        <f>J67</f>
        <v>0.77143668844394409</v>
      </c>
      <c r="F4" t="s">
        <v>691</v>
      </c>
    </row>
    <row r="5" spans="1:18">
      <c r="A5" s="1" t="s">
        <v>39</v>
      </c>
      <c r="B5" s="1" t="s">
        <v>118</v>
      </c>
      <c r="C5" s="198">
        <v>265</v>
      </c>
      <c r="D5" s="1"/>
      <c r="E5" s="1" t="s">
        <v>778</v>
      </c>
      <c r="H5" s="30"/>
      <c r="I5" s="30"/>
      <c r="J5" s="30"/>
      <c r="K5" s="27"/>
      <c r="L5" s="27"/>
      <c r="M5" s="27"/>
    </row>
    <row r="6" spans="1:18">
      <c r="A6" s="1" t="s">
        <v>27</v>
      </c>
      <c r="B6" s="1" t="s">
        <v>29</v>
      </c>
      <c r="C6" s="198">
        <v>28</v>
      </c>
      <c r="D6" s="1"/>
      <c r="E6" s="23" t="s">
        <v>778</v>
      </c>
      <c r="H6" s="29"/>
      <c r="I6" s="29"/>
      <c r="J6" s="29"/>
      <c r="K6" s="28"/>
      <c r="L6" s="27"/>
      <c r="M6" s="27"/>
    </row>
    <row r="7" spans="1:18">
      <c r="A7" t="s">
        <v>647</v>
      </c>
      <c r="B7" t="s">
        <v>649</v>
      </c>
      <c r="C7" s="195">
        <v>0.45</v>
      </c>
      <c r="D7" t="s">
        <v>553</v>
      </c>
      <c r="E7" t="s">
        <v>650</v>
      </c>
    </row>
    <row r="8" spans="1:18" s="47" customFormat="1">
      <c r="A8" s="117" t="s">
        <v>656</v>
      </c>
      <c r="B8" s="106" t="s">
        <v>654</v>
      </c>
      <c r="C8" s="199" t="s">
        <v>467</v>
      </c>
      <c r="F8" s="121">
        <f>34003/1000000</f>
        <v>3.4002999999999999E-2</v>
      </c>
      <c r="G8" s="106" t="s">
        <v>469</v>
      </c>
      <c r="H8" s="106"/>
      <c r="I8" s="106"/>
      <c r="J8" s="106"/>
    </row>
    <row r="9" spans="1:18" s="47" customFormat="1">
      <c r="A9" s="117" t="s">
        <v>797</v>
      </c>
      <c r="B9" s="106"/>
      <c r="C9" s="199"/>
      <c r="F9" s="121"/>
      <c r="G9" s="106"/>
      <c r="H9" s="106"/>
      <c r="I9" s="106"/>
      <c r="J9" s="106"/>
    </row>
    <row r="10" spans="1:18" s="106" customFormat="1" ht="14">
      <c r="A10" s="106" t="s">
        <v>461</v>
      </c>
      <c r="B10" s="112" t="s">
        <v>655</v>
      </c>
      <c r="C10" s="199"/>
      <c r="D10" s="122">
        <f>F10/1000*F8</f>
        <v>2.6982740619999999</v>
      </c>
      <c r="F10" s="118">
        <v>79354</v>
      </c>
      <c r="G10" s="112" t="s">
        <v>592</v>
      </c>
      <c r="H10" s="112"/>
      <c r="I10" s="112"/>
      <c r="J10" s="112"/>
      <c r="K10" s="106" t="s">
        <v>593</v>
      </c>
    </row>
    <row r="11" spans="1:18" s="106" customFormat="1" ht="14">
      <c r="A11" s="106" t="s">
        <v>463</v>
      </c>
      <c r="B11" s="112" t="s">
        <v>655</v>
      </c>
      <c r="C11" s="199"/>
      <c r="D11" s="122">
        <f>F11/1000*F8*Parameters!C5</f>
        <v>1.8021590000000001E-2</v>
      </c>
      <c r="F11" s="118">
        <v>2</v>
      </c>
      <c r="G11" s="112" t="s">
        <v>468</v>
      </c>
      <c r="H11" s="112"/>
      <c r="I11" s="112"/>
      <c r="J11" s="112"/>
      <c r="K11" s="106" t="s">
        <v>460</v>
      </c>
    </row>
    <row r="12" spans="1:18" s="27" customFormat="1" ht="14">
      <c r="A12" s="112" t="s">
        <v>462</v>
      </c>
      <c r="B12" s="112" t="s">
        <v>655</v>
      </c>
      <c r="C12" s="196"/>
      <c r="D12" s="123">
        <f>F12*Parameters!C6/1000*F8</f>
        <v>4.1986904399999997E-3</v>
      </c>
      <c r="F12" s="27">
        <v>4.41</v>
      </c>
      <c r="G12" s="112" t="s">
        <v>468</v>
      </c>
      <c r="H12" s="112"/>
      <c r="I12" s="112"/>
      <c r="J12" s="112"/>
      <c r="K12" s="106" t="s">
        <v>460</v>
      </c>
      <c r="N12" s="112"/>
      <c r="R12" s="120"/>
    </row>
    <row r="13" spans="1:18">
      <c r="A13" s="1" t="s">
        <v>648</v>
      </c>
      <c r="C13" s="272">
        <f>SUM(D10:D12)</f>
        <v>2.7204943424399999</v>
      </c>
      <c r="E13" t="s">
        <v>653</v>
      </c>
      <c r="N13" s="1"/>
      <c r="O13" s="1"/>
      <c r="P13" s="1"/>
    </row>
    <row r="14" spans="1:18">
      <c r="A14" s="1" t="s">
        <v>426</v>
      </c>
      <c r="B14" s="1" t="s">
        <v>126</v>
      </c>
      <c r="C14" s="198">
        <v>533.66</v>
      </c>
      <c r="E14" t="s">
        <v>141</v>
      </c>
      <c r="F14" s="27" t="s">
        <v>142</v>
      </c>
    </row>
    <row r="15" spans="1:18">
      <c r="A15" s="43" t="s">
        <v>795</v>
      </c>
      <c r="B15" s="1"/>
      <c r="C15" s="198"/>
      <c r="F15" s="27"/>
    </row>
    <row r="16" spans="1:18">
      <c r="A16" s="1" t="s">
        <v>601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7">
      <c r="A17" s="1" t="s">
        <v>713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7">
      <c r="A18" s="1" t="s">
        <v>731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7">
      <c r="A19" s="1" t="s">
        <v>425</v>
      </c>
      <c r="B19" s="1" t="s">
        <v>28</v>
      </c>
      <c r="C19" s="198">
        <v>0.67</v>
      </c>
      <c r="D19" s="1"/>
      <c r="E19" s="23"/>
      <c r="H19" s="27"/>
      <c r="I19" s="27"/>
      <c r="J19" s="27"/>
      <c r="K19" s="27"/>
      <c r="L19" s="27"/>
      <c r="M19" s="27"/>
    </row>
    <row r="20" spans="1:17" s="45" customFormat="1">
      <c r="A20" s="27" t="s">
        <v>134</v>
      </c>
      <c r="B20" s="46" t="s">
        <v>135</v>
      </c>
      <c r="C20" s="196">
        <v>35315</v>
      </c>
      <c r="E20" s="27"/>
      <c r="F20"/>
    </row>
    <row r="21" spans="1:17">
      <c r="A21" s="1"/>
      <c r="P21" s="69"/>
    </row>
    <row r="22" spans="1:17">
      <c r="A22" s="1"/>
      <c r="P22" s="69"/>
    </row>
    <row r="23" spans="1:17">
      <c r="A23" s="1"/>
      <c r="P23" s="69" t="s">
        <v>777</v>
      </c>
      <c r="Q23" t="s">
        <v>676</v>
      </c>
    </row>
    <row r="24" spans="1:17" s="44" customFormat="1">
      <c r="A24" s="45" t="s">
        <v>666</v>
      </c>
    </row>
    <row r="25" spans="1:17" ht="37" thickBot="1">
      <c r="A25" s="159" t="s">
        <v>667</v>
      </c>
      <c r="B25" s="159" t="s">
        <v>408</v>
      </c>
      <c r="C25" s="159" t="s">
        <v>529</v>
      </c>
      <c r="D25" s="159" t="s">
        <v>452</v>
      </c>
      <c r="E25" s="159" t="s">
        <v>49</v>
      </c>
      <c r="F25" s="159" t="s">
        <v>50</v>
      </c>
      <c r="G25" s="159" t="s">
        <v>409</v>
      </c>
      <c r="H25" s="159" t="s">
        <v>482</v>
      </c>
      <c r="I25" s="159" t="s">
        <v>474</v>
      </c>
      <c r="J25" s="159" t="s">
        <v>638</v>
      </c>
      <c r="K25" s="159" t="s">
        <v>531</v>
      </c>
      <c r="L25" s="159" t="s">
        <v>532</v>
      </c>
      <c r="M25" s="159" t="s">
        <v>533</v>
      </c>
      <c r="N25" s="162" t="s">
        <v>534</v>
      </c>
      <c r="O25" s="159" t="s">
        <v>535</v>
      </c>
      <c r="P25" s="168" t="s">
        <v>776</v>
      </c>
    </row>
    <row r="26" spans="1:17" ht="17" thickTop="1" thickBot="1">
      <c r="A26" s="149" t="s">
        <v>738</v>
      </c>
      <c r="B26" s="152"/>
      <c r="C26" s="155"/>
      <c r="D26" s="149"/>
      <c r="E26" s="258"/>
      <c r="F26" s="155"/>
      <c r="G26" s="149"/>
      <c r="H26" s="152"/>
      <c r="I26" s="155"/>
      <c r="J26" s="149"/>
      <c r="K26" s="152"/>
      <c r="L26" s="155"/>
      <c r="M26" s="149"/>
      <c r="N26" s="152"/>
      <c r="O26" s="155"/>
    </row>
    <row r="27" spans="1:17" ht="16" thickBot="1">
      <c r="A27" s="149" t="s">
        <v>739</v>
      </c>
      <c r="B27" s="152">
        <v>0.3</v>
      </c>
      <c r="C27" s="155">
        <v>0.9</v>
      </c>
      <c r="D27" s="149">
        <f>C27*B27</f>
        <v>0.27</v>
      </c>
      <c r="E27" s="258">
        <f>F27/D27</f>
        <v>334.11111111111109</v>
      </c>
      <c r="F27" s="252">
        <f>H27*B27</f>
        <v>90.21</v>
      </c>
      <c r="G27" s="275">
        <v>9000</v>
      </c>
      <c r="H27" s="258">
        <v>300.7</v>
      </c>
      <c r="I27" s="252">
        <v>0.14399999999999999</v>
      </c>
      <c r="J27" s="257">
        <f>(Parameters!C3*Parameters!M27+Parameters!L27*Parameters!C4+Parameters!N27*Parameters!C2)*1000*B27</f>
        <v>145.73955722402675</v>
      </c>
      <c r="K27" s="152"/>
      <c r="L27" s="155">
        <v>0.1</v>
      </c>
      <c r="M27" s="189">
        <v>0.1</v>
      </c>
      <c r="N27" s="152">
        <v>0.8</v>
      </c>
      <c r="O27" s="155">
        <v>0.84099999999999997</v>
      </c>
      <c r="P27" t="s">
        <v>473</v>
      </c>
    </row>
    <row r="28" spans="1:17" ht="16" thickBot="1">
      <c r="A28" s="149" t="s">
        <v>646</v>
      </c>
      <c r="B28" s="152" t="s">
        <v>676</v>
      </c>
      <c r="C28" s="155"/>
      <c r="D28" s="149" t="s">
        <v>677</v>
      </c>
      <c r="E28" s="258"/>
      <c r="F28" s="252"/>
      <c r="G28" s="149" t="s">
        <v>542</v>
      </c>
      <c r="H28" s="152" t="s">
        <v>676</v>
      </c>
      <c r="I28" s="155"/>
      <c r="J28" s="149" t="s">
        <v>18</v>
      </c>
      <c r="K28" s="152"/>
      <c r="L28" s="155"/>
      <c r="M28" s="160"/>
      <c r="N28" s="152"/>
      <c r="O28" s="155" t="s">
        <v>852</v>
      </c>
    </row>
    <row r="29" spans="1:17" ht="16" thickBot="1">
      <c r="A29" s="149" t="s">
        <v>2</v>
      </c>
      <c r="B29" s="152"/>
      <c r="C29" s="155"/>
      <c r="D29" s="149"/>
      <c r="E29" s="258"/>
      <c r="F29" s="252"/>
      <c r="G29" s="149"/>
      <c r="H29" s="152"/>
      <c r="I29" s="155"/>
      <c r="J29" s="149" t="s">
        <v>678</v>
      </c>
      <c r="K29" s="152"/>
      <c r="L29" s="155" t="s">
        <v>673</v>
      </c>
      <c r="M29" s="160" t="s">
        <v>673</v>
      </c>
      <c r="N29" s="152" t="s">
        <v>673</v>
      </c>
      <c r="O29" s="155" t="s">
        <v>673</v>
      </c>
    </row>
    <row r="30" spans="1:17" ht="16" thickBot="1">
      <c r="A30" s="149"/>
      <c r="B30" s="152"/>
      <c r="C30" s="155"/>
      <c r="D30" s="149"/>
      <c r="E30" s="258"/>
      <c r="F30" s="252"/>
      <c r="G30" s="149"/>
      <c r="H30" s="152"/>
      <c r="I30" s="155"/>
      <c r="J30" s="149" t="s">
        <v>542</v>
      </c>
      <c r="K30" s="152"/>
      <c r="L30" s="155"/>
      <c r="M30" s="189"/>
      <c r="N30" s="152"/>
      <c r="O30" s="155"/>
    </row>
    <row r="31" spans="1:17" ht="16" thickBot="1">
      <c r="A31" s="149"/>
      <c r="B31" s="152"/>
      <c r="C31" s="155"/>
      <c r="D31" s="149"/>
      <c r="E31" s="258"/>
      <c r="F31" s="252"/>
      <c r="G31" s="149"/>
      <c r="H31" s="152"/>
      <c r="I31" s="155"/>
      <c r="J31" s="149">
        <f>E27*D27</f>
        <v>90.21</v>
      </c>
      <c r="K31" s="152"/>
      <c r="L31" s="155"/>
      <c r="M31" s="160"/>
      <c r="N31" s="152"/>
      <c r="O31" s="155"/>
    </row>
    <row r="32" spans="1:17" ht="16" thickBot="1">
      <c r="A32" s="149"/>
      <c r="B32" s="152"/>
      <c r="C32" s="155"/>
      <c r="D32" s="149"/>
      <c r="E32" s="258"/>
      <c r="F32" s="252"/>
      <c r="G32" s="149"/>
      <c r="H32" s="152"/>
      <c r="I32" s="155"/>
      <c r="J32" s="149" t="s">
        <v>676</v>
      </c>
      <c r="K32" s="152"/>
      <c r="L32" s="155"/>
      <c r="M32" s="160"/>
      <c r="N32" s="152"/>
      <c r="O32" s="155"/>
    </row>
    <row r="33" spans="1:20" ht="16" thickBot="1">
      <c r="A33" s="149" t="s">
        <v>741</v>
      </c>
      <c r="B33" s="152"/>
      <c r="C33" s="155"/>
      <c r="D33" s="149"/>
      <c r="E33" s="258"/>
      <c r="F33" s="252"/>
      <c r="G33" s="149"/>
      <c r="H33" s="152"/>
      <c r="I33" s="155"/>
      <c r="J33" s="149"/>
      <c r="K33" s="152"/>
      <c r="L33" s="155"/>
      <c r="M33" s="189"/>
      <c r="N33" s="152"/>
      <c r="O33" s="155"/>
    </row>
    <row r="34" spans="1:20" ht="16" thickBot="1">
      <c r="A34" s="149" t="s">
        <v>11</v>
      </c>
      <c r="B34" s="152">
        <v>0.18</v>
      </c>
      <c r="C34" s="155">
        <f>D34/B34</f>
        <v>0.94444444444444453</v>
      </c>
      <c r="D34" s="149">
        <v>0.17</v>
      </c>
      <c r="E34" s="258">
        <v>887</v>
      </c>
      <c r="F34" s="252">
        <v>150.79</v>
      </c>
      <c r="G34" s="149">
        <f>0.0056*1000000</f>
        <v>5600</v>
      </c>
      <c r="H34" s="152"/>
      <c r="I34" s="155"/>
      <c r="J34" s="149"/>
      <c r="K34" s="152"/>
      <c r="L34" s="155"/>
      <c r="M34" s="160"/>
      <c r="N34" s="152"/>
      <c r="O34" s="155"/>
      <c r="P34" s="101" t="s">
        <v>157</v>
      </c>
    </row>
    <row r="35" spans="1:20" ht="16" thickBot="1">
      <c r="A35" s="150" t="s">
        <v>51</v>
      </c>
      <c r="B35" s="153">
        <f>(1-0.927)</f>
        <v>7.2999999999999954E-2</v>
      </c>
      <c r="C35" s="156">
        <f t="shared" ref="C35" si="0">D35/B35</f>
        <v>0.68493150684931559</v>
      </c>
      <c r="D35" s="150">
        <v>0.05</v>
      </c>
      <c r="E35" s="277">
        <v>300</v>
      </c>
      <c r="F35" s="253">
        <v>15</v>
      </c>
      <c r="G35" s="150">
        <v>580</v>
      </c>
      <c r="H35" s="153"/>
      <c r="I35" s="156"/>
      <c r="J35" s="150"/>
      <c r="K35" s="153"/>
      <c r="L35" s="156">
        <f>0.009/0.073</f>
        <v>0.12328767123287671</v>
      </c>
      <c r="M35" s="160">
        <f>0.009/0.073</f>
        <v>0.12328767123287671</v>
      </c>
      <c r="N35" s="153">
        <f>0.049/0.073</f>
        <v>0.67123287671232879</v>
      </c>
      <c r="O35" s="156"/>
      <c r="P35" s="24" t="s">
        <v>52</v>
      </c>
      <c r="T35" t="s">
        <v>742</v>
      </c>
    </row>
    <row r="36" spans="1:20" ht="17" thickTop="1" thickBot="1">
      <c r="A36" s="149" t="s">
        <v>744</v>
      </c>
      <c r="B36" s="152"/>
      <c r="C36" s="155"/>
      <c r="D36" s="149"/>
      <c r="E36" s="258"/>
      <c r="F36" s="252"/>
      <c r="G36" s="149"/>
      <c r="H36" s="152"/>
      <c r="I36" s="155"/>
      <c r="J36" s="149"/>
      <c r="K36" s="152"/>
      <c r="L36" s="155"/>
      <c r="M36" s="189"/>
      <c r="N36" s="152"/>
      <c r="O36" s="155"/>
      <c r="P36" s="24"/>
    </row>
    <row r="37" spans="1:20" ht="16" thickBot="1">
      <c r="A37" s="149" t="s">
        <v>745</v>
      </c>
      <c r="B37" s="152"/>
      <c r="C37" s="155"/>
      <c r="D37" s="149"/>
      <c r="E37" s="258"/>
      <c r="F37" s="252"/>
      <c r="G37" s="149"/>
      <c r="H37" s="152"/>
      <c r="I37" s="155"/>
      <c r="J37" s="149"/>
      <c r="K37" s="152"/>
      <c r="L37" s="155"/>
      <c r="M37" s="160"/>
      <c r="N37" s="152"/>
      <c r="O37" s="155"/>
      <c r="P37" s="24"/>
    </row>
    <row r="38" spans="1:20" ht="16" thickBot="1">
      <c r="A38" s="149" t="s">
        <v>103</v>
      </c>
      <c r="B38" s="152">
        <f>(1-7%)</f>
        <v>0.92999999999999994</v>
      </c>
      <c r="C38" s="155">
        <v>0.8</v>
      </c>
      <c r="D38" s="149">
        <f>B38*C38</f>
        <v>0.74399999999999999</v>
      </c>
      <c r="E38" s="258"/>
      <c r="F38" s="155"/>
      <c r="G38" s="149">
        <v>1100</v>
      </c>
      <c r="H38" s="152"/>
      <c r="I38" s="155"/>
      <c r="J38" s="149"/>
      <c r="K38" s="152"/>
      <c r="L38" s="155">
        <f>0.029/D38</f>
        <v>3.8978494623655914E-2</v>
      </c>
      <c r="M38" s="160">
        <f>0.05/D38</f>
        <v>6.7204301075268827E-2</v>
      </c>
      <c r="N38" s="152">
        <f>0.56/D38</f>
        <v>0.75268817204301086</v>
      </c>
      <c r="O38" s="155"/>
      <c r="P38" t="s">
        <v>423</v>
      </c>
      <c r="Q38" t="s">
        <v>743</v>
      </c>
    </row>
    <row r="39" spans="1:20" ht="16" thickBot="1">
      <c r="A39" s="248" t="s">
        <v>740</v>
      </c>
      <c r="B39" s="249"/>
      <c r="C39" s="249"/>
      <c r="D39" s="249"/>
      <c r="H39" s="250"/>
      <c r="I39" s="250"/>
      <c r="J39" s="250"/>
      <c r="K39" s="59"/>
      <c r="L39" s="59"/>
      <c r="M39" s="59"/>
      <c r="N39" s="59"/>
      <c r="O39" s="59"/>
      <c r="P39" s="24"/>
    </row>
    <row r="40" spans="1:20" ht="16" thickBot="1">
      <c r="A40" s="149" t="s">
        <v>517</v>
      </c>
      <c r="B40" s="152">
        <v>0.91600000000000004</v>
      </c>
      <c r="C40" s="155">
        <v>0.97899999999999998</v>
      </c>
      <c r="D40" s="158">
        <v>0.88900000000000001</v>
      </c>
      <c r="E40" s="251">
        <v>465.3046875</v>
      </c>
      <c r="F40" s="251"/>
      <c r="G40" s="254">
        <v>14656.000000000002</v>
      </c>
      <c r="K40" s="160">
        <v>0.03</v>
      </c>
      <c r="L40" s="189">
        <v>0.11</v>
      </c>
      <c r="M40" s="189">
        <v>0.1</v>
      </c>
      <c r="N40" s="261">
        <v>0.76</v>
      </c>
      <c r="O40" s="264">
        <v>0.94</v>
      </c>
    </row>
    <row r="41" spans="1:20" ht="16" thickBot="1">
      <c r="A41" s="149" t="s">
        <v>518</v>
      </c>
      <c r="B41" s="152">
        <v>0.105</v>
      </c>
      <c r="C41" s="155">
        <v>0.90700000000000003</v>
      </c>
      <c r="D41" s="155">
        <v>0.14299999999999999</v>
      </c>
      <c r="E41" s="252">
        <v>435.97247406272294</v>
      </c>
      <c r="F41" s="252"/>
      <c r="G41" s="255">
        <v>2520</v>
      </c>
      <c r="K41" s="160">
        <v>0.09</v>
      </c>
      <c r="L41" s="160">
        <v>0.02</v>
      </c>
      <c r="M41" s="160">
        <v>0.15</v>
      </c>
      <c r="N41" s="262">
        <v>0.74</v>
      </c>
      <c r="O41" s="265">
        <v>0.98179823692937196</v>
      </c>
    </row>
    <row r="42" spans="1:20" ht="16" thickBot="1">
      <c r="A42" s="149" t="s">
        <v>519</v>
      </c>
      <c r="B42" s="152">
        <v>0.29299999999999998</v>
      </c>
      <c r="C42" s="155">
        <v>0.99299999999999999</v>
      </c>
      <c r="D42" s="155">
        <v>0.30299999999999999</v>
      </c>
      <c r="E42" s="252">
        <v>365.25479597205384</v>
      </c>
      <c r="F42" s="252"/>
      <c r="G42" s="255">
        <v>7969.6</v>
      </c>
      <c r="K42" s="160">
        <v>0.01</v>
      </c>
      <c r="L42" s="160">
        <v>0.04</v>
      </c>
      <c r="M42" s="160">
        <v>0.17</v>
      </c>
      <c r="N42" s="262">
        <v>0.79</v>
      </c>
      <c r="O42" s="265">
        <v>0.79927679923149053</v>
      </c>
    </row>
    <row r="43" spans="1:20" ht="16" thickBot="1">
      <c r="A43" s="149" t="s">
        <v>520</v>
      </c>
      <c r="B43" s="152">
        <v>7.6999999999999999E-2</v>
      </c>
      <c r="C43" s="155">
        <v>0.93300000000000005</v>
      </c>
      <c r="D43" s="155">
        <v>0.91100000000000003</v>
      </c>
      <c r="E43" s="252">
        <v>418.04822619567631</v>
      </c>
      <c r="F43" s="252"/>
      <c r="G43" s="255">
        <v>1232</v>
      </c>
      <c r="K43" s="160">
        <v>7.0000000000000007E-2</v>
      </c>
      <c r="L43" s="160">
        <v>0</v>
      </c>
      <c r="M43" s="160">
        <v>0.1</v>
      </c>
      <c r="N43" s="262">
        <v>0.82</v>
      </c>
      <c r="O43" s="265">
        <v>0.97735385922437001</v>
      </c>
    </row>
    <row r="44" spans="1:20" ht="16" thickBot="1">
      <c r="A44" s="149" t="s">
        <v>521</v>
      </c>
      <c r="B44" s="152">
        <v>0.46600000000000003</v>
      </c>
      <c r="C44" s="155">
        <v>0.97099999999999997</v>
      </c>
      <c r="D44" s="155">
        <v>7.0999999999999994E-2</v>
      </c>
      <c r="E44" s="252">
        <v>483.41632472315138</v>
      </c>
      <c r="F44" s="252"/>
      <c r="G44" s="255">
        <v>13420.8</v>
      </c>
      <c r="K44" s="160">
        <v>0.03</v>
      </c>
      <c r="L44" s="160">
        <v>0.19</v>
      </c>
      <c r="M44" s="160">
        <v>0.18</v>
      </c>
      <c r="N44" s="262">
        <v>0.61</v>
      </c>
      <c r="O44" s="265">
        <v>0.877478471550592</v>
      </c>
    </row>
    <row r="45" spans="1:20" ht="16" thickBot="1">
      <c r="A45" s="149" t="s">
        <v>675</v>
      </c>
      <c r="B45" s="152">
        <v>0.14299999999999999</v>
      </c>
      <c r="C45" s="155">
        <v>1</v>
      </c>
      <c r="D45" s="155">
        <v>3.4000000000000002E-2</v>
      </c>
      <c r="E45" s="252">
        <v>252.28816838661476</v>
      </c>
      <c r="F45" s="252"/>
      <c r="G45" s="255">
        <v>457.59999999999997</v>
      </c>
      <c r="K45" s="160">
        <v>0</v>
      </c>
      <c r="L45" s="160">
        <v>0.03</v>
      </c>
      <c r="M45" s="160">
        <v>0.02</v>
      </c>
      <c r="N45" s="262">
        <v>0.82</v>
      </c>
      <c r="O45" s="265">
        <v>0.56096498593100275</v>
      </c>
    </row>
    <row r="46" spans="1:20" ht="16" thickBot="1">
      <c r="A46" s="149" t="s">
        <v>523</v>
      </c>
      <c r="B46" s="152">
        <v>0.92700000000000005</v>
      </c>
      <c r="C46" s="155">
        <v>0.95</v>
      </c>
      <c r="D46" s="155">
        <v>0.29099999999999998</v>
      </c>
      <c r="E46" s="252">
        <v>361.81791351010088</v>
      </c>
      <c r="F46" s="252"/>
      <c r="G46" s="255">
        <v>16315.200000000003</v>
      </c>
      <c r="K46" s="160">
        <v>0.05</v>
      </c>
      <c r="L46" s="160">
        <v>0.02</v>
      </c>
      <c r="M46" s="160">
        <v>0.11</v>
      </c>
      <c r="N46" s="262">
        <v>0.82</v>
      </c>
      <c r="O46" s="265">
        <v>0.82380040804253563</v>
      </c>
    </row>
    <row r="47" spans="1:20" ht="16" thickBot="1">
      <c r="A47" s="149" t="s">
        <v>524</v>
      </c>
      <c r="B47" s="152">
        <v>3.7999999999999999E-2</v>
      </c>
      <c r="C47" s="155">
        <v>0.90600000000000003</v>
      </c>
      <c r="D47" s="155">
        <v>0.45200000000000001</v>
      </c>
      <c r="E47" s="252">
        <v>375.37065018315019</v>
      </c>
      <c r="F47" s="252"/>
      <c r="G47" s="255">
        <v>1398.3999999999999</v>
      </c>
      <c r="K47" s="160">
        <v>0.11</v>
      </c>
      <c r="L47" s="160">
        <v>0.02</v>
      </c>
      <c r="M47" s="160">
        <v>0.23</v>
      </c>
      <c r="N47" s="262">
        <v>0.66</v>
      </c>
      <c r="O47" s="265">
        <v>0.90450759080277232</v>
      </c>
    </row>
    <row r="48" spans="1:20" ht="16" thickBot="1">
      <c r="A48" s="149" t="s">
        <v>525</v>
      </c>
      <c r="B48" s="152">
        <v>0.92400000000000004</v>
      </c>
      <c r="C48" s="155">
        <v>0.97799999999999998</v>
      </c>
      <c r="D48" s="155">
        <v>0.90400000000000003</v>
      </c>
      <c r="E48" s="252">
        <v>318.40468414280525</v>
      </c>
      <c r="F48" s="252"/>
      <c r="G48" s="255">
        <v>17740.8</v>
      </c>
      <c r="K48" s="160">
        <v>0.02</v>
      </c>
      <c r="L48" s="160">
        <v>0.01</v>
      </c>
      <c r="M48" s="160">
        <v>0.12</v>
      </c>
      <c r="N48" s="262">
        <v>0.85</v>
      </c>
      <c r="O48" s="265">
        <v>0.73736998705248713</v>
      </c>
    </row>
    <row r="49" spans="1:15" ht="16" thickBot="1">
      <c r="A49" s="150" t="s">
        <v>526</v>
      </c>
      <c r="B49" s="153">
        <v>0.309</v>
      </c>
      <c r="C49" s="156">
        <v>0.97899999999999998</v>
      </c>
      <c r="D49" s="156">
        <v>9.6000000000000002E-2</v>
      </c>
      <c r="E49" s="253">
        <v>454.20873548774478</v>
      </c>
      <c r="F49" s="253"/>
      <c r="G49" s="256">
        <v>6921.6000000000013</v>
      </c>
      <c r="K49" s="161">
        <v>0.02</v>
      </c>
      <c r="L49" s="161">
        <v>0.05</v>
      </c>
      <c r="M49" s="161">
        <v>0.14000000000000001</v>
      </c>
      <c r="N49" s="263">
        <v>0.79</v>
      </c>
      <c r="O49" s="266">
        <v>0.99060618444367532</v>
      </c>
    </row>
    <row r="50" spans="1:15" ht="16" thickTop="1"/>
    <row r="54" spans="1:15" ht="16" thickBot="1">
      <c r="A54" s="150" t="s">
        <v>527</v>
      </c>
      <c r="B54" s="153">
        <v>0.10199999999999999</v>
      </c>
      <c r="C54" s="156">
        <v>0.83599999999999997</v>
      </c>
      <c r="D54" s="156">
        <v>0.89600000000000002</v>
      </c>
      <c r="K54" s="161">
        <v>0.16</v>
      </c>
      <c r="L54" s="161">
        <v>0.01</v>
      </c>
      <c r="M54" s="161">
        <v>0.14000000000000001</v>
      </c>
      <c r="N54" s="164">
        <v>0.69</v>
      </c>
      <c r="O54" s="169"/>
    </row>
    <row r="55" spans="1:15" ht="16" thickTop="1">
      <c r="A55" s="102"/>
    </row>
    <row r="57" spans="1:15">
      <c r="A57" t="s">
        <v>489</v>
      </c>
      <c r="B57" t="s">
        <v>490</v>
      </c>
      <c r="C57" t="s">
        <v>491</v>
      </c>
    </row>
    <row r="58" spans="1:15" ht="17">
      <c r="A58" t="s">
        <v>492</v>
      </c>
      <c r="B58" s="128" t="s">
        <v>493</v>
      </c>
      <c r="C58" t="s">
        <v>494</v>
      </c>
      <c r="K58" s="129"/>
    </row>
    <row r="59" spans="1:15" ht="17">
      <c r="A59" t="s">
        <v>495</v>
      </c>
      <c r="B59" s="128" t="s">
        <v>496</v>
      </c>
      <c r="C59" s="129" t="s">
        <v>497</v>
      </c>
    </row>
    <row r="60" spans="1:15">
      <c r="M60" s="130"/>
      <c r="N60" s="131"/>
    </row>
    <row r="61" spans="1:15">
      <c r="A61" s="132"/>
      <c r="B61" s="133" t="s">
        <v>498</v>
      </c>
      <c r="C61" s="133" t="s">
        <v>499</v>
      </c>
      <c r="D61" s="133" t="s">
        <v>500</v>
      </c>
      <c r="E61" s="133" t="s">
        <v>55</v>
      </c>
      <c r="F61" s="133" t="s">
        <v>501</v>
      </c>
    </row>
    <row r="62" spans="1:15">
      <c r="A62" s="134" t="s">
        <v>502</v>
      </c>
      <c r="B62" s="135">
        <v>12.0107</v>
      </c>
      <c r="C62" s="135">
        <v>1.0079400000000001</v>
      </c>
      <c r="D62" s="135">
        <v>15.9994</v>
      </c>
      <c r="E62" s="135">
        <v>14.0067</v>
      </c>
      <c r="F62" s="135">
        <v>32.064999999999998</v>
      </c>
    </row>
    <row r="64" spans="1:15">
      <c r="A64" s="136"/>
      <c r="B64" s="137" t="s">
        <v>503</v>
      </c>
      <c r="C64" s="137" t="s">
        <v>504</v>
      </c>
      <c r="D64" s="137" t="s">
        <v>505</v>
      </c>
      <c r="E64" s="137" t="s">
        <v>506</v>
      </c>
      <c r="F64" s="138" t="s">
        <v>507</v>
      </c>
      <c r="G64" s="138" t="s">
        <v>508</v>
      </c>
      <c r="H64" s="139" t="s">
        <v>509</v>
      </c>
      <c r="I64" s="140" t="s">
        <v>510</v>
      </c>
      <c r="J64" s="141" t="s">
        <v>511</v>
      </c>
      <c r="K64" s="141" t="s">
        <v>512</v>
      </c>
      <c r="L64" s="141" t="s">
        <v>513</v>
      </c>
    </row>
    <row r="65" spans="1:14">
      <c r="A65" s="50" t="s">
        <v>489</v>
      </c>
      <c r="B65" s="142">
        <v>5</v>
      </c>
      <c r="C65" s="142">
        <v>7</v>
      </c>
      <c r="D65" s="142">
        <v>2</v>
      </c>
      <c r="E65" s="142">
        <v>1</v>
      </c>
      <c r="F65" s="142"/>
      <c r="G65" s="143">
        <f>carbon*B65+hydrogen*C65+oxygen*D65+nitrogen*E65+Sulfur*F65</f>
        <v>113.11458</v>
      </c>
      <c r="H65" s="130">
        <f>($B65/2+$C65/8-$D65/4-3/8*$E65-$F65/4)*22.4/(carbon*$B65+hydrogen*$C65+oxygen*$D65+nitrogen*$E65)*1000</f>
        <v>495.07322575038518</v>
      </c>
      <c r="I65" s="144">
        <f>H65/350</f>
        <v>1.4144949307153862</v>
      </c>
      <c r="J65" s="144">
        <f>carbon*B65/G65</f>
        <v>0.53090857076072773</v>
      </c>
      <c r="K65" s="143">
        <f>nitrogen*E65/G65</f>
        <v>0.12382753841281999</v>
      </c>
      <c r="L65" s="69">
        <f>350/H65</f>
        <v>0.706966125</v>
      </c>
    </row>
    <row r="66" spans="1:14">
      <c r="A66" s="50" t="s">
        <v>495</v>
      </c>
      <c r="B66" s="142">
        <v>6</v>
      </c>
      <c r="C66" s="142">
        <v>10</v>
      </c>
      <c r="D66" s="142">
        <v>5</v>
      </c>
      <c r="E66" s="142"/>
      <c r="F66" s="142"/>
      <c r="G66" s="143">
        <f>carbon*B66+hydrogen*C66+oxygen*D66+nitrogen*E66+Sulfur*F66</f>
        <v>162.14060000000001</v>
      </c>
      <c r="H66" s="130">
        <f>($B66/2+$C66/8-$D66/4-3/8*$E66-$F66/4)*22.4/(carbon*$B66+hydrogen*$C66+oxygen*$D66+nitrogen*$E66)*1000</f>
        <v>414.45510871428866</v>
      </c>
      <c r="I66" s="144">
        <f>H66/350</f>
        <v>1.1841574534693962</v>
      </c>
      <c r="J66" s="144">
        <f>carbon*B66/G66</f>
        <v>0.44445499769952745</v>
      </c>
      <c r="K66" s="143">
        <f>nitrogen*E66/G66</f>
        <v>0</v>
      </c>
      <c r="L66" s="69">
        <f>350/H66</f>
        <v>0.84448229166666677</v>
      </c>
    </row>
    <row r="67" spans="1:14">
      <c r="A67" s="50" t="s">
        <v>492</v>
      </c>
      <c r="B67" s="145">
        <v>57</v>
      </c>
      <c r="C67" s="142">
        <v>106</v>
      </c>
      <c r="D67" s="142">
        <v>6</v>
      </c>
      <c r="E67" s="142"/>
      <c r="F67" s="142"/>
      <c r="G67" s="143">
        <f>carbon*B67+hydrogen*C67+oxygen*D67+nitrogen*E67+Sulfur*F67</f>
        <v>887.44794000000002</v>
      </c>
      <c r="H67" s="130">
        <f>($B67/2+$C67/8-$D67/4-3/8*$E67-$F67/4)*22.4/(carbon*$B67+hydrogen*$C67+oxygen*$D67+nitrogen*$E67)*1000</f>
        <v>1015.9469185313561</v>
      </c>
      <c r="I67" s="144">
        <f>H67/350</f>
        <v>2.9027054815181605</v>
      </c>
      <c r="J67" s="144">
        <f>carbon*B67/G67</f>
        <v>0.77143668844394409</v>
      </c>
      <c r="K67" s="143">
        <f>nitrogen*E67/G67</f>
        <v>0</v>
      </c>
      <c r="L67" s="69">
        <f>350/H67</f>
        <v>0.34450618788819881</v>
      </c>
    </row>
    <row r="68" spans="1:14">
      <c r="A68" s="146" t="s">
        <v>514</v>
      </c>
      <c r="B68" s="142">
        <v>40</v>
      </c>
      <c r="C68" s="142">
        <v>46</v>
      </c>
      <c r="D68" s="142">
        <v>16</v>
      </c>
      <c r="E68" s="142"/>
      <c r="F68" s="142"/>
      <c r="G68" s="143">
        <f t="shared" ref="G68" si="1">carbon*B68+hydrogen*C68+oxygen*D68+nitrogen*E68+Sulfur*F68</f>
        <v>782.78363999999999</v>
      </c>
      <c r="H68" s="130">
        <f t="shared" ref="H68:H69" si="2">($B68/2+$C68/8-$D68/4-3/8*$E68-$F68/4)*22.4/(carbon*$B68+hydrogen*$C68+oxygen*$D68+nitrogen*$E68)*1000</f>
        <v>622.39420333312023</v>
      </c>
      <c r="I68" s="144">
        <f>H68/350</f>
        <v>1.7782691523803436</v>
      </c>
      <c r="J68" s="143"/>
      <c r="K68" s="143"/>
      <c r="L68" s="69">
        <f>350/H68</f>
        <v>0.56234456896551721</v>
      </c>
    </row>
    <row r="69" spans="1:14">
      <c r="A69" s="146" t="s">
        <v>515</v>
      </c>
      <c r="B69" s="147">
        <v>6</v>
      </c>
      <c r="C69" s="147">
        <v>12</v>
      </c>
      <c r="D69" s="147">
        <v>6</v>
      </c>
      <c r="E69" s="50"/>
      <c r="F69" s="50"/>
      <c r="G69" s="143">
        <f>carbon*B69+hydrogen*C69+oxygen*D69+nitrogen*E69+Sulfur*F69</f>
        <v>180.15588</v>
      </c>
      <c r="H69" s="130">
        <f t="shared" si="2"/>
        <v>373.01030640798393</v>
      </c>
      <c r="I69" s="144">
        <f>H69/350</f>
        <v>1.0657437325942398</v>
      </c>
      <c r="J69" s="143">
        <f>carbon*B69/G69</f>
        <v>0.40001025778342625</v>
      </c>
      <c r="K69" s="143">
        <f>nitrogen*E69/G69</f>
        <v>0</v>
      </c>
      <c r="L69" s="69">
        <f>350/H69</f>
        <v>0.93831187500000024</v>
      </c>
    </row>
    <row r="70" spans="1:14">
      <c r="A70" s="50"/>
      <c r="B70" s="142"/>
      <c r="C70" s="142"/>
      <c r="D70" s="142"/>
      <c r="E70" s="142"/>
      <c r="F70" s="142"/>
    </row>
    <row r="72" spans="1:14" ht="16" thickBot="1"/>
    <row r="73" spans="1:14" ht="17" thickTop="1" thickBot="1">
      <c r="A73" s="148" t="s">
        <v>516</v>
      </c>
      <c r="B73" s="149" t="s">
        <v>517</v>
      </c>
      <c r="C73" s="149" t="s">
        <v>518</v>
      </c>
      <c r="D73" s="149" t="s">
        <v>519</v>
      </c>
      <c r="E73" s="149" t="s">
        <v>520</v>
      </c>
      <c r="F73" s="149" t="s">
        <v>521</v>
      </c>
      <c r="G73" s="149" t="s">
        <v>522</v>
      </c>
      <c r="H73" s="149" t="s">
        <v>523</v>
      </c>
      <c r="I73" s="149"/>
      <c r="J73" s="149"/>
      <c r="K73" s="149" t="s">
        <v>524</v>
      </c>
      <c r="L73" s="149" t="s">
        <v>525</v>
      </c>
      <c r="M73" s="150" t="s">
        <v>526</v>
      </c>
      <c r="N73" s="150" t="s">
        <v>527</v>
      </c>
    </row>
    <row r="75" spans="1:14" ht="16" thickBot="1">
      <c r="A75" s="151" t="s">
        <v>528</v>
      </c>
      <c r="B75" s="152">
        <v>0.91600000000000004</v>
      </c>
      <c r="C75" s="152">
        <v>0.105</v>
      </c>
      <c r="D75" s="152">
        <v>0.29299999999999998</v>
      </c>
      <c r="E75" s="152">
        <v>7.6999999999999999E-2</v>
      </c>
      <c r="F75" s="152">
        <v>0.46600000000000003</v>
      </c>
      <c r="G75" s="152">
        <v>0.14299999999999999</v>
      </c>
      <c r="H75" s="152">
        <v>0.92700000000000005</v>
      </c>
      <c r="I75" s="152"/>
      <c r="J75" s="152"/>
      <c r="K75" s="152">
        <v>3.7999999999999999E-2</v>
      </c>
      <c r="L75" s="152">
        <v>0.92400000000000004</v>
      </c>
      <c r="M75" s="153">
        <v>0.309</v>
      </c>
      <c r="N75" s="153">
        <v>0.10199999999999999</v>
      </c>
    </row>
    <row r="76" spans="1:14" ht="16" thickBot="1">
      <c r="A76" s="154" t="s">
        <v>529</v>
      </c>
      <c r="B76" s="155">
        <v>0.97899999999999998</v>
      </c>
      <c r="C76" s="155">
        <v>0.90700000000000003</v>
      </c>
      <c r="D76" s="155">
        <v>0.99299999999999999</v>
      </c>
      <c r="E76" s="155">
        <v>0.93300000000000005</v>
      </c>
      <c r="F76" s="155">
        <v>0.97099999999999997</v>
      </c>
      <c r="G76" s="155">
        <v>1</v>
      </c>
      <c r="H76" s="155">
        <v>0.95</v>
      </c>
      <c r="I76" s="155"/>
      <c r="J76" s="155"/>
      <c r="K76" s="155">
        <v>0.90600000000000003</v>
      </c>
      <c r="L76" s="155">
        <v>0.97799999999999998</v>
      </c>
      <c r="M76" s="156">
        <v>0.97899999999999998</v>
      </c>
      <c r="N76" s="156">
        <v>0.83599999999999997</v>
      </c>
    </row>
    <row r="77" spans="1:14" ht="16" thickBot="1">
      <c r="A77" s="157" t="s">
        <v>530</v>
      </c>
      <c r="B77" s="158">
        <v>0.88900000000000001</v>
      </c>
      <c r="C77" s="155">
        <v>0.14299999999999999</v>
      </c>
      <c r="D77" s="155">
        <v>0.30299999999999999</v>
      </c>
      <c r="E77" s="155">
        <v>0.91100000000000003</v>
      </c>
      <c r="F77" s="155">
        <v>7.0999999999999994E-2</v>
      </c>
      <c r="G77" s="155">
        <v>3.4000000000000002E-2</v>
      </c>
      <c r="H77" s="155">
        <v>0.29099999999999998</v>
      </c>
      <c r="I77" s="155"/>
      <c r="J77" s="155"/>
      <c r="K77" s="155">
        <v>0.45200000000000001</v>
      </c>
      <c r="L77" s="155">
        <v>0.90400000000000003</v>
      </c>
      <c r="M77" s="156">
        <v>9.6000000000000002E-2</v>
      </c>
      <c r="N77" s="156">
        <v>0.89600000000000002</v>
      </c>
    </row>
    <row r="78" spans="1:14" ht="17" thickTop="1" thickBot="1">
      <c r="A78" s="159" t="s">
        <v>531</v>
      </c>
      <c r="B78" s="160">
        <v>0.03</v>
      </c>
      <c r="C78" s="160">
        <v>0.09</v>
      </c>
      <c r="D78" s="160">
        <v>0.01</v>
      </c>
      <c r="E78" s="160">
        <v>7.0000000000000007E-2</v>
      </c>
      <c r="F78" s="160">
        <v>0.03</v>
      </c>
      <c r="G78" s="160">
        <v>0</v>
      </c>
      <c r="H78" s="160">
        <v>0.05</v>
      </c>
      <c r="I78" s="160"/>
      <c r="J78" s="160"/>
      <c r="K78" s="160">
        <v>0.11</v>
      </c>
      <c r="L78" s="160">
        <v>0.02</v>
      </c>
      <c r="M78" s="161">
        <v>0.02</v>
      </c>
      <c r="N78" s="161">
        <v>0.16</v>
      </c>
    </row>
    <row r="79" spans="1:14" ht="17" thickTop="1" thickBot="1">
      <c r="A79" s="159" t="s">
        <v>532</v>
      </c>
      <c r="B79" s="189">
        <v>0.11</v>
      </c>
      <c r="C79" s="160">
        <v>0.02</v>
      </c>
      <c r="D79" s="160">
        <v>0.04</v>
      </c>
      <c r="E79" s="160">
        <v>0</v>
      </c>
      <c r="F79" s="160">
        <v>0.19</v>
      </c>
      <c r="G79" s="160">
        <v>0.03</v>
      </c>
      <c r="H79" s="160">
        <v>0.02</v>
      </c>
      <c r="I79" s="160"/>
      <c r="J79" s="160"/>
      <c r="K79" s="160">
        <v>0.02</v>
      </c>
      <c r="L79" s="160">
        <v>0.01</v>
      </c>
      <c r="M79" s="161">
        <v>0.05</v>
      </c>
      <c r="N79" s="161">
        <v>0.01</v>
      </c>
    </row>
    <row r="80" spans="1:14" ht="17" thickTop="1" thickBot="1">
      <c r="A80" s="159" t="s">
        <v>533</v>
      </c>
      <c r="B80" s="189">
        <v>0.1</v>
      </c>
      <c r="C80" s="160">
        <v>0.15</v>
      </c>
      <c r="D80" s="160">
        <v>0.17</v>
      </c>
      <c r="E80" s="160">
        <v>0.1</v>
      </c>
      <c r="F80" s="160">
        <v>0.18</v>
      </c>
      <c r="G80" s="160">
        <v>0.02</v>
      </c>
      <c r="H80" s="160">
        <v>0.11</v>
      </c>
      <c r="I80" s="160"/>
      <c r="J80" s="160"/>
      <c r="K80" s="160">
        <v>0.23</v>
      </c>
      <c r="L80" s="160">
        <v>0.12</v>
      </c>
      <c r="M80" s="161">
        <v>0.14000000000000001</v>
      </c>
      <c r="N80" s="161">
        <v>0.14000000000000001</v>
      </c>
    </row>
    <row r="81" spans="1:15" ht="17" thickTop="1" thickBot="1">
      <c r="A81" s="162" t="s">
        <v>534</v>
      </c>
      <c r="B81" s="190">
        <v>0.76</v>
      </c>
      <c r="C81" s="163">
        <v>0.74</v>
      </c>
      <c r="D81" s="163">
        <v>0.79</v>
      </c>
      <c r="E81" s="163">
        <v>0.82</v>
      </c>
      <c r="F81" s="163">
        <v>0.61</v>
      </c>
      <c r="G81" s="163">
        <v>0.82</v>
      </c>
      <c r="H81" s="163">
        <v>0.82</v>
      </c>
      <c r="I81" s="163"/>
      <c r="J81" s="163"/>
      <c r="K81" s="163">
        <v>0.66</v>
      </c>
      <c r="L81" s="163">
        <v>0.85</v>
      </c>
      <c r="M81" s="164">
        <v>0.79</v>
      </c>
      <c r="N81" s="164">
        <v>0.69</v>
      </c>
    </row>
    <row r="82" spans="1:15" ht="16" thickTop="1">
      <c r="A82" s="165" t="s">
        <v>535</v>
      </c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7">
        <v>0.54263731383696057</v>
      </c>
    </row>
    <row r="83" spans="1:15">
      <c r="A83" s="168" t="s">
        <v>536</v>
      </c>
      <c r="B83" s="169">
        <f t="shared" ref="B83:H83" si="3">B79*$J67</f>
        <v>8.4858035728833853E-2</v>
      </c>
      <c r="C83" s="169">
        <f t="shared" si="3"/>
        <v>1.5428733768878882E-2</v>
      </c>
      <c r="D83" s="169">
        <f t="shared" si="3"/>
        <v>3.0857467537757765E-2</v>
      </c>
      <c r="E83" s="169">
        <f t="shared" si="3"/>
        <v>0</v>
      </c>
      <c r="F83" s="169">
        <f t="shared" si="3"/>
        <v>0.14657297080434939</v>
      </c>
      <c r="G83" s="169">
        <f t="shared" si="3"/>
        <v>2.3143100653318323E-2</v>
      </c>
      <c r="H83" s="169">
        <f t="shared" si="3"/>
        <v>1.5428733768878882E-2</v>
      </c>
      <c r="I83" s="169"/>
      <c r="J83" s="169"/>
      <c r="K83" s="169">
        <f>K79*$J67</f>
        <v>1.5428733768878882E-2</v>
      </c>
      <c r="L83" s="169">
        <f>L79*$J67</f>
        <v>7.7143668844394412E-3</v>
      </c>
      <c r="M83" s="169">
        <f>M79*$J67</f>
        <v>3.8571834422197207E-2</v>
      </c>
      <c r="N83" s="169">
        <f>N79*$J67</f>
        <v>7.7143668844394412E-3</v>
      </c>
    </row>
    <row r="84" spans="1:15">
      <c r="A84" s="168" t="s">
        <v>537</v>
      </c>
      <c r="B84" s="169">
        <f t="shared" ref="B84:H84" si="4">B80*$J65</f>
        <v>5.3090857076072778E-2</v>
      </c>
      <c r="C84" s="169">
        <f t="shared" si="4"/>
        <v>7.9636285614109154E-2</v>
      </c>
      <c r="D84" s="169">
        <f t="shared" si="4"/>
        <v>9.025445702932372E-2</v>
      </c>
      <c r="E84" s="169">
        <f t="shared" si="4"/>
        <v>5.3090857076072778E-2</v>
      </c>
      <c r="F84" s="169">
        <f t="shared" si="4"/>
        <v>9.556354273693099E-2</v>
      </c>
      <c r="G84" s="169">
        <f t="shared" si="4"/>
        <v>1.0618171415214555E-2</v>
      </c>
      <c r="H84" s="169">
        <f t="shared" si="4"/>
        <v>5.8399942783680048E-2</v>
      </c>
      <c r="I84" s="169"/>
      <c r="J84" s="169"/>
      <c r="K84" s="169">
        <f>K80*$J65</f>
        <v>0.12210897127496738</v>
      </c>
      <c r="L84" s="169">
        <f>L80*$J65</f>
        <v>6.3709028491287331E-2</v>
      </c>
      <c r="M84" s="169">
        <f>M80*$J65</f>
        <v>7.4327199906501884E-2</v>
      </c>
      <c r="N84" s="169">
        <f>N80*$J65</f>
        <v>7.4327199906501884E-2</v>
      </c>
    </row>
    <row r="85" spans="1:15">
      <c r="A85" s="168" t="s">
        <v>538</v>
      </c>
      <c r="B85" s="169">
        <f t="shared" ref="B85:H85" si="5">$J66*B81</f>
        <v>0.33778579825164085</v>
      </c>
      <c r="C85" s="169">
        <f t="shared" si="5"/>
        <v>0.32889669829765034</v>
      </c>
      <c r="D85" s="169">
        <f t="shared" si="5"/>
        <v>0.35111944818262669</v>
      </c>
      <c r="E85" s="169">
        <f t="shared" si="5"/>
        <v>0.36445309811361248</v>
      </c>
      <c r="F85" s="169">
        <f t="shared" si="5"/>
        <v>0.27111754859671172</v>
      </c>
      <c r="G85" s="169">
        <f t="shared" si="5"/>
        <v>0.36445309811361248</v>
      </c>
      <c r="H85" s="169">
        <f t="shared" si="5"/>
        <v>0.36445309811361248</v>
      </c>
      <c r="I85" s="169"/>
      <c r="J85" s="169"/>
      <c r="K85" s="169">
        <f>$J66*K81</f>
        <v>0.29334029848168813</v>
      </c>
      <c r="L85" s="169">
        <f>$J66*L81</f>
        <v>0.37778674804459833</v>
      </c>
      <c r="M85" s="169">
        <f>$J66*M81</f>
        <v>0.35111944818262669</v>
      </c>
      <c r="N85" s="169">
        <f>$J66*N81</f>
        <v>0.30667394841267392</v>
      </c>
    </row>
    <row r="86" spans="1:15">
      <c r="A86" s="168" t="s">
        <v>539</v>
      </c>
      <c r="B86" s="169">
        <f>SUM(B83:B85)</f>
        <v>0.47573469105654748</v>
      </c>
      <c r="C86" s="169">
        <f t="shared" ref="C86:N86" si="6">SUM(C83:C85)</f>
        <v>0.42396171768063839</v>
      </c>
      <c r="D86" s="169">
        <f t="shared" si="6"/>
        <v>0.47223137274970817</v>
      </c>
      <c r="E86" s="169">
        <f t="shared" si="6"/>
        <v>0.41754395518968523</v>
      </c>
      <c r="F86" s="169">
        <f t="shared" si="6"/>
        <v>0.51325406213799207</v>
      </c>
      <c r="G86" s="169">
        <f t="shared" si="6"/>
        <v>0.39821437018214534</v>
      </c>
      <c r="H86" s="169">
        <f t="shared" si="6"/>
        <v>0.43828177466617141</v>
      </c>
      <c r="I86" s="169"/>
      <c r="J86" s="169"/>
      <c r="K86" s="169">
        <f t="shared" si="6"/>
        <v>0.4308780035255344</v>
      </c>
      <c r="L86" s="169">
        <f t="shared" si="6"/>
        <v>0.44921014342032511</v>
      </c>
      <c r="M86" s="169">
        <f t="shared" si="6"/>
        <v>0.46401848251132577</v>
      </c>
      <c r="N86" s="169">
        <f t="shared" si="6"/>
        <v>0.38871551520361525</v>
      </c>
      <c r="O86" s="169">
        <f>(1-N82)*N86*N76</f>
        <v>0.14862740074814412</v>
      </c>
    </row>
    <row r="87" spans="1:15">
      <c r="A87" s="168" t="s">
        <v>540</v>
      </c>
      <c r="B87" s="188">
        <f>B86*B75</f>
        <v>0.43577297700779749</v>
      </c>
      <c r="C87" s="169">
        <f>C86*C75</f>
        <v>4.4515980356467033E-2</v>
      </c>
      <c r="D87" s="169">
        <f t="shared" ref="D87:N87" si="7">D86*D75</f>
        <v>0.13836379221566447</v>
      </c>
      <c r="E87" s="169">
        <f t="shared" si="7"/>
        <v>3.2150884549605761E-2</v>
      </c>
      <c r="F87" s="169">
        <f t="shared" si="7"/>
        <v>0.23917639295630433</v>
      </c>
      <c r="G87" s="169">
        <f t="shared" si="7"/>
        <v>5.6944654936046779E-2</v>
      </c>
      <c r="H87" s="169">
        <f t="shared" si="7"/>
        <v>0.40628720511554089</v>
      </c>
      <c r="I87" s="169"/>
      <c r="J87" s="169"/>
      <c r="K87" s="169">
        <f t="shared" si="7"/>
        <v>1.6373364133970308E-2</v>
      </c>
      <c r="L87" s="169">
        <f t="shared" si="7"/>
        <v>0.41507017252038042</v>
      </c>
      <c r="M87" s="169">
        <f t="shared" si="7"/>
        <v>0.14338171109599965</v>
      </c>
      <c r="N87" s="169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158</v>
      </c>
      <c r="K2" s="72"/>
      <c r="L2" s="70"/>
      <c r="M2" s="70"/>
    </row>
    <row r="3" spans="1:14">
      <c r="B3" t="s">
        <v>163</v>
      </c>
      <c r="C3" t="s">
        <v>164</v>
      </c>
      <c r="D3" t="s">
        <v>159</v>
      </c>
      <c r="F3" t="s">
        <v>160</v>
      </c>
      <c r="K3" s="71"/>
      <c r="L3" s="70"/>
      <c r="M3" s="70"/>
      <c r="N3" s="6"/>
    </row>
    <row r="4" spans="1:14">
      <c r="A4" t="s">
        <v>161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162</v>
      </c>
      <c r="B5">
        <v>4.62</v>
      </c>
      <c r="C5">
        <v>0.107</v>
      </c>
      <c r="D5">
        <f>B5/C5</f>
        <v>43.177570093457945</v>
      </c>
    </row>
    <row r="6" spans="1:14">
      <c r="A6" t="s">
        <v>165</v>
      </c>
      <c r="B6">
        <f>B4-B5</f>
        <v>0.37999999999999989</v>
      </c>
      <c r="C6">
        <f>C4-C5</f>
        <v>0.193</v>
      </c>
    </row>
    <row r="10" spans="1:14">
      <c r="A10" t="s">
        <v>283</v>
      </c>
      <c r="F10" t="s">
        <v>770</v>
      </c>
    </row>
    <row r="11" spans="1:14">
      <c r="A11" t="s">
        <v>284</v>
      </c>
      <c r="B11" t="s">
        <v>173</v>
      </c>
      <c r="C11" t="s">
        <v>174</v>
      </c>
      <c r="D11" t="s">
        <v>175</v>
      </c>
      <c r="E11" t="s">
        <v>166</v>
      </c>
      <c r="F11" t="s">
        <v>171</v>
      </c>
      <c r="G11" t="s">
        <v>167</v>
      </c>
      <c r="H11" t="s">
        <v>176</v>
      </c>
      <c r="I11" t="s">
        <v>169</v>
      </c>
      <c r="J11" t="s">
        <v>177</v>
      </c>
      <c r="K11" t="s">
        <v>178</v>
      </c>
    </row>
    <row r="12" spans="1:14">
      <c r="A12" t="s">
        <v>285</v>
      </c>
      <c r="B12">
        <v>10</v>
      </c>
      <c r="C12" t="s">
        <v>179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</row>
    <row r="13" spans="1:14">
      <c r="A13" t="s">
        <v>188</v>
      </c>
      <c r="B13">
        <v>13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</row>
    <row r="14" spans="1:14">
      <c r="A14" t="s">
        <v>286</v>
      </c>
      <c r="B14">
        <v>14.2</v>
      </c>
      <c r="C14" t="s">
        <v>198</v>
      </c>
      <c r="D14" t="s">
        <v>199</v>
      </c>
      <c r="E14" t="s">
        <v>200</v>
      </c>
      <c r="F14" t="s">
        <v>201</v>
      </c>
      <c r="G14" t="s">
        <v>202</v>
      </c>
      <c r="H14" t="s">
        <v>203</v>
      </c>
      <c r="I14" t="s">
        <v>204</v>
      </c>
      <c r="J14" t="s">
        <v>205</v>
      </c>
      <c r="K14" t="s">
        <v>206</v>
      </c>
    </row>
    <row r="15" spans="1:14">
      <c r="A15" t="s">
        <v>287</v>
      </c>
      <c r="B15">
        <v>10</v>
      </c>
      <c r="C15" t="s">
        <v>207</v>
      </c>
      <c r="D15" t="s">
        <v>208</v>
      </c>
      <c r="E15" t="s">
        <v>209</v>
      </c>
      <c r="F15" t="s">
        <v>210</v>
      </c>
      <c r="G15" t="s">
        <v>211</v>
      </c>
      <c r="H15" t="s">
        <v>212</v>
      </c>
      <c r="I15" t="s">
        <v>213</v>
      </c>
      <c r="J15" t="s">
        <v>214</v>
      </c>
      <c r="K15" t="s">
        <v>189</v>
      </c>
    </row>
    <row r="16" spans="1:14">
      <c r="A16" t="s">
        <v>288</v>
      </c>
      <c r="B16">
        <v>13.5</v>
      </c>
      <c r="C16" t="s">
        <v>215</v>
      </c>
      <c r="D16" t="s">
        <v>216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  <c r="K16" t="s">
        <v>223</v>
      </c>
    </row>
    <row r="17" spans="1:11">
      <c r="A17" t="s">
        <v>289</v>
      </c>
      <c r="B17">
        <v>8.8000000000000007</v>
      </c>
      <c r="C17" t="s">
        <v>224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  <c r="K17" t="s">
        <v>232</v>
      </c>
    </row>
    <row r="18" spans="1:11">
      <c r="A18" t="s">
        <v>290</v>
      </c>
      <c r="B18">
        <v>13.8</v>
      </c>
      <c r="C18" t="s">
        <v>233</v>
      </c>
      <c r="D18" t="s">
        <v>234</v>
      </c>
      <c r="E18" t="s">
        <v>235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</row>
    <row r="19" spans="1:11">
      <c r="A19" t="s">
        <v>291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294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244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292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245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246</v>
      </c>
      <c r="H23" t="s">
        <v>246</v>
      </c>
      <c r="I23" t="s">
        <v>246</v>
      </c>
      <c r="J23" t="s">
        <v>246</v>
      </c>
      <c r="K23" t="s">
        <v>246</v>
      </c>
    </row>
    <row r="24" spans="1:11">
      <c r="A24" t="s">
        <v>293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338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172</v>
      </c>
      <c r="B27" t="s">
        <v>173</v>
      </c>
      <c r="C27" t="s">
        <v>174</v>
      </c>
      <c r="D27" t="s">
        <v>175</v>
      </c>
      <c r="E27" t="s">
        <v>166</v>
      </c>
      <c r="F27" t="s">
        <v>171</v>
      </c>
      <c r="G27" t="s">
        <v>167</v>
      </c>
      <c r="H27" t="s">
        <v>176</v>
      </c>
      <c r="I27" t="s">
        <v>169</v>
      </c>
      <c r="J27" t="s">
        <v>177</v>
      </c>
      <c r="K27" t="s">
        <v>178</v>
      </c>
    </row>
    <row r="28" spans="1:11">
      <c r="A28" t="s">
        <v>295</v>
      </c>
      <c r="B28">
        <v>14.1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  <c r="H28" t="s">
        <v>252</v>
      </c>
      <c r="I28" t="s">
        <v>253</v>
      </c>
      <c r="J28" t="s">
        <v>254</v>
      </c>
      <c r="K28" t="s">
        <v>255</v>
      </c>
    </row>
    <row r="29" spans="1:11">
      <c r="A29" t="s">
        <v>296</v>
      </c>
      <c r="B29">
        <v>9.5</v>
      </c>
      <c r="C29" t="s">
        <v>256</v>
      </c>
      <c r="D29" t="s">
        <v>257</v>
      </c>
      <c r="E29" t="s">
        <v>258</v>
      </c>
      <c r="F29" t="s">
        <v>259</v>
      </c>
      <c r="G29" t="s">
        <v>260</v>
      </c>
      <c r="H29" t="s">
        <v>261</v>
      </c>
      <c r="I29" t="s">
        <v>262</v>
      </c>
      <c r="J29" t="s">
        <v>263</v>
      </c>
      <c r="K29" t="s">
        <v>264</v>
      </c>
    </row>
    <row r="30" spans="1:11">
      <c r="A30" t="s">
        <v>297</v>
      </c>
      <c r="B30">
        <v>9.5</v>
      </c>
      <c r="C30" t="s">
        <v>265</v>
      </c>
      <c r="D30" t="s">
        <v>266</v>
      </c>
      <c r="E30" t="s">
        <v>267</v>
      </c>
      <c r="F30" t="s">
        <v>268</v>
      </c>
      <c r="G30" t="s">
        <v>269</v>
      </c>
      <c r="H30" t="s">
        <v>270</v>
      </c>
      <c r="I30" t="s">
        <v>271</v>
      </c>
      <c r="J30" t="s">
        <v>272</v>
      </c>
      <c r="K30" t="s">
        <v>273</v>
      </c>
    </row>
    <row r="31" spans="1:11">
      <c r="A31" t="s">
        <v>298</v>
      </c>
      <c r="B31">
        <v>11.85</v>
      </c>
      <c r="C31" t="s">
        <v>274</v>
      </c>
      <c r="D31" t="s">
        <v>275</v>
      </c>
      <c r="E31" t="s">
        <v>276</v>
      </c>
      <c r="F31" t="s">
        <v>250</v>
      </c>
      <c r="G31" t="s">
        <v>277</v>
      </c>
      <c r="H31" t="s">
        <v>278</v>
      </c>
      <c r="I31" t="s">
        <v>279</v>
      </c>
      <c r="J31" t="s">
        <v>280</v>
      </c>
      <c r="K31" t="s">
        <v>281</v>
      </c>
    </row>
    <row r="32" spans="1:11">
      <c r="A32" t="s">
        <v>242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170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282</v>
      </c>
    </row>
    <row r="34" spans="1:19">
      <c r="A34" t="s">
        <v>299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332</v>
      </c>
      <c r="B35">
        <v>35</v>
      </c>
      <c r="C35">
        <v>7.9</v>
      </c>
      <c r="D35">
        <v>92.1</v>
      </c>
      <c r="E35" t="s">
        <v>301</v>
      </c>
      <c r="F35" t="s">
        <v>302</v>
      </c>
      <c r="G35" t="s">
        <v>303</v>
      </c>
      <c r="H35" t="s">
        <v>304</v>
      </c>
      <c r="I35" t="s">
        <v>305</v>
      </c>
      <c r="J35" t="s">
        <v>306</v>
      </c>
      <c r="K35">
        <v>54</v>
      </c>
    </row>
    <row r="36" spans="1:19">
      <c r="A36" t="s">
        <v>307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246</v>
      </c>
    </row>
    <row r="37" spans="1:19">
      <c r="A37" t="s">
        <v>333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334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378</v>
      </c>
      <c r="R38" s="1" t="s">
        <v>379</v>
      </c>
    </row>
    <row r="39" spans="1:19">
      <c r="A39" t="s">
        <v>300</v>
      </c>
      <c r="L39">
        <v>89</v>
      </c>
      <c r="M39">
        <f t="shared" ref="M39:M46" si="0">K46*L39/(K$46*L$39)</f>
        <v>1</v>
      </c>
      <c r="N39" t="s">
        <v>339</v>
      </c>
      <c r="O39">
        <v>88</v>
      </c>
      <c r="P39">
        <v>88</v>
      </c>
      <c r="Q39">
        <f>O39*P39/(O$39*P$39)</f>
        <v>1</v>
      </c>
    </row>
    <row r="40" spans="1:19">
      <c r="A40" t="s">
        <v>335</v>
      </c>
      <c r="B40">
        <v>9.4</v>
      </c>
      <c r="C40" t="s">
        <v>308</v>
      </c>
      <c r="D40" t="s">
        <v>309</v>
      </c>
      <c r="E40" t="s">
        <v>310</v>
      </c>
      <c r="F40" t="s">
        <v>311</v>
      </c>
      <c r="G40" t="s">
        <v>312</v>
      </c>
      <c r="H40" t="s">
        <v>313</v>
      </c>
      <c r="I40" t="s">
        <v>314</v>
      </c>
      <c r="J40" t="s">
        <v>267</v>
      </c>
      <c r="K40" t="s">
        <v>315</v>
      </c>
      <c r="L40">
        <v>70</v>
      </c>
      <c r="M40" s="61">
        <f t="shared" si="0"/>
        <v>0.18506278916060806</v>
      </c>
      <c r="N40" t="s">
        <v>168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336</v>
      </c>
      <c r="B41">
        <v>12.6</v>
      </c>
      <c r="C41" t="s">
        <v>232</v>
      </c>
      <c r="D41" t="s">
        <v>316</v>
      </c>
      <c r="E41" t="s">
        <v>317</v>
      </c>
      <c r="F41" t="s">
        <v>318</v>
      </c>
      <c r="G41" t="s">
        <v>319</v>
      </c>
      <c r="H41" t="s">
        <v>320</v>
      </c>
      <c r="I41" t="s">
        <v>321</v>
      </c>
      <c r="J41" t="s">
        <v>322</v>
      </c>
      <c r="K41" t="s">
        <v>323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337</v>
      </c>
      <c r="B42">
        <v>10.5</v>
      </c>
      <c r="C42" t="s">
        <v>324</v>
      </c>
      <c r="D42" t="s">
        <v>325</v>
      </c>
      <c r="E42" t="s">
        <v>324</v>
      </c>
      <c r="F42" t="s">
        <v>326</v>
      </c>
      <c r="G42" t="s">
        <v>327</v>
      </c>
      <c r="H42" t="s">
        <v>328</v>
      </c>
      <c r="I42" t="s">
        <v>329</v>
      </c>
      <c r="J42" t="s">
        <v>330</v>
      </c>
      <c r="K42" t="s">
        <v>331</v>
      </c>
      <c r="L42">
        <v>89</v>
      </c>
      <c r="M42" s="61">
        <f t="shared" si="0"/>
        <v>1.0352941176470589</v>
      </c>
      <c r="N42" t="s">
        <v>340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242</v>
      </c>
      <c r="B43" t="s">
        <v>243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344</v>
      </c>
      <c r="Q43" s="61">
        <f>O43*P43/(O$39*P$39)</f>
        <v>0</v>
      </c>
    </row>
    <row r="44" spans="1:19">
      <c r="B44" t="s">
        <v>373</v>
      </c>
      <c r="L44">
        <v>69</v>
      </c>
      <c r="M44" s="61">
        <f t="shared" si="0"/>
        <v>5.4725710508922672E-2</v>
      </c>
      <c r="N44" t="s">
        <v>345</v>
      </c>
      <c r="Q44" s="61">
        <f>O44*P44/(O$39*P$39)</f>
        <v>0</v>
      </c>
    </row>
    <row r="45" spans="1:19" ht="60">
      <c r="A45" s="1"/>
      <c r="B45" s="1" t="s">
        <v>341</v>
      </c>
      <c r="C45" s="1" t="s">
        <v>342</v>
      </c>
      <c r="D45" s="1" t="s">
        <v>343</v>
      </c>
      <c r="E45" s="1"/>
      <c r="F45" s="68" t="s">
        <v>372</v>
      </c>
      <c r="G45" s="1"/>
      <c r="H45" s="1"/>
      <c r="I45" s="1"/>
      <c r="J45" s="7" t="s">
        <v>375</v>
      </c>
      <c r="K45" s="7"/>
      <c r="L45">
        <v>81</v>
      </c>
      <c r="M45" s="61">
        <f t="shared" si="0"/>
        <v>0.24626569729015202</v>
      </c>
    </row>
    <row r="46" spans="1:19">
      <c r="A46" t="s">
        <v>339</v>
      </c>
      <c r="B46">
        <v>88.1</v>
      </c>
      <c r="C46">
        <v>88</v>
      </c>
      <c r="D46">
        <f t="shared" ref="D46:D51" si="1">B46*C46/(B$46*C$46)</f>
        <v>1</v>
      </c>
      <c r="F46" t="s">
        <v>339</v>
      </c>
      <c r="G46">
        <v>88</v>
      </c>
      <c r="H46">
        <v>88</v>
      </c>
      <c r="I46">
        <f>G46*H46/(G$46*H$46)</f>
        <v>1</v>
      </c>
      <c r="J46" t="s">
        <v>339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168</v>
      </c>
      <c r="B47">
        <v>35.9</v>
      </c>
      <c r="C47">
        <v>57.1</v>
      </c>
      <c r="D47" s="61">
        <f t="shared" si="1"/>
        <v>0.26440640800742959</v>
      </c>
      <c r="F47" t="s">
        <v>168</v>
      </c>
      <c r="G47">
        <v>22</v>
      </c>
      <c r="H47">
        <v>68.900000000000006</v>
      </c>
      <c r="I47" s="61">
        <f>G47*H47/(G$46*H$46)</f>
        <v>0.19573863636363639</v>
      </c>
      <c r="J47" t="s">
        <v>168</v>
      </c>
      <c r="K47">
        <v>20</v>
      </c>
    </row>
    <row r="48" spans="1:19">
      <c r="A48" s="60" t="s">
        <v>346</v>
      </c>
      <c r="B48" s="59">
        <v>20.8</v>
      </c>
      <c r="C48" s="59">
        <v>80.3</v>
      </c>
      <c r="D48" s="67">
        <f t="shared" si="1"/>
        <v>0.21543700340522137</v>
      </c>
      <c r="F48" s="60" t="s">
        <v>346</v>
      </c>
      <c r="J48" s="60" t="s">
        <v>53</v>
      </c>
      <c r="K48">
        <v>7</v>
      </c>
    </row>
    <row r="49" spans="1:11">
      <c r="A49" t="s">
        <v>340</v>
      </c>
      <c r="B49">
        <v>84.7</v>
      </c>
      <c r="C49">
        <v>93</v>
      </c>
      <c r="D49" s="61">
        <f t="shared" si="1"/>
        <v>1.0160329171396143</v>
      </c>
      <c r="F49" t="s">
        <v>340</v>
      </c>
      <c r="G49">
        <v>92</v>
      </c>
      <c r="H49">
        <v>89</v>
      </c>
      <c r="I49" s="61">
        <f>G49*H49/(G$46*H$46)</f>
        <v>1.0573347107438016</v>
      </c>
      <c r="J49" t="s">
        <v>340</v>
      </c>
      <c r="K49">
        <v>88</v>
      </c>
    </row>
    <row r="50" spans="1:11">
      <c r="A50" s="62" t="s">
        <v>344</v>
      </c>
      <c r="D50" s="61">
        <f t="shared" si="1"/>
        <v>0</v>
      </c>
      <c r="F50" s="62" t="s">
        <v>344</v>
      </c>
      <c r="G50">
        <v>90</v>
      </c>
      <c r="H50">
        <v>33</v>
      </c>
      <c r="I50" s="61">
        <f>G50*H50/(G$46*H$46)</f>
        <v>0.38352272727272729</v>
      </c>
      <c r="J50" s="62" t="s">
        <v>344</v>
      </c>
    </row>
    <row r="51" spans="1:11">
      <c r="A51" t="s">
        <v>345</v>
      </c>
      <c r="B51">
        <v>65.5</v>
      </c>
      <c r="C51">
        <v>24.7</v>
      </c>
      <c r="D51" s="61">
        <f t="shared" si="1"/>
        <v>0.20867944484573317</v>
      </c>
      <c r="F51" t="s">
        <v>345</v>
      </c>
      <c r="I51" s="61">
        <f>G51*H51/(G$46*H$46)</f>
        <v>0</v>
      </c>
      <c r="J51" t="s">
        <v>345</v>
      </c>
      <c r="K51">
        <v>6</v>
      </c>
    </row>
    <row r="52" spans="1:11">
      <c r="J52" t="s">
        <v>376</v>
      </c>
      <c r="K52">
        <v>23</v>
      </c>
    </row>
    <row r="53" spans="1:11">
      <c r="J53" t="s">
        <v>377</v>
      </c>
      <c r="K53">
        <v>5</v>
      </c>
    </row>
    <row r="54" spans="1:11">
      <c r="J54" t="s">
        <v>374</v>
      </c>
    </row>
    <row r="60" spans="1:11">
      <c r="A60" s="63" t="s">
        <v>347</v>
      </c>
      <c r="B60" s="63" t="s">
        <v>348</v>
      </c>
      <c r="C60" s="63" t="s">
        <v>349</v>
      </c>
      <c r="D60" s="63" t="s">
        <v>350</v>
      </c>
    </row>
    <row r="61" spans="1:11">
      <c r="A61" s="64" t="s">
        <v>351</v>
      </c>
      <c r="B61" s="64">
        <v>91</v>
      </c>
      <c r="C61" s="64">
        <v>75</v>
      </c>
      <c r="D61" s="64">
        <v>85</v>
      </c>
    </row>
    <row r="62" spans="1:11">
      <c r="A62" s="64" t="s">
        <v>352</v>
      </c>
      <c r="B62" s="65">
        <v>90</v>
      </c>
      <c r="C62" s="65">
        <v>84</v>
      </c>
      <c r="D62" s="65">
        <v>95</v>
      </c>
    </row>
    <row r="63" spans="1:11">
      <c r="A63" s="64" t="s">
        <v>353</v>
      </c>
      <c r="B63" s="65">
        <v>89</v>
      </c>
      <c r="C63" s="65">
        <v>77</v>
      </c>
      <c r="D63" s="65" t="s">
        <v>354</v>
      </c>
    </row>
    <row r="64" spans="1:11">
      <c r="A64" s="64" t="s">
        <v>355</v>
      </c>
      <c r="B64" s="65">
        <v>12</v>
      </c>
      <c r="C64" s="65">
        <v>83</v>
      </c>
      <c r="D64" s="65">
        <v>94</v>
      </c>
    </row>
    <row r="65" spans="1:4">
      <c r="A65" s="64" t="s">
        <v>356</v>
      </c>
      <c r="B65" s="65">
        <v>30</v>
      </c>
      <c r="C65" s="65">
        <v>72</v>
      </c>
      <c r="D65" s="65">
        <v>82</v>
      </c>
    </row>
    <row r="66" spans="1:4">
      <c r="A66" s="64" t="s">
        <v>357</v>
      </c>
      <c r="B66" s="65">
        <v>87</v>
      </c>
      <c r="C66" s="65">
        <v>79</v>
      </c>
      <c r="D66" s="65">
        <v>90</v>
      </c>
    </row>
    <row r="67" spans="1:4">
      <c r="A67" s="64" t="s">
        <v>358</v>
      </c>
      <c r="B67" s="65">
        <v>22</v>
      </c>
      <c r="C67" s="65">
        <v>72</v>
      </c>
      <c r="D67" s="65">
        <v>82</v>
      </c>
    </row>
    <row r="68" spans="1:4">
      <c r="A68" s="64" t="s">
        <v>359</v>
      </c>
      <c r="B68" s="278">
        <v>90</v>
      </c>
      <c r="C68" s="278">
        <v>87</v>
      </c>
      <c r="D68" s="278">
        <v>99</v>
      </c>
    </row>
    <row r="69" spans="1:4">
      <c r="A69" s="64" t="s">
        <v>360</v>
      </c>
      <c r="B69" s="278"/>
      <c r="C69" s="278"/>
      <c r="D69" s="278"/>
    </row>
    <row r="70" spans="1:4">
      <c r="A70" s="64" t="s">
        <v>361</v>
      </c>
      <c r="B70" s="65">
        <v>99</v>
      </c>
      <c r="C70" s="65">
        <v>195</v>
      </c>
      <c r="D70" s="65">
        <v>222</v>
      </c>
    </row>
    <row r="71" spans="1:4">
      <c r="A71" s="64" t="s">
        <v>362</v>
      </c>
      <c r="B71" s="65">
        <v>92</v>
      </c>
      <c r="C71" s="65">
        <v>73</v>
      </c>
      <c r="D71" s="65">
        <v>83</v>
      </c>
    </row>
    <row r="72" spans="1:4">
      <c r="A72" s="64" t="s">
        <v>363</v>
      </c>
      <c r="B72" s="65">
        <v>93</v>
      </c>
      <c r="C72" s="65">
        <v>40</v>
      </c>
      <c r="D72" s="65">
        <v>45</v>
      </c>
    </row>
    <row r="73" spans="1:4">
      <c r="A73" s="64" t="s">
        <v>364</v>
      </c>
      <c r="B73" s="65">
        <v>89</v>
      </c>
      <c r="C73" s="65">
        <v>86</v>
      </c>
      <c r="D73" s="65">
        <v>98</v>
      </c>
    </row>
    <row r="74" spans="1:4">
      <c r="A74" s="64" t="s">
        <v>365</v>
      </c>
      <c r="B74" s="65">
        <v>21</v>
      </c>
      <c r="C74" s="65">
        <v>80</v>
      </c>
      <c r="D74" s="65">
        <v>91</v>
      </c>
    </row>
    <row r="75" spans="1:4">
      <c r="A75" s="64" t="s">
        <v>366</v>
      </c>
      <c r="B75" s="65">
        <v>14</v>
      </c>
      <c r="C75" s="65">
        <v>78</v>
      </c>
      <c r="D75" s="65">
        <v>89</v>
      </c>
    </row>
    <row r="76" spans="1:4">
      <c r="A76" s="64" t="s">
        <v>367</v>
      </c>
      <c r="B76" s="65">
        <v>90</v>
      </c>
      <c r="C76" s="65">
        <v>75</v>
      </c>
      <c r="D76" s="65" t="s">
        <v>368</v>
      </c>
    </row>
    <row r="77" spans="1:4">
      <c r="A77" s="64" t="s">
        <v>369</v>
      </c>
      <c r="B77" s="65">
        <v>10</v>
      </c>
      <c r="C77" s="65">
        <v>75</v>
      </c>
      <c r="D77" s="65">
        <v>85</v>
      </c>
    </row>
    <row r="78" spans="1:4">
      <c r="A78" s="64" t="s">
        <v>370</v>
      </c>
      <c r="B78" s="65">
        <v>90</v>
      </c>
      <c r="C78" s="65">
        <v>70</v>
      </c>
      <c r="D78" s="65">
        <v>80</v>
      </c>
    </row>
    <row r="79" spans="1:4">
      <c r="A79" s="64" t="s">
        <v>371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/>
  </sheetViews>
  <sheetFormatPr baseColWidth="10" defaultColWidth="11" defaultRowHeight="15" x14ac:dyDescent="0"/>
  <sheetData>
    <row r="2" spans="1:9">
      <c r="A2" t="s">
        <v>148</v>
      </c>
      <c r="F2" t="s">
        <v>151</v>
      </c>
    </row>
    <row r="3" spans="1:9">
      <c r="A3" t="s">
        <v>149</v>
      </c>
      <c r="B3" t="s">
        <v>150</v>
      </c>
      <c r="G3" t="s">
        <v>150</v>
      </c>
    </row>
    <row r="4" spans="1:9">
      <c r="A4">
        <v>7.6</v>
      </c>
      <c r="B4">
        <v>134.5</v>
      </c>
      <c r="C4" s="53">
        <f>A4/B4</f>
        <v>5.6505576208178435E-2</v>
      </c>
      <c r="D4" t="s">
        <v>146</v>
      </c>
      <c r="F4">
        <v>7.6</v>
      </c>
      <c r="G4">
        <v>134.5</v>
      </c>
      <c r="H4" s="53">
        <f>F4/G4</f>
        <v>5.6505576208178435E-2</v>
      </c>
      <c r="I4" t="s">
        <v>146</v>
      </c>
    </row>
    <row r="5" spans="1:9">
      <c r="A5">
        <v>0.5</v>
      </c>
      <c r="B5">
        <v>100</v>
      </c>
      <c r="C5" s="53">
        <f>A5/B5</f>
        <v>5.0000000000000001E-3</v>
      </c>
      <c r="D5" t="s">
        <v>145</v>
      </c>
      <c r="F5">
        <v>1.8</v>
      </c>
      <c r="G5">
        <v>113</v>
      </c>
      <c r="H5" s="53">
        <f>F5/G5</f>
        <v>1.5929203539823009E-2</v>
      </c>
      <c r="I5" t="s">
        <v>152</v>
      </c>
    </row>
    <row r="6" spans="1:9">
      <c r="A6">
        <v>21.5</v>
      </c>
      <c r="B6">
        <v>365</v>
      </c>
      <c r="C6" s="53">
        <f>A6/B6</f>
        <v>5.8904109589041097E-2</v>
      </c>
      <c r="D6" t="s">
        <v>144</v>
      </c>
      <c r="F6">
        <v>12.3</v>
      </c>
      <c r="G6">
        <v>130</v>
      </c>
      <c r="H6" s="53">
        <f>F6/G6</f>
        <v>9.4615384615384615E-2</v>
      </c>
      <c r="I6" t="s">
        <v>153</v>
      </c>
    </row>
    <row r="7" spans="1:9">
      <c r="A7">
        <v>0.24</v>
      </c>
      <c r="B7">
        <v>190</v>
      </c>
      <c r="C7" s="53">
        <f>A7/B7</f>
        <v>1.2631578947368421E-3</v>
      </c>
      <c r="D7" t="s">
        <v>147</v>
      </c>
      <c r="H7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14" sqref="A14:XFD14"/>
    </sheetView>
  </sheetViews>
  <sheetFormatPr baseColWidth="10" defaultRowHeight="15" x14ac:dyDescent="0"/>
  <cols>
    <col min="1" max="1" width="49.1640625" customWidth="1"/>
    <col min="2" max="2" width="15.5" customWidth="1"/>
    <col min="3" max="3" width="19.6640625" customWidth="1"/>
    <col min="5" max="5" width="20.33203125" customWidth="1"/>
    <col min="6" max="6" width="15.33203125" customWidth="1"/>
    <col min="7" max="7" width="22.83203125" customWidth="1"/>
    <col min="9" max="9" width="21.1640625" customWidth="1"/>
    <col min="10" max="10" width="76.1640625" customWidth="1"/>
  </cols>
  <sheetData>
    <row r="1" spans="1:10">
      <c r="A1" t="s">
        <v>665</v>
      </c>
      <c r="B1" t="s">
        <v>14</v>
      </c>
      <c r="C1" t="s">
        <v>836</v>
      </c>
      <c r="D1" t="s">
        <v>773</v>
      </c>
      <c r="E1" t="s">
        <v>837</v>
      </c>
      <c r="F1" t="s">
        <v>838</v>
      </c>
      <c r="G1" t="s">
        <v>2</v>
      </c>
      <c r="I1" t="s">
        <v>2</v>
      </c>
      <c r="J1" t="s">
        <v>771</v>
      </c>
    </row>
    <row r="2" spans="1:10" s="59" customFormat="1">
      <c r="A2" s="59" t="s">
        <v>791</v>
      </c>
    </row>
    <row r="3" spans="1:10">
      <c r="A3" t="str">
        <f>Parameters!A7</f>
        <v>Provision of diesel</v>
      </c>
      <c r="B3" t="str">
        <f>Parameters!B7</f>
        <v>kgCO2e/L diesel</v>
      </c>
      <c r="C3" t="s">
        <v>839</v>
      </c>
      <c r="D3">
        <v>0.45</v>
      </c>
      <c r="E3" t="s">
        <v>553</v>
      </c>
      <c r="G3" t="s">
        <v>650</v>
      </c>
      <c r="I3">
        <f>Parameters!F7</f>
        <v>0</v>
      </c>
      <c r="J3">
        <f>Parameters!G7</f>
        <v>0</v>
      </c>
    </row>
    <row r="4" spans="1:10">
      <c r="A4" t="s">
        <v>788</v>
      </c>
      <c r="B4" t="s">
        <v>649</v>
      </c>
      <c r="C4" t="s">
        <v>840</v>
      </c>
      <c r="D4" s="69">
        <v>2.7204943424399999</v>
      </c>
      <c r="G4" s="69" t="s">
        <v>653</v>
      </c>
      <c r="I4" s="69">
        <f>Parameters!F13</f>
        <v>0</v>
      </c>
    </row>
    <row r="5" spans="1:10">
      <c r="A5" t="s">
        <v>789</v>
      </c>
      <c r="C5" t="s">
        <v>841</v>
      </c>
    </row>
    <row r="6" spans="1:10">
      <c r="A6" t="s">
        <v>792</v>
      </c>
      <c r="C6" t="s">
        <v>842</v>
      </c>
    </row>
    <row r="7" spans="1:10">
      <c r="A7" t="s">
        <v>831</v>
      </c>
    </row>
    <row r="8" spans="1:10">
      <c r="A8" t="s">
        <v>793</v>
      </c>
      <c r="C8" t="s">
        <v>640</v>
      </c>
    </row>
    <row r="9" spans="1:10">
      <c r="A9" t="s">
        <v>794</v>
      </c>
      <c r="C9" t="s">
        <v>640</v>
      </c>
    </row>
    <row r="10" spans="1:10">
      <c r="A10" t="s">
        <v>796</v>
      </c>
      <c r="C10" t="s">
        <v>843</v>
      </c>
    </row>
    <row r="11" spans="1:10" s="59" customFormat="1">
      <c r="A11" s="59" t="s">
        <v>105</v>
      </c>
    </row>
    <row r="12" spans="1:10">
      <c r="A12" t="str">
        <f>'Landfill '!A3</f>
        <v xml:space="preserve">diesel use at landfill </v>
      </c>
      <c r="B12" t="str">
        <f>'Landfill '!B3</f>
        <v>L/t</v>
      </c>
      <c r="C12" t="s">
        <v>844</v>
      </c>
      <c r="D12" s="69">
        <v>5.8295314000000005</v>
      </c>
      <c r="E12" s="276" t="s">
        <v>834</v>
      </c>
      <c r="G12" t="str">
        <f>'Landfill '!H3</f>
        <v>WARM v.13</v>
      </c>
      <c r="I12" t="s">
        <v>772</v>
      </c>
      <c r="J12" t="str">
        <f>'Landfill '!K3</f>
        <v>0.7 gal/1000lbs; high compared to 1–3 L diesel tonne–1 waste (Hunziker)</v>
      </c>
    </row>
    <row r="13" spans="1:10">
      <c r="A13" t="str">
        <f>'Landfill '!A8</f>
        <v>Factor of oxidation</v>
      </c>
      <c r="B13" t="str">
        <f>'Landfill '!B8</f>
        <v>%</v>
      </c>
      <c r="C13" t="s">
        <v>845</v>
      </c>
      <c r="D13">
        <v>0.1</v>
      </c>
      <c r="E13" t="str">
        <f>'Landfill '!I9</f>
        <v>0-1.0</v>
      </c>
      <c r="G13" t="str">
        <f>'Landfill '!H8</f>
        <v xml:space="preserve">EPA biogenic </v>
      </c>
      <c r="J13" t="str">
        <f>'Landfill '!K8</f>
        <v>Barlaz and Warm provide a schedule ranging from 10-35%, with 20% average)</v>
      </c>
    </row>
    <row r="14" spans="1:10" s="44" customFormat="1">
      <c r="A14" s="44" t="str">
        <f>'Landfill '!A9</f>
        <v>Gas Capture factor (GC)</v>
      </c>
      <c r="B14" s="44" t="str">
        <f>'Landfill '!B9</f>
        <v>%</v>
      </c>
      <c r="C14" s="44" t="s">
        <v>846</v>
      </c>
      <c r="D14" s="44">
        <f>'Landfill '!E9</f>
        <v>0.85</v>
      </c>
      <c r="E14" s="44" t="str">
        <f>'Landfill '!I10</f>
        <v>0.85-0.9</v>
      </c>
      <c r="G14" s="44" t="str">
        <f>'Landfill '!H9</f>
        <v>WARM</v>
      </c>
      <c r="I14" s="44" t="s">
        <v>729</v>
      </c>
      <c r="J14" s="44" t="str">
        <f>'Landfill '!K9</f>
        <v>not used:85  % Landfills in NYS  with GC recovery</v>
      </c>
    </row>
    <row r="15" spans="1:10" s="6" customFormat="1">
      <c r="A15" s="6" t="s">
        <v>86</v>
      </c>
      <c r="B15" s="6" t="str">
        <f>'Landfill '!B15</f>
        <v>fraction</v>
      </c>
      <c r="C15" s="6" t="s">
        <v>850</v>
      </c>
      <c r="D15" s="6">
        <v>0.9</v>
      </c>
      <c r="E15" s="6" t="s">
        <v>848</v>
      </c>
      <c r="G15" s="6" t="s">
        <v>849</v>
      </c>
      <c r="I15" s="6" t="s">
        <v>729</v>
      </c>
      <c r="J15" s="6" t="str">
        <f>'Landfill '!K15</f>
        <v>not used at this time, assumed, 0.9 in CCARv. 2, could also be correction factor from Cho paper for bo to Lo</v>
      </c>
    </row>
    <row r="16" spans="1:10">
      <c r="A16" t="str">
        <f>'Landfill '!A22</f>
        <v>Heat rate of LF to E conversion</v>
      </c>
      <c r="B16" t="str">
        <f>'Landfill '!B22</f>
        <v>btu/kwh</v>
      </c>
      <c r="C16" t="s">
        <v>847</v>
      </c>
      <c r="D16">
        <f>'Landfill '!E22</f>
        <v>11700</v>
      </c>
      <c r="E16" t="str">
        <f>'Landfill '!G22</f>
        <v>8979-13648</v>
      </c>
      <c r="G16" t="str">
        <f>'Landfill '!H22</f>
        <v>EPA 2013</v>
      </c>
      <c r="J16" t="str">
        <f>'Landfill '!K22</f>
        <v>29% efficiency based upon 3412 btu/kwh, 25%-38%</v>
      </c>
    </row>
    <row r="17" spans="1:10">
      <c r="A17" t="s">
        <v>830</v>
      </c>
      <c r="B17" t="s">
        <v>23</v>
      </c>
      <c r="C17" t="s">
        <v>854</v>
      </c>
      <c r="D17">
        <v>0.85</v>
      </c>
      <c r="E17" t="s">
        <v>851</v>
      </c>
      <c r="G17" t="s">
        <v>832</v>
      </c>
      <c r="J17" t="s">
        <v>833</v>
      </c>
    </row>
    <row r="18" spans="1:10" s="6" customFormat="1">
      <c r="A18" s="6" t="s">
        <v>853</v>
      </c>
      <c r="B18" s="6" t="str">
        <f>'Landfill '!B28</f>
        <v>%</v>
      </c>
      <c r="C18" s="6" t="s">
        <v>640</v>
      </c>
      <c r="D18" s="6">
        <f>'Landfill '!G28</f>
        <v>0.8</v>
      </c>
      <c r="E18" s="6" t="str">
        <f>'Landfill '!H28</f>
        <v>.09-1.1</v>
      </c>
      <c r="I18" s="6" t="s">
        <v>729</v>
      </c>
      <c r="J18" s="6" t="str">
        <f>'Landfill '!K28</f>
        <v>Correction factor for carbon storage</v>
      </c>
    </row>
    <row r="19" spans="1:10" s="59" customFormat="1">
      <c r="A19" s="59" t="s">
        <v>786</v>
      </c>
    </row>
    <row r="20" spans="1:10">
      <c r="A20" t="str">
        <f>AD!A12</f>
        <v xml:space="preserve">Methane conversion factor </v>
      </c>
      <c r="B20" t="str">
        <f>AD!B12</f>
        <v>%</v>
      </c>
      <c r="D20">
        <f>AD!E12</f>
        <v>0.84</v>
      </c>
      <c r="E20" t="str">
        <f>AD!I12</f>
        <v>0.7-0.9</v>
      </c>
      <c r="G20" t="str">
        <f>AD!H12</f>
        <v>Ebner et al, 2014</v>
      </c>
      <c r="J20" t="str">
        <f>AD!J12</f>
        <v>scaling factor for lab B0 to commercial Methane yeild</v>
      </c>
    </row>
    <row r="21" spans="1:10">
      <c r="A21" t="str">
        <f>AD!A14</f>
        <v>Methane leaks</v>
      </c>
      <c r="B21" t="str">
        <f>AD!B14</f>
        <v>% methane utilized</v>
      </c>
      <c r="D21">
        <f>AD!E14</f>
        <v>0.03</v>
      </c>
      <c r="E21" t="s">
        <v>822</v>
      </c>
      <c r="G21" t="str">
        <f>AD!H14</f>
        <v>Ebner et al., 2014</v>
      </c>
      <c r="J21" t="str">
        <f>AD!J14</f>
        <v>3% of methane utilized</v>
      </c>
    </row>
    <row r="22" spans="1:10">
      <c r="A22" t="str">
        <f>AD!A16</f>
        <v>Methane incomplete combustion factor</v>
      </c>
      <c r="B22" t="str">
        <f>AD!B16</f>
        <v>% methane utilized</v>
      </c>
      <c r="D22">
        <f>AD!E16</f>
        <v>5.0000000000000001E-3</v>
      </c>
      <c r="G22" t="str">
        <f>AD!H16</f>
        <v>Dressler, 2012</v>
      </c>
      <c r="J22" t="str">
        <f>AD!J16</f>
        <v>Hildesheim, Gottingen, Celle</v>
      </c>
    </row>
    <row r="23" spans="1:10" s="12" customFormat="1">
      <c r="A23" s="12" t="str">
        <f>AD!A17</f>
        <v>Incomplete combustion CH4IC</v>
      </c>
      <c r="B23" s="12" t="str">
        <f>AD!B17</f>
        <v>kgCO2e/t</v>
      </c>
      <c r="D23" s="12">
        <f>AD!C17</f>
        <v>7.1078263200000009</v>
      </c>
      <c r="G23" s="12">
        <f>AD!D17</f>
        <v>0.378882</v>
      </c>
    </row>
    <row r="24" spans="1:10">
      <c r="A24" t="str">
        <f>AD!A18</f>
        <v>Conversion Efficiency</v>
      </c>
      <c r="B24" t="str">
        <f>AD!B18</f>
        <v>MWh/t</v>
      </c>
      <c r="D24">
        <f>AD!E18</f>
        <v>4.19318820416827</v>
      </c>
      <c r="G24" t="str">
        <f>AD!H18</f>
        <v>Ebner et al, 2014</v>
      </c>
      <c r="J24" t="str">
        <f>AD!I18</f>
        <v>KWh/m3 methane 43% efficiency</v>
      </c>
    </row>
    <row r="25" spans="1:10">
      <c r="A25" t="str">
        <f>AD!A20</f>
        <v>Parasitic load</v>
      </c>
      <c r="B25" t="str">
        <f>AD!B20</f>
        <v>% KWh generated</v>
      </c>
      <c r="D25">
        <f>AD!E20</f>
        <v>0.12</v>
      </c>
      <c r="E25" t="str">
        <f>AD!I20</f>
        <v>0.10-0.20</v>
      </c>
      <c r="G25" t="str">
        <f>AD!H20</f>
        <v>Ebner et al, 2015</v>
      </c>
      <c r="J25" t="str">
        <f>AD!J20</f>
        <v>Parasitic load</v>
      </c>
    </row>
    <row r="26" spans="1:10">
      <c r="A26" t="str">
        <f>AD!A26</f>
        <v>VS destruction</v>
      </c>
      <c r="B26" t="str">
        <f>AD!B26</f>
        <v>%</v>
      </c>
      <c r="D26">
        <f>AD!E26</f>
        <v>0.55000000000000004</v>
      </c>
      <c r="E26" t="str">
        <f>AD!I26</f>
        <v>.4-.7</v>
      </c>
      <c r="G26" t="str">
        <f>AD!H26</f>
        <v>Ebner et al., 2014</v>
      </c>
      <c r="J26" t="str">
        <f>AD!J26</f>
        <v>assuming a 55% reduction in VS</v>
      </c>
    </row>
    <row r="27" spans="1:10">
      <c r="A27" t="str">
        <f>AD!A28</f>
        <v>Effluent residual methane factor</v>
      </c>
      <c r="B27" t="str">
        <f>AD!B28</f>
        <v>m3CH4/kgVS</v>
      </c>
      <c r="D27">
        <f>AD!E28</f>
        <v>5.3999999999999999E-2</v>
      </c>
      <c r="E27" t="str">
        <f>AD!I28</f>
        <v>0.004-0.074</v>
      </c>
      <c r="G27" t="str">
        <f>AD!H28</f>
        <v>Ebner et al., 2014</v>
      </c>
    </row>
    <row r="28" spans="1:10">
      <c r="A28" t="str">
        <f>AD!A33</f>
        <v xml:space="preserve">Direct N2O emission factor </v>
      </c>
      <c r="B28" t="str">
        <f>AD!B33</f>
        <v>kgCO2e/t</v>
      </c>
      <c r="D28">
        <f>AD!E33</f>
        <v>5.0000000000000001E-3</v>
      </c>
      <c r="G28" t="str">
        <f>AD!H33</f>
        <v>IPCC protocol, EF3=0.005</v>
      </c>
      <c r="I28" t="str">
        <f>AD!I33</f>
        <v>assumes that N in is the same as N out adjusted for D losses</v>
      </c>
    </row>
    <row r="29" spans="1:10">
      <c r="A29" t="str">
        <f>AD!A34</f>
        <v>Indirect N volitilization factor</v>
      </c>
      <c r="B29" t="str">
        <f>AD!B34</f>
        <v>KgNvol/kg N</v>
      </c>
      <c r="D29">
        <f>AD!E34</f>
        <v>0.26</v>
      </c>
      <c r="G29" t="str">
        <f>AD!H34</f>
        <v>FracGASMS=0.26</v>
      </c>
      <c r="I29">
        <f>AD!I34</f>
        <v>0</v>
      </c>
    </row>
    <row r="30" spans="1:10">
      <c r="A30" t="str">
        <f>AD!A35</f>
        <v>Indirect N2O-N from NH3</v>
      </c>
      <c r="B30" t="str">
        <f>AD!B35</f>
        <v>Kg N2O-N/kg N</v>
      </c>
      <c r="D30">
        <f>AD!E35</f>
        <v>0.01</v>
      </c>
      <c r="G30" t="str">
        <f>AD!H35</f>
        <v>IPCC, EF4=0.01</v>
      </c>
      <c r="I30" t="str">
        <f>AD!I35</f>
        <v>assumes that N is is the same as N out adjusted for D losses</v>
      </c>
    </row>
    <row r="31" spans="1:10" s="59" customFormat="1">
      <c r="A31" s="59" t="s">
        <v>38</v>
      </c>
    </row>
    <row r="32" spans="1:10">
      <c r="A32" t="str">
        <f>'Land application'!A8</f>
        <v>Xport to field</v>
      </c>
      <c r="B32" t="str">
        <f>'Land application'!B8</f>
        <v>kgCO2e/t</v>
      </c>
      <c r="D32">
        <f>'Land application'!E8</f>
        <v>20</v>
      </c>
      <c r="E32" t="str">
        <f>'Land application'!G8</f>
        <v>10 to 20</v>
      </c>
      <c r="G32" t="str">
        <f>'Land application'!H8</f>
        <v>Moller,2006  based upon 20km to field and scalable</v>
      </c>
    </row>
    <row r="33" spans="1:10">
      <c r="A33" t="str">
        <f>'Land application'!A11</f>
        <v>Direct N2O emission factor</v>
      </c>
      <c r="B33" t="str">
        <f>'Land application'!B11</f>
        <v>Kg N2O-N/kg N</v>
      </c>
      <c r="D33">
        <f>'Land application'!E11</f>
        <v>1.2500000000000001E-2</v>
      </c>
      <c r="G33" t="str">
        <f>'Land application'!H11</f>
        <v>IPCC EF1=0.0125</v>
      </c>
    </row>
    <row r="34" spans="1:10">
      <c r="A34" t="str">
        <f>'Land application'!A13</f>
        <v>Indirect N2O-N from NH3</v>
      </c>
      <c r="B34" t="str">
        <f>'Land application'!B13</f>
        <v>Kg N2O-N/kg N</v>
      </c>
      <c r="D34">
        <f>'Land application'!E13</f>
        <v>0.01</v>
      </c>
      <c r="G34" t="str">
        <f>'Land application'!H13</f>
        <v xml:space="preserve">IPCC, EF4=0.01, </v>
      </c>
    </row>
    <row r="35" spans="1:10">
      <c r="A35" t="str">
        <f>'Land application'!A14</f>
        <v>Indirect N volatilization factor</v>
      </c>
      <c r="B35" t="str">
        <f>'Land application'!B14</f>
        <v>KgNvol/kg N</v>
      </c>
      <c r="D35">
        <f>'Land application'!E14</f>
        <v>0.2</v>
      </c>
      <c r="G35" t="str">
        <f>'Land application'!H14</f>
        <v>IPCC, FracGASM=0.20</v>
      </c>
    </row>
    <row r="36" spans="1:10">
      <c r="A36" t="str">
        <f>'Land application'!A18</f>
        <v>Carbon storage factor</v>
      </c>
      <c r="B36">
        <f>'Land application'!B18</f>
        <v>0</v>
      </c>
      <c r="D36">
        <f>'Land application'!E18</f>
        <v>1</v>
      </c>
    </row>
    <row r="37" spans="1:10">
      <c r="A37" t="str">
        <f>'Land application'!A25</f>
        <v>Effective N applied</v>
      </c>
      <c r="B37" t="str">
        <f>'Land application'!B25</f>
        <v>mg/kg</v>
      </c>
      <c r="D37">
        <f>'Land application'!F25</f>
        <v>0.4</v>
      </c>
      <c r="J37" t="str">
        <f>'Land application'!H25</f>
        <v>purely arbitrary mineralization factor of 40%</v>
      </c>
    </row>
    <row r="38" spans="1:10" s="59" customFormat="1">
      <c r="A38" s="59" t="s">
        <v>108</v>
      </c>
    </row>
    <row r="39" spans="1:10">
      <c r="A39" t="s">
        <v>798</v>
      </c>
      <c r="B39" t="str">
        <f>compost!B13</f>
        <v>L/t</v>
      </c>
      <c r="D39">
        <v>3</v>
      </c>
      <c r="E39" t="s">
        <v>651</v>
      </c>
      <c r="G39" t="s">
        <v>542</v>
      </c>
    </row>
    <row r="40" spans="1:10">
      <c r="A40" t="s">
        <v>816</v>
      </c>
      <c r="B40" t="s">
        <v>817</v>
      </c>
      <c r="D40">
        <v>0</v>
      </c>
      <c r="E40" t="s">
        <v>818</v>
      </c>
      <c r="G40" t="s">
        <v>542</v>
      </c>
    </row>
    <row r="41" spans="1:10" ht="13" customHeight="1">
      <c r="A41" t="str">
        <f>compost!A18</f>
        <v>carbon degraded</v>
      </c>
      <c r="B41" t="str">
        <f>compost!B18</f>
        <v>%/initial C</v>
      </c>
      <c r="D41">
        <v>0.57999999999999996</v>
      </c>
      <c r="E41" t="s">
        <v>799</v>
      </c>
      <c r="G41" t="s">
        <v>801</v>
      </c>
    </row>
    <row r="42" spans="1:10">
      <c r="A42" t="s">
        <v>803</v>
      </c>
      <c r="B42" t="s">
        <v>805</v>
      </c>
      <c r="D42">
        <v>0.02</v>
      </c>
      <c r="E42" t="s">
        <v>807</v>
      </c>
      <c r="G42" t="s">
        <v>802</v>
      </c>
    </row>
    <row r="43" spans="1:10">
      <c r="A43" t="s">
        <v>804</v>
      </c>
      <c r="B43" t="s">
        <v>806</v>
      </c>
      <c r="D43">
        <v>1.4999999999999999E-2</v>
      </c>
      <c r="E43" t="s">
        <v>808</v>
      </c>
      <c r="G43" t="str">
        <f>compost!H20</f>
        <v xml:space="preserve">Boldrin, 2009 </v>
      </c>
    </row>
    <row r="44" spans="1:10">
      <c r="A44" t="s">
        <v>810</v>
      </c>
      <c r="B44" t="s">
        <v>811</v>
      </c>
      <c r="D44">
        <v>0.6</v>
      </c>
      <c r="E44" t="s">
        <v>812</v>
      </c>
      <c r="G44" t="s">
        <v>813</v>
      </c>
    </row>
    <row r="45" spans="1:10">
      <c r="A45" t="s">
        <v>814</v>
      </c>
      <c r="B45" t="str">
        <f>compost!B34</f>
        <v>%compost/fw</v>
      </c>
      <c r="D45">
        <v>0.4</v>
      </c>
      <c r="G45" t="s">
        <v>542</v>
      </c>
    </row>
    <row r="46" spans="1:10">
      <c r="A46" t="s">
        <v>815</v>
      </c>
      <c r="B46" t="s">
        <v>12</v>
      </c>
      <c r="D46">
        <v>30</v>
      </c>
      <c r="E46" t="str">
        <f>compost!H32</f>
        <v>estimated</v>
      </c>
    </row>
    <row r="47" spans="1:10">
      <c r="A47" t="s">
        <v>819</v>
      </c>
      <c r="B47" t="s">
        <v>821</v>
      </c>
      <c r="D47">
        <v>0.38</v>
      </c>
      <c r="E47" t="s">
        <v>820</v>
      </c>
      <c r="G47" t="s">
        <v>542</v>
      </c>
    </row>
    <row r="48" spans="1:10">
      <c r="A48" t="s">
        <v>823</v>
      </c>
      <c r="D48">
        <v>0.4</v>
      </c>
      <c r="G48" t="s">
        <v>542</v>
      </c>
    </row>
    <row r="49" spans="1:4">
      <c r="A49" t="s">
        <v>824</v>
      </c>
      <c r="D49">
        <v>1</v>
      </c>
    </row>
    <row r="50" spans="1:4">
      <c r="A50" t="s">
        <v>825</v>
      </c>
      <c r="D50">
        <v>1</v>
      </c>
    </row>
    <row r="51" spans="1:4">
      <c r="A51" t="s">
        <v>826</v>
      </c>
      <c r="D51">
        <v>1</v>
      </c>
    </row>
    <row r="52" spans="1:4">
      <c r="A52" t="s">
        <v>827</v>
      </c>
      <c r="D52">
        <v>0.74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workbookViewId="0">
      <selection activeCell="F26" sqref="F26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20" customWidth="1"/>
    <col min="4" max="4" width="9.83203125" style="120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8" t="s">
        <v>26</v>
      </c>
      <c r="D1" s="208" t="s">
        <v>114</v>
      </c>
      <c r="E1" s="43" t="s">
        <v>672</v>
      </c>
      <c r="F1" s="43" t="s">
        <v>666</v>
      </c>
      <c r="G1" s="43" t="s">
        <v>665</v>
      </c>
      <c r="H1" s="43" t="s">
        <v>2</v>
      </c>
      <c r="I1" s="43" t="s">
        <v>646</v>
      </c>
      <c r="J1" s="43" t="s">
        <v>2</v>
      </c>
      <c r="K1" s="43" t="s">
        <v>5</v>
      </c>
      <c r="S1" s="27">
        <v>3.7854100000000002</v>
      </c>
      <c r="T1" s="112" t="s">
        <v>447</v>
      </c>
    </row>
    <row r="2" spans="1:28" s="37" customFormat="1">
      <c r="A2" s="42" t="s">
        <v>446</v>
      </c>
      <c r="C2" s="210">
        <f>C4+C5</f>
        <v>18.482496322776335</v>
      </c>
      <c r="D2" s="211"/>
      <c r="G2" s="54"/>
      <c r="K2" s="269" t="s">
        <v>775</v>
      </c>
    </row>
    <row r="3" spans="1:28" s="47" customFormat="1">
      <c r="A3" s="117" t="s">
        <v>464</v>
      </c>
      <c r="B3" s="106" t="s">
        <v>465</v>
      </c>
      <c r="C3" s="212">
        <f>E3*G3</f>
        <v>0</v>
      </c>
      <c r="D3" s="213"/>
      <c r="E3" s="226">
        <f>'Global factors'!D12</f>
        <v>5.8295314000000005</v>
      </c>
      <c r="F3" s="119"/>
      <c r="G3" s="225"/>
      <c r="H3" s="106" t="s">
        <v>486</v>
      </c>
      <c r="I3" s="268">
        <v>42010</v>
      </c>
      <c r="J3" s="267" t="s">
        <v>774</v>
      </c>
      <c r="K3" s="106" t="s">
        <v>466</v>
      </c>
    </row>
    <row r="4" spans="1:28">
      <c r="A4" s="112" t="s">
        <v>591</v>
      </c>
      <c r="B4" s="106" t="s">
        <v>655</v>
      </c>
      <c r="C4" s="214">
        <f>E3*G4</f>
        <v>15.859207192776333</v>
      </c>
      <c r="G4" s="195">
        <f>'Global factors'!D4</f>
        <v>2.7204943424399999</v>
      </c>
      <c r="H4" s="112"/>
      <c r="I4" s="112"/>
      <c r="K4" s="106"/>
      <c r="M4" s="112"/>
      <c r="Q4" s="120"/>
    </row>
    <row r="5" spans="1:28">
      <c r="A5" s="112" t="s">
        <v>470</v>
      </c>
      <c r="B5" s="112" t="s">
        <v>30</v>
      </c>
      <c r="C5" s="214">
        <f>G5*E3</f>
        <v>2.6232891300000003</v>
      </c>
      <c r="G5" s="196">
        <f>'Global factors'!D3</f>
        <v>0.45</v>
      </c>
      <c r="H5" s="112" t="s">
        <v>471</v>
      </c>
      <c r="I5" s="112"/>
      <c r="K5" s="27" t="s">
        <v>472</v>
      </c>
    </row>
    <row r="6" spans="1:28" s="37" customFormat="1">
      <c r="A6" s="42" t="s">
        <v>448</v>
      </c>
      <c r="B6" s="42"/>
      <c r="C6" s="210"/>
      <c r="D6" s="211"/>
    </row>
    <row r="7" spans="1:28" hidden="1">
      <c r="A7" s="27" t="s">
        <v>102</v>
      </c>
      <c r="F7" s="201">
        <v>0.14399999999999999</v>
      </c>
      <c r="H7" s="112"/>
      <c r="I7" s="112" t="s">
        <v>657</v>
      </c>
      <c r="K7" s="112" t="s">
        <v>658</v>
      </c>
    </row>
    <row r="8" spans="1:28">
      <c r="A8" s="27" t="s">
        <v>101</v>
      </c>
      <c r="B8" s="207" t="s">
        <v>23</v>
      </c>
      <c r="E8" s="36">
        <f>'Global factors'!D13</f>
        <v>0.1</v>
      </c>
      <c r="F8" s="201"/>
      <c r="H8" s="115" t="s">
        <v>659</v>
      </c>
      <c r="I8" s="115"/>
      <c r="K8" s="27" t="s">
        <v>660</v>
      </c>
    </row>
    <row r="9" spans="1:28">
      <c r="A9" s="112" t="s">
        <v>637</v>
      </c>
      <c r="B9" s="207" t="s">
        <v>23</v>
      </c>
      <c r="E9" s="36">
        <v>0.85</v>
      </c>
      <c r="F9" s="201"/>
      <c r="H9" s="115" t="s">
        <v>119</v>
      </c>
      <c r="I9" s="115" t="s">
        <v>661</v>
      </c>
      <c r="K9" s="207" t="s">
        <v>692</v>
      </c>
    </row>
    <row r="10" spans="1:28">
      <c r="A10" s="112" t="s">
        <v>636</v>
      </c>
      <c r="B10" s="207" t="s">
        <v>23</v>
      </c>
      <c r="E10" s="36">
        <v>0.9</v>
      </c>
      <c r="F10" s="201"/>
      <c r="H10" s="112" t="s">
        <v>119</v>
      </c>
      <c r="I10" s="112" t="s">
        <v>663</v>
      </c>
      <c r="K10" s="194" t="s">
        <v>662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156</v>
      </c>
      <c r="F11" s="202">
        <f>Parameters!E27</f>
        <v>334.11111111111109</v>
      </c>
    </row>
    <row r="12" spans="1:28">
      <c r="A12" s="27" t="s">
        <v>128</v>
      </c>
      <c r="F12" s="201">
        <f>Parameters!D27</f>
        <v>0.27</v>
      </c>
    </row>
    <row r="13" spans="1:28">
      <c r="A13" s="27" t="s">
        <v>82</v>
      </c>
      <c r="B13" s="27" t="s">
        <v>138</v>
      </c>
      <c r="F13" s="203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5">
        <f>F13*D16*Parameters!C19*Parameters!C6</f>
        <v>580.55007993612196</v>
      </c>
      <c r="D14" s="216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7.0000000000000007E-2</v>
      </c>
      <c r="K15" s="270" t="s">
        <v>785</v>
      </c>
      <c r="Q15" s="112"/>
    </row>
    <row r="16" spans="1:28" ht="15" customHeight="1">
      <c r="A16" s="27" t="s">
        <v>131</v>
      </c>
      <c r="B16" s="27" t="s">
        <v>133</v>
      </c>
      <c r="D16" s="214">
        <f>E86</f>
        <v>0.34304585198864457</v>
      </c>
      <c r="K16" s="27" t="s">
        <v>129</v>
      </c>
      <c r="Q16" s="112"/>
    </row>
    <row r="17" spans="1:25" ht="15" customHeight="1">
      <c r="A17" s="112" t="s">
        <v>481</v>
      </c>
      <c r="B17" s="112" t="s">
        <v>60</v>
      </c>
      <c r="C17" s="214">
        <f>D16*F13*G15*Parameters!C19*Parameters!C6</f>
        <v>40.638505595528542</v>
      </c>
      <c r="Q17" s="112"/>
    </row>
    <row r="18" spans="1:25" s="37" customFormat="1">
      <c r="A18" s="42" t="s">
        <v>140</v>
      </c>
      <c r="B18" s="37" t="s">
        <v>30</v>
      </c>
      <c r="C18" s="210">
        <f>-D23*Parameters!C14/1000</f>
        <v>-64.484627123483364</v>
      </c>
      <c r="D18" s="211"/>
      <c r="G18" s="37">
        <f>Parameters!C14</f>
        <v>533.66</v>
      </c>
      <c r="V18" s="37" t="s">
        <v>85</v>
      </c>
      <c r="W18" s="37" t="s">
        <v>79</v>
      </c>
    </row>
    <row r="19" spans="1:25">
      <c r="A19" s="112" t="s">
        <v>483</v>
      </c>
      <c r="B19" s="27" t="s">
        <v>133</v>
      </c>
      <c r="D19" s="217">
        <f>F86*E10</f>
        <v>0.44377569147881474</v>
      </c>
      <c r="K19" s="112" t="s">
        <v>664</v>
      </c>
      <c r="Q19" s="112"/>
    </row>
    <row r="20" spans="1:25">
      <c r="A20" s="27" t="s">
        <v>136</v>
      </c>
      <c r="B20" s="27" t="s">
        <v>22</v>
      </c>
      <c r="D20" s="217">
        <f>F13*D19</f>
        <v>40.033005128303877</v>
      </c>
      <c r="G20" s="196">
        <f>Parameters!C20</f>
        <v>35315</v>
      </c>
      <c r="H20" s="112" t="s">
        <v>487</v>
      </c>
      <c r="I20" s="112"/>
      <c r="K20" s="112" t="s">
        <v>484</v>
      </c>
    </row>
    <row r="21" spans="1:25">
      <c r="A21" s="270" t="s">
        <v>828</v>
      </c>
      <c r="B21" s="270" t="s">
        <v>23</v>
      </c>
      <c r="D21" s="217"/>
      <c r="G21" s="196"/>
      <c r="H21" s="112"/>
      <c r="I21" s="112"/>
      <c r="K21" s="270" t="s">
        <v>829</v>
      </c>
    </row>
    <row r="22" spans="1:25">
      <c r="A22" s="207" t="s">
        <v>685</v>
      </c>
      <c r="B22" s="207" t="s">
        <v>686</v>
      </c>
      <c r="D22" s="217"/>
      <c r="E22" s="196">
        <v>11700</v>
      </c>
      <c r="F22" s="196"/>
      <c r="G22" s="270" t="s">
        <v>781</v>
      </c>
      <c r="H22" s="270" t="s">
        <v>783</v>
      </c>
      <c r="I22" s="112"/>
      <c r="K22" s="270" t="s">
        <v>782</v>
      </c>
    </row>
    <row r="23" spans="1:25">
      <c r="A23" s="27" t="s">
        <v>13</v>
      </c>
      <c r="B23" s="27" t="s">
        <v>137</v>
      </c>
      <c r="D23" s="214">
        <f>D20*G20/E22</f>
        <v>120.83466462444885</v>
      </c>
      <c r="I23" s="112"/>
      <c r="K23" s="270" t="s">
        <v>485</v>
      </c>
    </row>
    <row r="24" spans="1:25" s="127" customFormat="1">
      <c r="A24" s="127" t="s">
        <v>78</v>
      </c>
      <c r="B24" s="127" t="s">
        <v>30</v>
      </c>
      <c r="C24" s="218">
        <f>D27*-44/12</f>
        <v>-84.966161861607617</v>
      </c>
      <c r="D24" s="218">
        <f>F25*G24</f>
        <v>0</v>
      </c>
      <c r="K24" s="127" t="s">
        <v>450</v>
      </c>
      <c r="X24" s="127" t="e">
        <f>#REF!*1.1</f>
        <v>#REF!</v>
      </c>
      <c r="Y24" s="127" t="s">
        <v>60</v>
      </c>
    </row>
    <row r="25" spans="1:25" s="117" customFormat="1">
      <c r="A25" s="117" t="s">
        <v>488</v>
      </c>
      <c r="B25" s="117" t="s">
        <v>449</v>
      </c>
      <c r="C25" s="212"/>
      <c r="D25" s="212"/>
      <c r="F25" s="221">
        <f>Parameters!J27</f>
        <v>145.73955722402675</v>
      </c>
    </row>
    <row r="26" spans="1:25" s="117" customFormat="1">
      <c r="A26" s="117" t="s">
        <v>679</v>
      </c>
      <c r="B26" s="117" t="s">
        <v>23</v>
      </c>
      <c r="C26" s="212"/>
      <c r="D26" s="212"/>
      <c r="F26" s="206">
        <f>Parameters!O27</f>
        <v>0.84099999999999997</v>
      </c>
      <c r="K26" s="117" t="s">
        <v>747</v>
      </c>
    </row>
    <row r="27" spans="1:25" s="47" customFormat="1">
      <c r="A27" s="117" t="s">
        <v>541</v>
      </c>
      <c r="B27" s="204" t="s">
        <v>606</v>
      </c>
      <c r="C27" s="213"/>
      <c r="D27" s="212">
        <f>F25*(1-F26)</f>
        <v>23.172589598620259</v>
      </c>
      <c r="F27" s="170"/>
      <c r="K27" s="117" t="s">
        <v>746</v>
      </c>
    </row>
    <row r="28" spans="1:25">
      <c r="A28" s="270" t="s">
        <v>779</v>
      </c>
      <c r="B28" s="270" t="s">
        <v>23</v>
      </c>
      <c r="G28" s="196">
        <v>0.8</v>
      </c>
      <c r="H28" s="270" t="s">
        <v>780</v>
      </c>
      <c r="I28" s="29"/>
      <c r="J28" s="29"/>
      <c r="K28" s="270" t="s">
        <v>784</v>
      </c>
    </row>
    <row r="29" spans="1:25">
      <c r="B29" s="205" t="s">
        <v>639</v>
      </c>
      <c r="C29" s="219">
        <f>SUM(C14,C18,C24,C2)</f>
        <v>449.58178727380732</v>
      </c>
    </row>
    <row r="30" spans="1:25">
      <c r="A30" s="42" t="s">
        <v>113</v>
      </c>
      <c r="K30" s="112" t="s">
        <v>451</v>
      </c>
    </row>
    <row r="31" spans="1:25">
      <c r="C31" s="120">
        <v>3</v>
      </c>
    </row>
    <row r="33" spans="1:23">
      <c r="A33" s="39" t="s">
        <v>99</v>
      </c>
      <c r="H33" s="271" t="s">
        <v>729</v>
      </c>
      <c r="L33" s="37" t="s">
        <v>100</v>
      </c>
      <c r="M33" s="125"/>
      <c r="N33" s="37"/>
      <c r="O33" s="37"/>
      <c r="P33" s="124" t="s">
        <v>480</v>
      </c>
      <c r="Q33" s="37"/>
      <c r="R33" s="37"/>
      <c r="S33" s="37"/>
      <c r="T33" s="37"/>
      <c r="W33" s="112" t="s">
        <v>476</v>
      </c>
    </row>
    <row r="34" spans="1:23" ht="16">
      <c r="B34" s="112" t="s">
        <v>479</v>
      </c>
      <c r="C34" s="220"/>
      <c r="D34" s="120" t="s">
        <v>88</v>
      </c>
      <c r="K34" s="126" t="s">
        <v>98</v>
      </c>
      <c r="L34" s="126"/>
      <c r="M34" s="37"/>
      <c r="N34" s="124" t="s">
        <v>475</v>
      </c>
      <c r="O34" s="37" t="s">
        <v>96</v>
      </c>
      <c r="P34" s="37"/>
      <c r="Q34" s="37"/>
      <c r="R34" s="37"/>
      <c r="S34" s="37"/>
    </row>
    <row r="35" spans="1:23">
      <c r="A35" s="27" t="s">
        <v>95</v>
      </c>
      <c r="B35" s="112" t="s">
        <v>457</v>
      </c>
      <c r="C35" s="220" t="s">
        <v>97</v>
      </c>
      <c r="D35" s="220" t="s">
        <v>478</v>
      </c>
      <c r="E35" s="112" t="s">
        <v>459</v>
      </c>
      <c r="F35" s="112" t="s">
        <v>458</v>
      </c>
      <c r="G35" s="37" t="s">
        <v>94</v>
      </c>
      <c r="H35" s="37"/>
      <c r="I35" s="37" t="s">
        <v>93</v>
      </c>
      <c r="J35" s="37" t="s">
        <v>92</v>
      </c>
      <c r="K35" s="37" t="s">
        <v>91</v>
      </c>
      <c r="L35" s="37" t="s">
        <v>90</v>
      </c>
      <c r="M35" s="37" t="s">
        <v>89</v>
      </c>
      <c r="N35" s="37" t="s">
        <v>88</v>
      </c>
      <c r="O35" s="37" t="s">
        <v>87</v>
      </c>
    </row>
    <row r="36" spans="1:23">
      <c r="A36" s="27">
        <v>1</v>
      </c>
      <c r="B36" s="27">
        <f t="shared" ref="B36:B67" si="0">$F$7*EXP(-$F$7*A36)</f>
        <v>0.12468783572052551</v>
      </c>
      <c r="C36" s="120">
        <v>0.1</v>
      </c>
      <c r="D36" s="120">
        <v>0</v>
      </c>
      <c r="E36" s="29">
        <f>B36*(1-C36)*(1-D36)</f>
        <v>0.11221905214847296</v>
      </c>
      <c r="F36" s="47">
        <f>B36*(1-C36)*D36</f>
        <v>0</v>
      </c>
      <c r="G36" s="37">
        <f t="shared" ref="G36:G67" si="1">EXP(-$F$7*(A36-1))</f>
        <v>1</v>
      </c>
      <c r="H36" s="37"/>
      <c r="I36" s="37">
        <f t="shared" ref="I36:I67" si="2">1-EXP(-$F$7)</f>
        <v>0.13411225194079501</v>
      </c>
      <c r="J36" s="37">
        <f>1-$E$8</f>
        <v>0.9</v>
      </c>
      <c r="K36" s="37" t="e">
        <f>1-#REF!</f>
        <v>#REF!</v>
      </c>
      <c r="L36" s="37" t="e">
        <f t="shared" ref="L36:L67" si="3">G36*I36*K36*J36</f>
        <v>#REF!</v>
      </c>
      <c r="M36" s="37">
        <f t="shared" ref="M36:M67" si="4">G36*I36*(1-$J$36)</f>
        <v>1.3411225194079498E-2</v>
      </c>
      <c r="N36" s="37" t="e">
        <f>G36*I36*#REF!*J36</f>
        <v>#REF!</v>
      </c>
      <c r="O36" s="37">
        <f t="shared" ref="O36:O67" si="5">G36*I36</f>
        <v>0.13411225194079501</v>
      </c>
    </row>
    <row r="37" spans="1:23">
      <c r="A37" s="27">
        <v>2</v>
      </c>
      <c r="B37" s="27">
        <f t="shared" si="0"/>
        <v>0.10796566928242193</v>
      </c>
      <c r="C37" s="120">
        <v>0.1</v>
      </c>
      <c r="D37" s="120">
        <v>0.5</v>
      </c>
      <c r="E37" s="29">
        <f t="shared" ref="E37:E85" si="6">B37*(1-C37)*(1-D37)</f>
        <v>4.8584551177089874E-2</v>
      </c>
      <c r="F37" s="47">
        <f t="shared" ref="F37:F85" si="7">B37*(1-C37)*D37</f>
        <v>4.8584551177089874E-2</v>
      </c>
      <c r="G37" s="37">
        <f t="shared" si="1"/>
        <v>0.86588774805920499</v>
      </c>
      <c r="H37" s="37"/>
      <c r="I37" s="37">
        <f t="shared" si="2"/>
        <v>0.13411225194079501</v>
      </c>
      <c r="J37" s="37">
        <v>0.8</v>
      </c>
      <c r="K37" s="37" t="e">
        <f>1-#REF!</f>
        <v>#REF!</v>
      </c>
      <c r="L37" s="37" t="e">
        <f t="shared" si="3"/>
        <v>#REF!</v>
      </c>
      <c r="M37" s="37">
        <f t="shared" si="4"/>
        <v>1.1612615582016371E-2</v>
      </c>
      <c r="N37" s="37" t="e">
        <f>G37*I37*#REF!*J37</f>
        <v>#REF!</v>
      </c>
      <c r="O37" s="37">
        <f t="shared" si="5"/>
        <v>0.11612615582016374</v>
      </c>
    </row>
    <row r="38" spans="1:23">
      <c r="A38" s="27">
        <v>3</v>
      </c>
      <c r="B38" s="27">
        <f t="shared" si="0"/>
        <v>9.3486150242661228E-2</v>
      </c>
      <c r="C38" s="120">
        <v>0.1</v>
      </c>
      <c r="D38" s="120">
        <v>0.5</v>
      </c>
      <c r="E38" s="29">
        <f t="shared" si="6"/>
        <v>4.2068767609197553E-2</v>
      </c>
      <c r="F38" s="47">
        <f t="shared" si="7"/>
        <v>4.2068767609197553E-2</v>
      </c>
      <c r="G38" s="37">
        <f t="shared" si="1"/>
        <v>0.74976159223904126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1.005522155538939E-2</v>
      </c>
      <c r="N38" s="37" t="e">
        <f>G38*I38*#REF!*J38</f>
        <v>#REF!</v>
      </c>
      <c r="O38" s="37">
        <f t="shared" si="5"/>
        <v>0.10055221555389392</v>
      </c>
    </row>
    <row r="39" spans="1:23">
      <c r="A39" s="27">
        <v>4</v>
      </c>
      <c r="B39" s="27">
        <f t="shared" si="0"/>
        <v>8.0948512108342419E-2</v>
      </c>
      <c r="C39" s="120">
        <v>0.1</v>
      </c>
      <c r="D39" s="120">
        <v>0.5</v>
      </c>
      <c r="E39" s="29">
        <f t="shared" si="6"/>
        <v>3.642683044875409E-2</v>
      </c>
      <c r="F39" s="47">
        <f t="shared" si="7"/>
        <v>3.642683044875409E-2</v>
      </c>
      <c r="G39" s="37">
        <f t="shared" si="1"/>
        <v>0.64920937668514744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8.7066931488324964E-3</v>
      </c>
      <c r="N39" s="37" t="e">
        <f>G39*I39*#REF!*J39</f>
        <v>#REF!</v>
      </c>
      <c r="O39" s="37">
        <f t="shared" si="5"/>
        <v>8.7066931488324992E-2</v>
      </c>
    </row>
    <row r="40" spans="1:23">
      <c r="A40" s="27">
        <v>5</v>
      </c>
      <c r="B40" s="27">
        <f t="shared" si="0"/>
        <v>7.009232485823591E-2</v>
      </c>
      <c r="C40" s="120">
        <v>0.1</v>
      </c>
      <c r="D40" s="120">
        <v>0.75</v>
      </c>
      <c r="E40" s="29">
        <f t="shared" si="6"/>
        <v>1.5770773093103079E-2</v>
      </c>
      <c r="F40" s="47">
        <f t="shared" si="7"/>
        <v>4.7312319279309234E-2</v>
      </c>
      <c r="G40" s="37">
        <f t="shared" si="1"/>
        <v>0.56214244519682244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7.5390189236850778E-3</v>
      </c>
      <c r="N40" s="37" t="e">
        <f>G40*I40*#REF!*J40</f>
        <v>#REF!</v>
      </c>
      <c r="O40" s="37">
        <f t="shared" si="5"/>
        <v>7.5390189236850799E-2</v>
      </c>
    </row>
    <row r="41" spans="1:23">
      <c r="A41" s="27">
        <v>6</v>
      </c>
      <c r="B41" s="27">
        <f t="shared" si="0"/>
        <v>6.0692085327732133E-2</v>
      </c>
      <c r="C41" s="120">
        <v>0.1</v>
      </c>
      <c r="D41" s="120">
        <v>0.75</v>
      </c>
      <c r="E41" s="29">
        <f t="shared" si="6"/>
        <v>1.365571919873973E-2</v>
      </c>
      <c r="F41" s="47">
        <f t="shared" si="7"/>
        <v>4.0967157596219189E-2</v>
      </c>
      <c r="G41" s="37">
        <f t="shared" si="1"/>
        <v>0.48675225595997168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6.5279441184054043E-3</v>
      </c>
      <c r="N41" s="37" t="e">
        <f>G41*I41*#REF!*J41</f>
        <v>#REF!</v>
      </c>
      <c r="O41" s="37">
        <f t="shared" si="5"/>
        <v>6.5279441184054057E-2</v>
      </c>
    </row>
    <row r="42" spans="1:23">
      <c r="A42" s="27">
        <v>7</v>
      </c>
      <c r="B42" s="27">
        <f t="shared" si="0"/>
        <v>5.2552533089447094E-2</v>
      </c>
      <c r="C42" s="120">
        <v>0.1</v>
      </c>
      <c r="D42" s="120">
        <v>0.75</v>
      </c>
      <c r="E42" s="29">
        <f t="shared" si="6"/>
        <v>1.1824319945125596E-2</v>
      </c>
      <c r="F42" s="47">
        <f t="shared" si="7"/>
        <v>3.5472959835376787E-2</v>
      </c>
      <c r="G42" s="37">
        <f t="shared" si="1"/>
        <v>0.42147281477591764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5.6524668321423881E-3</v>
      </c>
      <c r="N42" s="37" t="e">
        <f>G42*I42*#REF!*J42</f>
        <v>#REF!</v>
      </c>
      <c r="O42" s="37">
        <f t="shared" si="5"/>
        <v>5.6524668321423895E-2</v>
      </c>
    </row>
    <row r="43" spans="1:23">
      <c r="A43" s="27">
        <v>8</v>
      </c>
      <c r="B43" s="27">
        <f t="shared" si="0"/>
        <v>4.5504594531628202E-2</v>
      </c>
      <c r="C43" s="120">
        <v>0.1</v>
      </c>
      <c r="D43" s="120">
        <v>0.75</v>
      </c>
      <c r="E43" s="29">
        <f t="shared" si="6"/>
        <v>1.0238533769616346E-2</v>
      </c>
      <c r="F43" s="47">
        <f t="shared" si="7"/>
        <v>3.0715601308849039E-2</v>
      </c>
      <c r="G43" s="37">
        <f t="shared" si="1"/>
        <v>0.36494814645449375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4.8944017762631211E-3</v>
      </c>
      <c r="N43" s="37" t="e">
        <f>G43*I43*#REF!*J43</f>
        <v>#REF!</v>
      </c>
      <c r="O43" s="37">
        <f t="shared" si="5"/>
        <v>4.8944017762631221E-2</v>
      </c>
    </row>
    <row r="44" spans="1:23">
      <c r="A44" s="27">
        <v>9</v>
      </c>
      <c r="B44" s="27">
        <f t="shared" si="0"/>
        <v>3.9401870885338766E-2</v>
      </c>
      <c r="C44" s="120">
        <v>0.1</v>
      </c>
      <c r="D44" s="120">
        <v>0.75</v>
      </c>
      <c r="E44" s="29">
        <f t="shared" si="6"/>
        <v>8.8654209492012234E-3</v>
      </c>
      <c r="F44" s="47">
        <f t="shared" si="7"/>
        <v>2.659626284760367E-2</v>
      </c>
      <c r="G44" s="37">
        <f t="shared" si="1"/>
        <v>0.31600412869186256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4.2380025321454478E-3</v>
      </c>
      <c r="N44" s="37" t="e">
        <f>G44*I44*#REF!*J44</f>
        <v>#REF!</v>
      </c>
      <c r="O44" s="37">
        <f t="shared" si="5"/>
        <v>4.2380025321454483E-2</v>
      </c>
    </row>
    <row r="45" spans="1:23">
      <c r="A45" s="27">
        <v>10</v>
      </c>
      <c r="B45" s="27">
        <f t="shared" si="0"/>
        <v>3.4117597250225534E-2</v>
      </c>
      <c r="C45" s="120">
        <v>0.1</v>
      </c>
      <c r="D45" s="120">
        <v>0.75</v>
      </c>
      <c r="E45" s="29">
        <f t="shared" si="6"/>
        <v>7.6764593813007454E-3</v>
      </c>
      <c r="F45" s="47">
        <f t="shared" si="7"/>
        <v>2.3029378143902237E-2</v>
      </c>
      <c r="G45" s="37">
        <f t="shared" si="1"/>
        <v>0.2736241033704081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3.6696344688286302E-3</v>
      </c>
      <c r="N45" s="37" t="e">
        <f>G45*I45*#REF!*J45</f>
        <v>#REF!</v>
      </c>
      <c r="O45" s="37">
        <f t="shared" si="5"/>
        <v>3.6696344688286309E-2</v>
      </c>
    </row>
    <row r="46" spans="1:23">
      <c r="A46" s="27">
        <v>11</v>
      </c>
      <c r="B46" s="27">
        <f t="shared" si="0"/>
        <v>2.9542009452188715E-2</v>
      </c>
      <c r="C46" s="120">
        <v>0.1</v>
      </c>
      <c r="D46" s="120">
        <v>0.75</v>
      </c>
      <c r="E46" s="29">
        <f t="shared" si="6"/>
        <v>6.6469521267424605E-3</v>
      </c>
      <c r="F46" s="47">
        <f t="shared" si="7"/>
        <v>1.9940856380227381E-2</v>
      </c>
      <c r="G46" s="37">
        <f t="shared" si="1"/>
        <v>0.23692775868212176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3.1774915264144591E-3</v>
      </c>
      <c r="N46" s="37" t="e">
        <f>G46*I46*#REF!*J46</f>
        <v>#REF!</v>
      </c>
      <c r="O46" s="37">
        <f t="shared" si="5"/>
        <v>3.1774915264144596E-2</v>
      </c>
    </row>
    <row r="47" spans="1:23">
      <c r="A47" s="27">
        <v>12</v>
      </c>
      <c r="B47" s="27">
        <f t="shared" si="0"/>
        <v>2.5580064037699433E-2</v>
      </c>
      <c r="C47" s="120">
        <v>0.1</v>
      </c>
      <c r="D47" s="120">
        <v>0.75</v>
      </c>
      <c r="E47" s="29">
        <f t="shared" si="6"/>
        <v>5.7555144084823727E-3</v>
      </c>
      <c r="F47" s="47">
        <f t="shared" si="7"/>
        <v>1.7266543225447118E-2</v>
      </c>
      <c r="G47" s="37">
        <f t="shared" si="1"/>
        <v>0.20515284341797721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2.7513509822842223E-3</v>
      </c>
      <c r="N47" s="37" t="e">
        <f>G47*I47*#REF!*J47</f>
        <v>#REF!</v>
      </c>
      <c r="O47" s="37">
        <f t="shared" si="5"/>
        <v>2.751350982284223E-2</v>
      </c>
    </row>
    <row r="48" spans="1:23">
      <c r="A48" s="27">
        <v>13</v>
      </c>
      <c r="B48" s="27">
        <f t="shared" si="0"/>
        <v>2.214946404481382E-2</v>
      </c>
      <c r="C48" s="120">
        <v>0.1</v>
      </c>
      <c r="D48" s="120">
        <v>0.75</v>
      </c>
      <c r="E48" s="29">
        <f t="shared" si="6"/>
        <v>4.9836294100831097E-3</v>
      </c>
      <c r="F48" s="47">
        <f t="shared" si="7"/>
        <v>1.4950888230249329E-2</v>
      </c>
      <c r="G48" s="37">
        <f t="shared" si="1"/>
        <v>0.17763933359513498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2.3823611061705666E-3</v>
      </c>
      <c r="N48" s="37" t="e">
        <f>G48*I48*#REF!*J48</f>
        <v>#REF!</v>
      </c>
      <c r="O48" s="37">
        <f t="shared" si="5"/>
        <v>2.3823611061705673E-2</v>
      </c>
    </row>
    <row r="49" spans="1:15">
      <c r="A49" s="27">
        <v>14</v>
      </c>
      <c r="B49" s="27">
        <f t="shared" si="0"/>
        <v>1.9178949542482164E-2</v>
      </c>
      <c r="C49" s="120">
        <v>0.1</v>
      </c>
      <c r="D49" s="120">
        <v>0.75</v>
      </c>
      <c r="E49" s="29">
        <f t="shared" si="6"/>
        <v>4.3152636470584873E-3</v>
      </c>
      <c r="F49" s="47">
        <f t="shared" si="7"/>
        <v>1.2945790941175463E-2</v>
      </c>
      <c r="G49" s="37">
        <f t="shared" si="1"/>
        <v>0.15381572253342932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2.0628572932858691E-3</v>
      </c>
      <c r="N49" s="37" t="e">
        <f>G49*I49*#REF!*J49</f>
        <v>#REF!</v>
      </c>
      <c r="O49" s="37">
        <f t="shared" si="5"/>
        <v>2.0628572932858694E-2</v>
      </c>
    </row>
    <row r="50" spans="1:15">
      <c r="A50" s="27">
        <v>15</v>
      </c>
      <c r="B50" s="27">
        <f t="shared" si="0"/>
        <v>1.6606817429481006E-2</v>
      </c>
      <c r="C50" s="120">
        <v>0.1</v>
      </c>
      <c r="D50" s="120">
        <v>0.82499999999999996</v>
      </c>
      <c r="E50" s="29">
        <f t="shared" si="6"/>
        <v>2.6155737451432591E-3</v>
      </c>
      <c r="F50" s="47">
        <f t="shared" si="7"/>
        <v>1.2330561941389647E-2</v>
      </c>
      <c r="G50" s="37">
        <f t="shared" si="1"/>
        <v>0.1331871496005706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1.7862028562508076E-3</v>
      </c>
      <c r="N50" s="37" t="e">
        <f>G50*I50*#REF!*J50</f>
        <v>#REF!</v>
      </c>
      <c r="O50" s="37">
        <f t="shared" si="5"/>
        <v>1.786202856250808E-2</v>
      </c>
    </row>
    <row r="51" spans="1:15">
      <c r="A51" s="27">
        <v>16</v>
      </c>
      <c r="B51" s="27">
        <f t="shared" si="0"/>
        <v>1.4379639746443663E-2</v>
      </c>
      <c r="C51" s="120">
        <v>0.1</v>
      </c>
      <c r="D51" s="120">
        <v>0.82499999999999996</v>
      </c>
      <c r="E51" s="29">
        <f t="shared" si="6"/>
        <v>2.2647932600648778E-3</v>
      </c>
      <c r="F51" s="47">
        <f t="shared" si="7"/>
        <v>1.0676882511734421E-2</v>
      </c>
      <c r="G51" s="37">
        <f t="shared" si="1"/>
        <v>0.11532512103806256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1.546651168775932E-3</v>
      </c>
      <c r="N51" s="37" t="e">
        <f>G51*I51*#REF!*J51</f>
        <v>#REF!</v>
      </c>
      <c r="O51" s="37">
        <f t="shared" si="5"/>
        <v>1.5466511687759324E-2</v>
      </c>
    </row>
    <row r="52" spans="1:15">
      <c r="A52" s="27">
        <v>17</v>
      </c>
      <c r="B52" s="27">
        <f t="shared" si="0"/>
        <v>1.2451153877950739E-2</v>
      </c>
      <c r="C52" s="120">
        <v>0.1</v>
      </c>
      <c r="D52" s="120">
        <v>0.82499999999999996</v>
      </c>
      <c r="E52" s="29">
        <f t="shared" si="6"/>
        <v>1.9610567357772422E-3</v>
      </c>
      <c r="F52" s="47">
        <f t="shared" si="7"/>
        <v>9.2449817543784236E-3</v>
      </c>
      <c r="G52" s="37">
        <f t="shared" si="1"/>
        <v>9.9858609350303232E-2</v>
      </c>
      <c r="H52" s="37"/>
      <c r="I52" s="37">
        <f t="shared" si="2"/>
        <v>0.13411225194079501</v>
      </c>
      <c r="J52" s="37">
        <v>0.75</v>
      </c>
      <c r="K52" s="37" t="e">
        <f>1-#REF!</f>
        <v>#REF!</v>
      </c>
      <c r="L52" s="37" t="e">
        <f t="shared" si="3"/>
        <v>#REF!</v>
      </c>
      <c r="M52" s="37">
        <f t="shared" si="4"/>
        <v>1.3392262975645292E-3</v>
      </c>
      <c r="N52" s="37" t="e">
        <f>G52*I52*#REF!*J52</f>
        <v>#REF!</v>
      </c>
      <c r="O52" s="37">
        <f t="shared" si="5"/>
        <v>1.3392262975645296E-2</v>
      </c>
    </row>
    <row r="53" spans="1:15">
      <c r="A53" s="27">
        <v>18</v>
      </c>
      <c r="B53" s="27">
        <f t="shared" si="0"/>
        <v>1.0781301592117407E-2</v>
      </c>
      <c r="C53" s="120">
        <v>0.1</v>
      </c>
      <c r="D53" s="120">
        <v>0.9</v>
      </c>
      <c r="E53" s="29">
        <f t="shared" si="6"/>
        <v>9.7031714329056642E-4</v>
      </c>
      <c r="F53" s="47">
        <f t="shared" si="7"/>
        <v>8.7328542896150992E-3</v>
      </c>
      <c r="G53" s="37">
        <f t="shared" si="1"/>
        <v>8.6466346374657915E-2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1.1596196429398166E-3</v>
      </c>
      <c r="N53" s="37" t="e">
        <f>G53*I53*#REF!*J53</f>
        <v>#REF!</v>
      </c>
      <c r="O53" s="37">
        <f t="shared" si="5"/>
        <v>1.1596196429398169E-2</v>
      </c>
    </row>
    <row r="54" spans="1:15">
      <c r="A54" s="27">
        <v>19</v>
      </c>
      <c r="B54" s="27">
        <f t="shared" si="0"/>
        <v>9.3353969567456611E-3</v>
      </c>
      <c r="C54" s="120">
        <v>0.1</v>
      </c>
      <c r="D54" s="120">
        <v>0.9</v>
      </c>
      <c r="E54" s="29">
        <f t="shared" si="6"/>
        <v>8.4018572610710936E-4</v>
      </c>
      <c r="F54" s="47">
        <f t="shared" si="7"/>
        <v>7.5616715349639861E-3</v>
      </c>
      <c r="G54" s="37">
        <f t="shared" si="1"/>
        <v>7.4870149945259784E-2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1.0041004412303779E-3</v>
      </c>
      <c r="N54" s="37" t="e">
        <f>G54*I54*#REF!*J54</f>
        <v>#REF!</v>
      </c>
      <c r="O54" s="37">
        <f t="shared" si="5"/>
        <v>1.0041004412303781E-2</v>
      </c>
    </row>
    <row r="55" spans="1:15">
      <c r="A55" s="27">
        <v>20</v>
      </c>
      <c r="B55" s="27">
        <f t="shared" si="0"/>
        <v>8.0834058481152552E-3</v>
      </c>
      <c r="C55" s="120">
        <v>0.1</v>
      </c>
      <c r="D55" s="120">
        <v>0.9</v>
      </c>
      <c r="E55" s="29">
        <f t="shared" si="6"/>
        <v>7.2750652633037289E-4</v>
      </c>
      <c r="F55" s="47">
        <f t="shared" si="7"/>
        <v>6.5475587369733575E-3</v>
      </c>
      <c r="G55" s="37">
        <f t="shared" si="1"/>
        <v>6.482914553295599E-2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8.6943826988222577E-4</v>
      </c>
      <c r="N55" s="37" t="e">
        <f>G55*I55*#REF!*J55</f>
        <v>#REF!</v>
      </c>
      <c r="O55" s="37">
        <f t="shared" si="5"/>
        <v>8.6943826988222592E-3</v>
      </c>
    </row>
    <row r="56" spans="1:15">
      <c r="A56" s="27">
        <v>21</v>
      </c>
      <c r="B56" s="27">
        <f t="shared" si="0"/>
        <v>6.9993220864731295E-3</v>
      </c>
      <c r="C56" s="120">
        <v>0.1</v>
      </c>
      <c r="D56" s="120">
        <v>0.9</v>
      </c>
      <c r="E56" s="29">
        <f t="shared" si="6"/>
        <v>6.2993898778258156E-4</v>
      </c>
      <c r="F56" s="47">
        <f t="shared" si="7"/>
        <v>5.6694508900432357E-3</v>
      </c>
      <c r="G56" s="37">
        <f t="shared" si="1"/>
        <v>5.6134762834133725E-2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7.5283594558481161E-4</v>
      </c>
      <c r="N56" s="37" t="e">
        <f>G56*I56*#REF!*J56</f>
        <v>#REF!</v>
      </c>
      <c r="O56" s="37">
        <f t="shared" si="5"/>
        <v>7.528359455848118E-3</v>
      </c>
    </row>
    <row r="57" spans="1:15">
      <c r="A57" s="27">
        <v>22</v>
      </c>
      <c r="B57" s="27">
        <f t="shared" si="0"/>
        <v>6.0606272393972736E-3</v>
      </c>
      <c r="C57" s="120">
        <v>0.1</v>
      </c>
      <c r="D57" s="120">
        <v>0.9</v>
      </c>
      <c r="E57" s="29">
        <f t="shared" si="6"/>
        <v>5.454564515457545E-4</v>
      </c>
      <c r="F57" s="47">
        <f t="shared" si="7"/>
        <v>4.9091080639117922E-3</v>
      </c>
      <c r="G57" s="37">
        <f t="shared" si="1"/>
        <v>4.8606403378285624E-2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6.5187142158045495E-4</v>
      </c>
      <c r="N57" s="37" t="e">
        <f>G57*I57*#REF!*J57</f>
        <v>#REF!</v>
      </c>
      <c r="O57" s="37">
        <f t="shared" si="5"/>
        <v>6.5187142158045514E-3</v>
      </c>
    </row>
    <row r="58" spans="1:15">
      <c r="A58" s="27">
        <v>23</v>
      </c>
      <c r="B58" s="27">
        <f t="shared" si="0"/>
        <v>5.2478228721479815E-3</v>
      </c>
      <c r="C58" s="120">
        <v>0.1</v>
      </c>
      <c r="D58" s="120">
        <v>0.9</v>
      </c>
      <c r="E58" s="29">
        <f t="shared" si="6"/>
        <v>4.7230405849331826E-4</v>
      </c>
      <c r="F58" s="47">
        <f t="shared" si="7"/>
        <v>4.2507365264398654E-3</v>
      </c>
      <c r="G58" s="37">
        <f t="shared" si="1"/>
        <v>4.2087689162481068E-2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5.6444747725645271E-4</v>
      </c>
      <c r="N58" s="37" t="e">
        <f>G58*I58*#REF!*J58</f>
        <v>#REF!</v>
      </c>
      <c r="O58" s="37">
        <f t="shared" si="5"/>
        <v>5.6444747725645289E-3</v>
      </c>
    </row>
    <row r="59" spans="1:15">
      <c r="A59" s="27">
        <v>24</v>
      </c>
      <c r="B59" s="27">
        <f t="shared" si="0"/>
        <v>4.5440255289778061E-3</v>
      </c>
      <c r="C59" s="120">
        <v>0.1</v>
      </c>
      <c r="D59" s="120">
        <v>0.9</v>
      </c>
      <c r="E59" s="29">
        <f t="shared" si="6"/>
        <v>4.089622976080025E-4</v>
      </c>
      <c r="F59" s="47">
        <f t="shared" si="7"/>
        <v>3.6806606784720234E-3</v>
      </c>
      <c r="G59" s="37">
        <f t="shared" si="1"/>
        <v>3.6443214389916538E-2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4.8874815497928917E-4</v>
      </c>
      <c r="N59" s="37" t="e">
        <f>G59*I59*#REF!*J59</f>
        <v>#REF!</v>
      </c>
      <c r="O59" s="37">
        <f t="shared" si="5"/>
        <v>4.8874815497928926E-3</v>
      </c>
    </row>
    <row r="60" spans="1:15">
      <c r="A60" s="27">
        <v>25</v>
      </c>
      <c r="B60" s="27">
        <f t="shared" si="0"/>
        <v>3.9346160324101294E-3</v>
      </c>
      <c r="C60" s="120">
        <v>0.1</v>
      </c>
      <c r="D60" s="120">
        <v>0.9</v>
      </c>
      <c r="E60" s="29">
        <f t="shared" si="6"/>
        <v>3.5411544291691154E-4</v>
      </c>
      <c r="F60" s="47">
        <f t="shared" si="7"/>
        <v>3.187038986252205E-3</v>
      </c>
      <c r="G60" s="37">
        <f t="shared" si="1"/>
        <v>3.1555732840123654E-2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4.2320103928310813E-4</v>
      </c>
      <c r="N60" s="37" t="e">
        <f>G60*I60*#REF!*J60</f>
        <v>#REF!</v>
      </c>
      <c r="O60" s="37">
        <f t="shared" si="5"/>
        <v>4.2320103928310824E-3</v>
      </c>
    </row>
    <row r="61" spans="1:15">
      <c r="A61" s="27">
        <v>26</v>
      </c>
      <c r="B61" s="27">
        <f t="shared" si="0"/>
        <v>3.406935815781251E-3</v>
      </c>
      <c r="C61" s="120">
        <v>0.1</v>
      </c>
      <c r="D61" s="120">
        <v>0.9</v>
      </c>
      <c r="E61" s="29">
        <f t="shared" si="6"/>
        <v>3.0662422342031255E-4</v>
      </c>
      <c r="F61" s="47">
        <f t="shared" si="7"/>
        <v>2.7596180107828136E-3</v>
      </c>
      <c r="G61" s="37">
        <f t="shared" si="1"/>
        <v>2.7323722447292569E-2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3.664445948811656E-4</v>
      </c>
      <c r="N61" s="37" t="e">
        <f>G61*I61*#REF!*J61</f>
        <v>#REF!</v>
      </c>
      <c r="O61" s="37">
        <f t="shared" si="5"/>
        <v>3.664445948811657E-3</v>
      </c>
    </row>
    <row r="62" spans="1:15">
      <c r="A62" s="27">
        <v>27</v>
      </c>
      <c r="B62" s="27">
        <f t="shared" si="0"/>
        <v>2.9500239813090774E-3</v>
      </c>
      <c r="C62" s="120">
        <v>0.1</v>
      </c>
      <c r="D62" s="120">
        <v>0.9</v>
      </c>
      <c r="E62" s="29">
        <f t="shared" si="6"/>
        <v>2.6550215831781695E-4</v>
      </c>
      <c r="F62" s="47">
        <f t="shared" si="7"/>
        <v>2.3895194248603527E-3</v>
      </c>
      <c r="G62" s="37">
        <f t="shared" si="1"/>
        <v>2.3659276498480913E-2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3.1729988505012021E-4</v>
      </c>
      <c r="N62" s="37" t="e">
        <f>G62*I62*#REF!*J62</f>
        <v>#REF!</v>
      </c>
      <c r="O62" s="37">
        <f t="shared" si="5"/>
        <v>3.1729988505012027E-3</v>
      </c>
    </row>
    <row r="63" spans="1:15">
      <c r="A63" s="27">
        <v>28</v>
      </c>
      <c r="B63" s="27">
        <f t="shared" si="0"/>
        <v>2.5543896218963671E-3</v>
      </c>
      <c r="C63" s="120">
        <v>0.1</v>
      </c>
      <c r="D63" s="120">
        <v>0.9</v>
      </c>
      <c r="E63" s="29">
        <f t="shared" si="6"/>
        <v>2.29895065970673E-4</v>
      </c>
      <c r="F63" s="47">
        <f t="shared" si="7"/>
        <v>2.0690555937360575E-3</v>
      </c>
      <c r="G63" s="37">
        <f t="shared" si="1"/>
        <v>2.0486277647979705E-2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2.7474608292549311E-4</v>
      </c>
      <c r="N63" s="37" t="e">
        <f>G63*I63*#REF!*J63</f>
        <v>#REF!</v>
      </c>
      <c r="O63" s="37">
        <f t="shared" si="5"/>
        <v>2.7474608292549318E-3</v>
      </c>
    </row>
    <row r="64" spans="1:15">
      <c r="A64" s="27">
        <v>29</v>
      </c>
      <c r="B64" s="27">
        <f t="shared" si="0"/>
        <v>2.2118146773696511E-3</v>
      </c>
      <c r="C64" s="120">
        <v>0.1</v>
      </c>
      <c r="D64" s="120">
        <v>0.9</v>
      </c>
      <c r="E64" s="29">
        <f t="shared" si="6"/>
        <v>1.9906332096326858E-4</v>
      </c>
      <c r="F64" s="47">
        <f t="shared" si="7"/>
        <v>1.7915698886694176E-3</v>
      </c>
      <c r="G64" s="37">
        <f t="shared" si="1"/>
        <v>1.7738816818724773E-2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2.3789926703244281E-4</v>
      </c>
      <c r="N64" s="37" t="e">
        <f>G64*I64*#REF!*J64</f>
        <v>#REF!</v>
      </c>
      <c r="O64" s="37">
        <f t="shared" si="5"/>
        <v>2.3789926703244287E-3</v>
      </c>
    </row>
    <row r="65" spans="1:15">
      <c r="A65" s="27">
        <v>30</v>
      </c>
      <c r="B65" s="27">
        <f t="shared" si="0"/>
        <v>1.9151832301119041E-3</v>
      </c>
      <c r="C65" s="120">
        <v>0.1</v>
      </c>
      <c r="D65" s="120">
        <v>0.9</v>
      </c>
      <c r="E65" s="29">
        <f t="shared" si="6"/>
        <v>1.7236649071007134E-4</v>
      </c>
      <c r="F65" s="47">
        <f t="shared" si="7"/>
        <v>1.5512984163906425E-3</v>
      </c>
      <c r="G65" s="37">
        <f t="shared" si="1"/>
        <v>1.5359824148400357E-2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2.0599406059565754E-4</v>
      </c>
      <c r="N65" s="37" t="e">
        <f>G65*I65*#REF!*J65</f>
        <v>#REF!</v>
      </c>
      <c r="O65" s="37">
        <f t="shared" si="5"/>
        <v>2.0599406059565758E-3</v>
      </c>
    </row>
    <row r="66" spans="1:15">
      <c r="A66" s="27">
        <v>31</v>
      </c>
      <c r="B66" s="27">
        <f t="shared" si="0"/>
        <v>1.6583336942423506E-3</v>
      </c>
      <c r="C66" s="120">
        <v>0.1</v>
      </c>
      <c r="D66" s="120">
        <v>0.9</v>
      </c>
      <c r="E66" s="29">
        <f t="shared" si="6"/>
        <v>1.4925003248181151E-4</v>
      </c>
      <c r="F66" s="47">
        <f t="shared" si="7"/>
        <v>1.3432502923363039E-3</v>
      </c>
      <c r="G66" s="37">
        <f t="shared" si="1"/>
        <v>1.3299883542443779E-2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1.783677332427453E-4</v>
      </c>
      <c r="N66" s="37" t="e">
        <f>G66*I66*#REF!*J66</f>
        <v>#REF!</v>
      </c>
      <c r="O66" s="37">
        <f t="shared" si="5"/>
        <v>1.7836773324274534E-3</v>
      </c>
    </row>
    <row r="67" spans="1:15">
      <c r="A67" s="27">
        <v>32</v>
      </c>
      <c r="B67" s="27">
        <f t="shared" si="0"/>
        <v>1.4359308280382109E-3</v>
      </c>
      <c r="C67" s="120">
        <v>0.1</v>
      </c>
      <c r="D67" s="120">
        <v>0.9</v>
      </c>
      <c r="E67" s="29">
        <f t="shared" si="6"/>
        <v>1.2923377452343896E-4</v>
      </c>
      <c r="F67" s="47">
        <f t="shared" si="7"/>
        <v>1.1631039707109508E-3</v>
      </c>
      <c r="G67" s="37">
        <f t="shared" si="1"/>
        <v>1.1516206210016325E-2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1.544464348639857E-4</v>
      </c>
      <c r="N67" s="37" t="e">
        <f>G67*I67*#REF!*J67</f>
        <v>#REF!</v>
      </c>
      <c r="O67" s="37">
        <f t="shared" si="5"/>
        <v>1.5444643486398574E-3</v>
      </c>
    </row>
    <row r="68" spans="1:15">
      <c r="A68" s="27">
        <v>33</v>
      </c>
      <c r="B68" s="27">
        <f t="shared" ref="B68:B85" si="8">$F$7*EXP(-$F$7*A68)</f>
        <v>1.243354911058796E-3</v>
      </c>
      <c r="C68" s="120">
        <v>0.1</v>
      </c>
      <c r="D68" s="120">
        <v>0.9</v>
      </c>
      <c r="E68" s="29">
        <f t="shared" si="6"/>
        <v>1.1190194199529161E-4</v>
      </c>
      <c r="F68" s="47">
        <f t="shared" si="7"/>
        <v>1.0071174779576247E-3</v>
      </c>
      <c r="G68" s="37">
        <f t="shared" ref="G68:G84" si="9">EXP(-$F$7*(A68-1))</f>
        <v>9.9717418613764659E-3</v>
      </c>
      <c r="H68" s="37"/>
      <c r="I68" s="37">
        <f t="shared" ref="I68:I84" si="10">1-EXP(-$F$7)</f>
        <v>0.13411225194079501</v>
      </c>
      <c r="J68" s="37">
        <v>0.75</v>
      </c>
      <c r="K68" s="37" t="e">
        <f>1-#REF!</f>
        <v>#REF!</v>
      </c>
      <c r="L68" s="37" t="e">
        <f t="shared" ref="L68:L84" si="11">G68*I68*K68*J68</f>
        <v>#REF!</v>
      </c>
      <c r="M68" s="37">
        <f t="shared" ref="M68:M84" si="12">G68*I68*(1-$J$36)</f>
        <v>1.3373327568014926E-4</v>
      </c>
      <c r="N68" s="37" t="e">
        <f>G68*I68*#REF!*J68</f>
        <v>#REF!</v>
      </c>
      <c r="O68" s="37">
        <f t="shared" ref="O68:O84" si="13">G68*I68</f>
        <v>1.3373327568014929E-3</v>
      </c>
    </row>
    <row r="69" spans="1:15">
      <c r="A69" s="27">
        <v>34</v>
      </c>
      <c r="B69" s="27">
        <f t="shared" si="8"/>
        <v>1.0766057839750539E-3</v>
      </c>
      <c r="C69" s="120">
        <v>0.1</v>
      </c>
      <c r="D69" s="120">
        <v>0.9</v>
      </c>
      <c r="E69" s="29">
        <f t="shared" si="6"/>
        <v>9.6894520557754845E-5</v>
      </c>
      <c r="F69" s="47">
        <f t="shared" si="7"/>
        <v>8.7205068501979379E-4</v>
      </c>
      <c r="G69" s="37">
        <f t="shared" si="9"/>
        <v>8.6344091045749728E-3</v>
      </c>
      <c r="H69" s="37"/>
      <c r="I69" s="37">
        <f t="shared" si="10"/>
        <v>0.13411225194079501</v>
      </c>
      <c r="J69" s="37">
        <v>0.75</v>
      </c>
      <c r="K69" s="37" t="e">
        <f>1-#REF!</f>
        <v>#REF!</v>
      </c>
      <c r="L69" s="37" t="e">
        <f t="shared" si="11"/>
        <v>#REF!</v>
      </c>
      <c r="M69" s="37">
        <f t="shared" si="12"/>
        <v>1.1579800491926528E-4</v>
      </c>
      <c r="N69" s="37" t="e">
        <f>G69*I69*#REF!*J69</f>
        <v>#REF!</v>
      </c>
      <c r="O69" s="37">
        <f t="shared" si="13"/>
        <v>1.1579800491926531E-3</v>
      </c>
    </row>
    <row r="70" spans="1:15">
      <c r="A70" s="27">
        <v>35</v>
      </c>
      <c r="B70" s="27">
        <f t="shared" si="8"/>
        <v>9.3221975783367426E-4</v>
      </c>
      <c r="C70" s="120">
        <v>0.1</v>
      </c>
      <c r="D70" s="120">
        <v>0.9</v>
      </c>
      <c r="E70" s="29">
        <f t="shared" si="6"/>
        <v>8.3899778205030667E-5</v>
      </c>
      <c r="F70" s="47">
        <f t="shared" si="7"/>
        <v>7.5509800384527615E-4</v>
      </c>
      <c r="G70" s="37">
        <f t="shared" si="9"/>
        <v>7.4764290553823191E-3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1.0026807370929134E-4</v>
      </c>
      <c r="N70" s="37" t="e">
        <f>G70*I70*#REF!*J70</f>
        <v>#REF!</v>
      </c>
      <c r="O70" s="37">
        <f t="shared" si="13"/>
        <v>1.0026807370929135E-3</v>
      </c>
    </row>
    <row r="71" spans="1:15">
      <c r="A71" s="27">
        <v>36</v>
      </c>
      <c r="B71" s="27">
        <f t="shared" si="8"/>
        <v>8.0719766680689817E-4</v>
      </c>
      <c r="C71" s="120">
        <v>0.1</v>
      </c>
      <c r="D71" s="120">
        <v>0.9</v>
      </c>
      <c r="E71" s="29">
        <f t="shared" si="6"/>
        <v>7.2647790012620817E-5</v>
      </c>
      <c r="F71" s="47">
        <f t="shared" si="7"/>
        <v>6.5383011011358751E-4</v>
      </c>
      <c r="G71" s="37">
        <f t="shared" si="9"/>
        <v>6.4737483182894049E-3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8.682089654637265E-5</v>
      </c>
      <c r="N71" s="37" t="e">
        <f>G71*I71*#REF!*J71</f>
        <v>#REF!</v>
      </c>
      <c r="O71" s="37">
        <f t="shared" si="13"/>
        <v>8.6820896546372674E-4</v>
      </c>
    </row>
    <row r="72" spans="1:15">
      <c r="A72" s="27">
        <v>37</v>
      </c>
      <c r="B72" s="27">
        <f t="shared" si="8"/>
        <v>6.9894256995006948E-4</v>
      </c>
      <c r="C72" s="120">
        <v>0.1</v>
      </c>
      <c r="D72" s="120">
        <v>0.9</v>
      </c>
      <c r="E72" s="29">
        <f t="shared" si="6"/>
        <v>6.2904831295506247E-5</v>
      </c>
      <c r="F72" s="47">
        <f t="shared" si="7"/>
        <v>5.6614348165955639E-4</v>
      </c>
      <c r="G72" s="37">
        <f t="shared" si="9"/>
        <v>5.6055393528256824E-3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7.5177150595019882E-5</v>
      </c>
      <c r="N72" s="37" t="e">
        <f>G72*I72*#REF!*J72</f>
        <v>#REF!</v>
      </c>
      <c r="O72" s="37">
        <f t="shared" si="13"/>
        <v>7.5177150595019898E-4</v>
      </c>
    </row>
    <row r="73" spans="1:15">
      <c r="A73" s="27">
        <v>38</v>
      </c>
      <c r="B73" s="27">
        <f t="shared" si="8"/>
        <v>6.0520580791677909E-4</v>
      </c>
      <c r="C73" s="120">
        <v>0.1</v>
      </c>
      <c r="D73" s="120">
        <v>0.9</v>
      </c>
      <c r="E73" s="29">
        <f t="shared" si="6"/>
        <v>5.4468522712510111E-5</v>
      </c>
      <c r="F73" s="47">
        <f t="shared" si="7"/>
        <v>4.9021670441259111E-4</v>
      </c>
      <c r="G73" s="37">
        <f t="shared" si="9"/>
        <v>4.8537678468754831E-3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6.5094973634229484E-5</v>
      </c>
      <c r="N73" s="37" t="e">
        <f>G73*I73*#REF!*J73</f>
        <v>#REF!</v>
      </c>
      <c r="O73" s="37">
        <f t="shared" si="13"/>
        <v>6.5094973634229492E-4</v>
      </c>
    </row>
    <row r="74" spans="1:15">
      <c r="A74" s="27">
        <v>39</v>
      </c>
      <c r="B74" s="27">
        <f t="shared" si="8"/>
        <v>5.240402941294115E-4</v>
      </c>
      <c r="C74" s="120">
        <v>0.1</v>
      </c>
      <c r="D74" s="120">
        <v>0.9</v>
      </c>
      <c r="E74" s="29">
        <f t="shared" si="6"/>
        <v>4.7163626471647028E-5</v>
      </c>
      <c r="F74" s="47">
        <f t="shared" si="7"/>
        <v>4.2447263824482332E-4</v>
      </c>
      <c r="G74" s="37">
        <f t="shared" si="9"/>
        <v>4.2028181105331882E-3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5.6364940130116291E-5</v>
      </c>
      <c r="N74" s="37" t="e">
        <f>G74*I74*#REF!*J74</f>
        <v>#REF!</v>
      </c>
      <c r="O74" s="37">
        <f t="shared" si="13"/>
        <v>5.6364940130116303E-4</v>
      </c>
    </row>
    <row r="75" spans="1:15">
      <c r="A75" s="27">
        <v>40</v>
      </c>
      <c r="B75" s="27">
        <f t="shared" si="8"/>
        <v>4.5376007017599955E-4</v>
      </c>
      <c r="C75" s="120">
        <v>0.1</v>
      </c>
      <c r="D75" s="120">
        <v>0.9</v>
      </c>
      <c r="E75" s="29">
        <f t="shared" si="6"/>
        <v>4.0838406315839953E-5</v>
      </c>
      <c r="F75" s="47">
        <f t="shared" si="7"/>
        <v>3.6754565684255966E-4</v>
      </c>
      <c r="G75" s="37">
        <f t="shared" si="9"/>
        <v>3.6391687092320246E-3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4.8805711078758298E-5</v>
      </c>
      <c r="N75" s="37" t="e">
        <f>G75*I75*#REF!*J75</f>
        <v>#REF!</v>
      </c>
      <c r="O75" s="37">
        <f t="shared" si="13"/>
        <v>4.8805711078758307E-4</v>
      </c>
    </row>
    <row r="76" spans="1:15">
      <c r="A76" s="27">
        <v>41</v>
      </c>
      <c r="B76" s="27">
        <f t="shared" si="8"/>
        <v>3.9290528532388299E-4</v>
      </c>
      <c r="C76" s="120">
        <v>0.1</v>
      </c>
      <c r="D76" s="120">
        <v>0.9</v>
      </c>
      <c r="E76" s="29">
        <f t="shared" si="6"/>
        <v>3.536147567914946E-5</v>
      </c>
      <c r="F76" s="47">
        <f t="shared" si="7"/>
        <v>3.1825328111234521E-4</v>
      </c>
      <c r="G76" s="37">
        <f t="shared" si="9"/>
        <v>3.1511115984444414E-3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4.226026725841421E-5</v>
      </c>
      <c r="N76" s="37" t="e">
        <f>G76*I76*#REF!*J76</f>
        <v>#REF!</v>
      </c>
      <c r="O76" s="37">
        <f t="shared" si="13"/>
        <v>4.2260267258414219E-4</v>
      </c>
    </row>
    <row r="77" spans="1:15">
      <c r="A77" s="27">
        <v>42</v>
      </c>
      <c r="B77" s="27">
        <f t="shared" si="8"/>
        <v>3.402118727096567E-4</v>
      </c>
      <c r="C77" s="120">
        <v>0.1</v>
      </c>
      <c r="D77" s="120">
        <v>0.9</v>
      </c>
      <c r="E77" s="29">
        <f t="shared" si="6"/>
        <v>3.0619068543869093E-5</v>
      </c>
      <c r="F77" s="47">
        <f t="shared" si="7"/>
        <v>2.7557161689482191E-4</v>
      </c>
      <c r="G77" s="37">
        <f t="shared" si="9"/>
        <v>2.7285089258602987E-3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3.6592647648768428E-5</v>
      </c>
      <c r="N77" s="37" t="e">
        <f>G77*I77*#REF!*J77</f>
        <v>#REF!</v>
      </c>
      <c r="O77" s="37">
        <f t="shared" si="13"/>
        <v>3.6592647648768436E-4</v>
      </c>
    </row>
    <row r="78" spans="1:15">
      <c r="A78" s="27">
        <v>43</v>
      </c>
      <c r="B78" s="27">
        <f t="shared" si="8"/>
        <v>2.9458529232356952E-4</v>
      </c>
      <c r="C78" s="120">
        <v>0.1</v>
      </c>
      <c r="D78" s="120">
        <v>0.9</v>
      </c>
      <c r="E78" s="29">
        <f t="shared" si="6"/>
        <v>2.6512676309121251E-5</v>
      </c>
      <c r="F78" s="47">
        <f t="shared" si="7"/>
        <v>2.3861408678209134E-4</v>
      </c>
      <c r="G78" s="37">
        <f t="shared" si="9"/>
        <v>2.3625824493726162E-3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3.1685125268116083E-5</v>
      </c>
      <c r="N78" s="37" t="e">
        <f>G78*I78*#REF!*J78</f>
        <v>#REF!</v>
      </c>
      <c r="O78" s="37">
        <f t="shared" si="13"/>
        <v>3.1685125268116087E-4</v>
      </c>
    </row>
    <row r="79" spans="1:15">
      <c r="A79" s="27">
        <v>44</v>
      </c>
      <c r="B79" s="27">
        <f t="shared" si="8"/>
        <v>2.5507779538141821E-4</v>
      </c>
      <c r="C79" s="120">
        <v>0.1</v>
      </c>
      <c r="D79" s="120">
        <v>0.9</v>
      </c>
      <c r="E79" s="29">
        <f t="shared" si="6"/>
        <v>2.2957001584327634E-5</v>
      </c>
      <c r="F79" s="47">
        <f t="shared" si="7"/>
        <v>2.0661301425894875E-4</v>
      </c>
      <c r="G79" s="37">
        <f t="shared" si="9"/>
        <v>2.0457311966914551E-3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2.7435761765382843E-5</v>
      </c>
      <c r="N79" s="37" t="e">
        <f>G79*I79*#REF!*J79</f>
        <v>#REF!</v>
      </c>
      <c r="O79" s="37">
        <f t="shared" si="13"/>
        <v>2.743576176538285E-4</v>
      </c>
    </row>
    <row r="80" spans="1:15">
      <c r="A80" s="27">
        <v>45</v>
      </c>
      <c r="B80" s="27">
        <f t="shared" si="8"/>
        <v>2.2086873782272285E-4</v>
      </c>
      <c r="C80" s="120">
        <v>0.1</v>
      </c>
      <c r="D80" s="120">
        <v>0.9</v>
      </c>
      <c r="E80" s="29">
        <f t="shared" si="6"/>
        <v>1.9878186404045054E-5</v>
      </c>
      <c r="F80" s="47">
        <f t="shared" si="7"/>
        <v>1.7890367763640552E-4</v>
      </c>
      <c r="G80" s="37">
        <f t="shared" si="9"/>
        <v>1.7713735790376266E-3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2.3756289971316189E-5</v>
      </c>
      <c r="N80" s="37" t="e">
        <f>G80*I80*#REF!*J80</f>
        <v>#REF!</v>
      </c>
      <c r="O80" s="37">
        <f t="shared" si="13"/>
        <v>2.3756289971316194E-4</v>
      </c>
    </row>
    <row r="81" spans="1:30">
      <c r="A81" s="27">
        <v>46</v>
      </c>
      <c r="B81" s="27">
        <f t="shared" si="8"/>
        <v>1.9124753400999643E-4</v>
      </c>
      <c r="C81" s="120">
        <v>0.1</v>
      </c>
      <c r="D81" s="120">
        <v>0.9</v>
      </c>
      <c r="E81" s="29">
        <f t="shared" si="6"/>
        <v>1.7212278060899674E-5</v>
      </c>
      <c r="F81" s="47">
        <f t="shared" si="7"/>
        <v>1.5491050254809712E-4</v>
      </c>
      <c r="G81" s="37">
        <f t="shared" si="9"/>
        <v>1.5338106793244643E-3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2.0570280425504444E-5</v>
      </c>
      <c r="N81" s="37" t="e">
        <f>G81*I81*#REF!*J81</f>
        <v>#REF!</v>
      </c>
      <c r="O81" s="37">
        <f t="shared" si="13"/>
        <v>2.057028042550445E-4</v>
      </c>
    </row>
    <row r="82" spans="1:30">
      <c r="A82" s="27">
        <v>47</v>
      </c>
      <c r="B82" s="27">
        <f t="shared" si="8"/>
        <v>1.6559889654579202E-4</v>
      </c>
      <c r="C82" s="120">
        <v>0.1</v>
      </c>
      <c r="D82" s="120">
        <v>0.9</v>
      </c>
      <c r="E82" s="29">
        <f t="shared" si="6"/>
        <v>1.4903900689121277E-5</v>
      </c>
      <c r="F82" s="47">
        <f t="shared" si="7"/>
        <v>1.3413510620209154E-4</v>
      </c>
      <c r="G82" s="37">
        <f t="shared" si="9"/>
        <v>1.3281078750694197E-3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1.7811553794586387E-5</v>
      </c>
      <c r="N82" s="37" t="e">
        <f>G82*I82*#REF!*J82</f>
        <v>#REF!</v>
      </c>
      <c r="O82" s="37">
        <f t="shared" si="13"/>
        <v>1.7811553794586392E-4</v>
      </c>
    </row>
    <row r="83" spans="1:30">
      <c r="A83" s="27">
        <v>48</v>
      </c>
      <c r="B83" s="27">
        <f t="shared" si="8"/>
        <v>1.4339005561112524E-4</v>
      </c>
      <c r="C83" s="120">
        <v>0.1</v>
      </c>
      <c r="D83" s="120">
        <v>0.9</v>
      </c>
      <c r="E83" s="29">
        <f t="shared" si="6"/>
        <v>1.290510500500127E-5</v>
      </c>
      <c r="F83" s="47">
        <f t="shared" si="7"/>
        <v>1.1614594504501145E-4</v>
      </c>
      <c r="G83" s="37">
        <f t="shared" si="9"/>
        <v>1.1499923371235557E-3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1.5422806204629794E-5</v>
      </c>
      <c r="N83" s="37" t="e">
        <f>G83*I83*#REF!*J83</f>
        <v>#REF!</v>
      </c>
      <c r="O83" s="37">
        <f t="shared" si="13"/>
        <v>1.5422806204629796E-4</v>
      </c>
    </row>
    <row r="84" spans="1:30">
      <c r="A84" s="27">
        <v>49</v>
      </c>
      <c r="B84" s="27">
        <f t="shared" si="8"/>
        <v>1.2415969234720137E-4</v>
      </c>
      <c r="C84" s="120">
        <v>0.1</v>
      </c>
      <c r="D84" s="120">
        <v>0.9</v>
      </c>
      <c r="E84" s="29">
        <f t="shared" si="6"/>
        <v>1.1174372311248121E-5</v>
      </c>
      <c r="F84" s="47">
        <f t="shared" si="7"/>
        <v>1.0056935080123311E-4</v>
      </c>
      <c r="G84" s="37">
        <f t="shared" si="9"/>
        <v>9.9576427507725861E-4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1.3354418933280437E-5</v>
      </c>
      <c r="N84" s="37" t="e">
        <f>G84*I84*#REF!*J84</f>
        <v>#REF!</v>
      </c>
      <c r="O84" s="37">
        <f t="shared" si="13"/>
        <v>1.3354418933280441E-4</v>
      </c>
    </row>
    <row r="85" spans="1:30">
      <c r="A85" s="27">
        <v>50</v>
      </c>
      <c r="B85" s="27">
        <f t="shared" si="8"/>
        <v>1.075083564062419E-4</v>
      </c>
      <c r="C85" s="120">
        <v>0.1</v>
      </c>
      <c r="D85" s="120">
        <v>0.9</v>
      </c>
      <c r="E85" s="29">
        <f t="shared" si="6"/>
        <v>9.6757520765617683E-6</v>
      </c>
      <c r="F85" s="47">
        <f t="shared" si="7"/>
        <v>8.7081768689055932E-5</v>
      </c>
      <c r="G85" s="37"/>
      <c r="H85" s="37"/>
      <c r="I85" s="37"/>
      <c r="J85" s="37"/>
      <c r="K85" s="37">
        <f>SUM(B36:B85)</f>
        <v>0.92903328181307976</v>
      </c>
      <c r="L85" s="37">
        <f>SUM(C36:C85)</f>
        <v>4.9999999999999982</v>
      </c>
      <c r="M85" s="37">
        <f>SUM(E36:E85)</f>
        <v>0.34304585198864457</v>
      </c>
      <c r="N85" s="37">
        <f>SUM(F36:F85)</f>
        <v>0.49308410164312749</v>
      </c>
      <c r="O85" s="37">
        <f>SUM(L85:N85)</f>
        <v>5.8361299536317706</v>
      </c>
    </row>
    <row r="86" spans="1:30">
      <c r="B86" s="27">
        <f>SUM(B36:B85)</f>
        <v>0.92903328181307976</v>
      </c>
      <c r="C86" s="120">
        <v>0.1</v>
      </c>
      <c r="E86" s="227">
        <f>SUM(E36:E85)</f>
        <v>0.34304585198864457</v>
      </c>
      <c r="F86" s="116">
        <f>SUM(F36:F85)</f>
        <v>0.49308410164312749</v>
      </c>
      <c r="G86" s="116">
        <f>E86+F86+C86</f>
        <v>0.93612995363177209</v>
      </c>
      <c r="I86" s="37"/>
      <c r="J86" s="37"/>
      <c r="K86" s="37"/>
      <c r="L86" s="37"/>
      <c r="M86" s="37"/>
      <c r="N86" s="37">
        <f>SUM(C37:C86)</f>
        <v>4.9999999999999982</v>
      </c>
      <c r="O86" s="37"/>
      <c r="P86" s="37"/>
      <c r="Q86" s="37"/>
      <c r="T86" s="27">
        <f>EXP(-$F$7*(A85-1))</f>
        <v>8.6222008574445409E-4</v>
      </c>
      <c r="U86" s="27">
        <f>1-EXP(-$F$7)</f>
        <v>0.13411225194079501</v>
      </c>
      <c r="V86" s="27">
        <v>0.9</v>
      </c>
      <c r="W86" s="27" t="e">
        <f>#REF!</f>
        <v>#REF!</v>
      </c>
      <c r="X86" s="27">
        <v>0.75</v>
      </c>
      <c r="Y86" s="27" t="e">
        <f t="shared" ref="Y86" si="14">V86*W86</f>
        <v>#REF!</v>
      </c>
      <c r="Z86" s="27" t="e">
        <f t="shared" ref="Z86" si="15">1-Y86</f>
        <v>#REF!</v>
      </c>
      <c r="AA86" s="27" t="e">
        <f t="shared" ref="AA86" si="16">T86*U86*Z86*X86</f>
        <v>#REF!</v>
      </c>
      <c r="AB86" s="27">
        <f>T86*U86*(1-$J$36)</f>
        <v>1.1563427736777408E-5</v>
      </c>
      <c r="AC86" s="27" t="e">
        <f t="shared" ref="AC86" si="17">T86*U86*Y86*X86</f>
        <v>#REF!</v>
      </c>
      <c r="AD86" s="27">
        <f t="shared" ref="AD86" si="18">T86*U86</f>
        <v>1.156342773677741E-4</v>
      </c>
    </row>
    <row r="87" spans="1:30">
      <c r="A87" s="27" t="s">
        <v>81</v>
      </c>
      <c r="B87" s="112"/>
      <c r="Z87" s="36" t="e">
        <f>SUM(AA37:AA86)</f>
        <v>#REF!</v>
      </c>
      <c r="AA87" s="116">
        <f>SUM(AB37:AB86)</f>
        <v>1.1563427736777408E-5</v>
      </c>
      <c r="AB87" s="116" t="e">
        <f>SUM(AC37:AC86)</f>
        <v>#REF!</v>
      </c>
      <c r="AC87" s="27" t="e">
        <f>Z87+AA87+AB87</f>
        <v>#REF!</v>
      </c>
    </row>
    <row r="88" spans="1:30">
      <c r="A88" s="27" t="s">
        <v>80</v>
      </c>
    </row>
    <row r="89" spans="1:30">
      <c r="A89" s="112" t="s">
        <v>477</v>
      </c>
      <c r="AD89" s="27" t="s">
        <v>74</v>
      </c>
    </row>
    <row r="90" spans="1:30">
      <c r="A90" s="27" t="s">
        <v>77</v>
      </c>
      <c r="B90" s="35" t="s">
        <v>76</v>
      </c>
      <c r="D90" s="120" t="s">
        <v>67</v>
      </c>
    </row>
    <row r="91" spans="1:30">
      <c r="A91" s="112" t="s">
        <v>453</v>
      </c>
      <c r="B91" s="113">
        <f>D20</f>
        <v>40.033005128303877</v>
      </c>
      <c r="C91" s="120" t="s">
        <v>75</v>
      </c>
      <c r="D91" s="120" t="s">
        <v>67</v>
      </c>
    </row>
    <row r="92" spans="1:30">
      <c r="A92" s="27" t="s">
        <v>73</v>
      </c>
      <c r="B92" s="27">
        <v>35315</v>
      </c>
      <c r="C92" s="120" t="s">
        <v>72</v>
      </c>
    </row>
    <row r="93" spans="1:30">
      <c r="A93" s="34" t="s">
        <v>71</v>
      </c>
      <c r="B93" s="27">
        <v>11700</v>
      </c>
      <c r="C93" s="120" t="s">
        <v>70</v>
      </c>
      <c r="D93" s="120" t="s">
        <v>63</v>
      </c>
      <c r="H93" s="33"/>
      <c r="I93" s="33"/>
      <c r="K93" s="112">
        <v>3412</v>
      </c>
      <c r="L93" s="112" t="s">
        <v>454</v>
      </c>
      <c r="M93" s="114">
        <f>K93/B93</f>
        <v>0.29162393162393163</v>
      </c>
      <c r="N93" s="112" t="s">
        <v>456</v>
      </c>
    </row>
    <row r="94" spans="1:30">
      <c r="A94" s="27" t="s">
        <v>69</v>
      </c>
      <c r="B94" s="27">
        <v>1</v>
      </c>
      <c r="C94" s="120" t="s">
        <v>68</v>
      </c>
      <c r="K94" s="112" t="s">
        <v>455</v>
      </c>
    </row>
    <row r="95" spans="1:30">
      <c r="B95" s="27">
        <f>B91*B92/B93*B94</f>
        <v>120.83466462444885</v>
      </c>
      <c r="C95" s="120" t="s">
        <v>66</v>
      </c>
    </row>
    <row r="96" spans="1:30">
      <c r="A96" s="27" t="s">
        <v>65</v>
      </c>
      <c r="B96" s="27">
        <f>-D99/1000</f>
        <v>-0.53737674279288006</v>
      </c>
      <c r="C96" s="120" t="s">
        <v>64</v>
      </c>
      <c r="D96" s="120" t="s">
        <v>59</v>
      </c>
      <c r="E96" s="27" t="s">
        <v>58</v>
      </c>
    </row>
    <row r="97" spans="1:15">
      <c r="B97" s="31">
        <f>B95*B96</f>
        <v>-64.933738492356369</v>
      </c>
      <c r="C97" s="120" t="s">
        <v>62</v>
      </c>
      <c r="D97" s="120">
        <v>1253.77</v>
      </c>
      <c r="E97" s="27">
        <v>36.83</v>
      </c>
    </row>
    <row r="98" spans="1:15">
      <c r="B98" s="32"/>
      <c r="G98" s="27" t="s">
        <v>57</v>
      </c>
    </row>
    <row r="99" spans="1:15">
      <c r="A99" s="27" t="s">
        <v>61</v>
      </c>
      <c r="B99" s="31" t="e">
        <f>#REF!+B97</f>
        <v>#REF!</v>
      </c>
      <c r="C99" s="120" t="s">
        <v>60</v>
      </c>
      <c r="D99" s="120">
        <v>537.37674279288001</v>
      </c>
      <c r="E99" s="28" t="s">
        <v>56</v>
      </c>
      <c r="F99" s="28"/>
      <c r="G99" s="27">
        <v>13.67</v>
      </c>
    </row>
    <row r="101" spans="1:15">
      <c r="A101" s="27" t="s">
        <v>544</v>
      </c>
      <c r="B101" s="27" t="s">
        <v>545</v>
      </c>
      <c r="C101" s="120" t="s">
        <v>546</v>
      </c>
      <c r="D101" s="120" t="s">
        <v>547</v>
      </c>
      <c r="E101" s="27" t="s">
        <v>548</v>
      </c>
      <c r="G101" s="27" t="s">
        <v>549</v>
      </c>
    </row>
    <row r="102" spans="1:15">
      <c r="A102" s="27" t="s">
        <v>550</v>
      </c>
      <c r="B102" s="27" t="s">
        <v>545</v>
      </c>
      <c r="C102" s="120" t="s">
        <v>551</v>
      </c>
      <c r="D102" s="120" t="s">
        <v>552</v>
      </c>
      <c r="E102" s="27" t="s">
        <v>553</v>
      </c>
      <c r="G102" s="27" t="s">
        <v>554</v>
      </c>
      <c r="H102" s="27" t="s">
        <v>555</v>
      </c>
      <c r="J102" s="27" t="s">
        <v>556</v>
      </c>
      <c r="K102" s="27" t="s">
        <v>551</v>
      </c>
      <c r="L102" s="27" t="s">
        <v>557</v>
      </c>
      <c r="M102" s="27" t="s">
        <v>558</v>
      </c>
      <c r="N102" s="27" t="s">
        <v>559</v>
      </c>
      <c r="O102" s="27">
        <v>-2009</v>
      </c>
    </row>
    <row r="103" spans="1:15">
      <c r="A103" s="27" t="s">
        <v>560</v>
      </c>
      <c r="B103" s="27" t="s">
        <v>545</v>
      </c>
      <c r="C103" s="120" t="s">
        <v>551</v>
      </c>
      <c r="D103" s="120" t="s">
        <v>552</v>
      </c>
      <c r="E103" s="27">
        <v>2.7</v>
      </c>
      <c r="G103" s="27" t="s">
        <v>554</v>
      </c>
      <c r="H103" s="27" t="s">
        <v>555</v>
      </c>
      <c r="J103" s="27" t="s">
        <v>556</v>
      </c>
      <c r="K103" s="27" t="s">
        <v>551</v>
      </c>
      <c r="L103" s="27" t="s">
        <v>557</v>
      </c>
      <c r="M103" s="27" t="s">
        <v>558</v>
      </c>
      <c r="N103" s="27" t="s">
        <v>559</v>
      </c>
      <c r="O103" s="27">
        <v>-2009</v>
      </c>
    </row>
    <row r="104" spans="1:15">
      <c r="A104" s="27" t="s">
        <v>550</v>
      </c>
      <c r="B104" s="27" t="s">
        <v>545</v>
      </c>
      <c r="C104" s="120" t="s">
        <v>561</v>
      </c>
      <c r="D104" s="120" t="s">
        <v>562</v>
      </c>
      <c r="E104" s="27" t="s">
        <v>554</v>
      </c>
      <c r="G104" s="27" t="s">
        <v>555</v>
      </c>
      <c r="H104" s="27" t="s">
        <v>563</v>
      </c>
      <c r="J104" s="27" t="s">
        <v>557</v>
      </c>
      <c r="K104" s="27" t="s">
        <v>558</v>
      </c>
      <c r="L104" s="27" t="s">
        <v>559</v>
      </c>
      <c r="M104" s="27">
        <v>-2009</v>
      </c>
    </row>
    <row r="105" spans="1:15">
      <c r="A105" s="27" t="s">
        <v>564</v>
      </c>
      <c r="B105" s="27" t="s">
        <v>545</v>
      </c>
      <c r="C105" s="120" t="s">
        <v>55</v>
      </c>
      <c r="D105" s="120" t="s">
        <v>565</v>
      </c>
      <c r="E105" s="27" t="s">
        <v>566</v>
      </c>
      <c r="G105" s="27" t="s">
        <v>554</v>
      </c>
      <c r="H105" s="27" t="s">
        <v>555</v>
      </c>
      <c r="J105" s="27" t="s">
        <v>554</v>
      </c>
      <c r="K105" s="27" t="s">
        <v>567</v>
      </c>
      <c r="L105" s="27" t="s">
        <v>568</v>
      </c>
      <c r="M105" s="27">
        <v>10</v>
      </c>
    </row>
    <row r="106" spans="1:15">
      <c r="A106" s="27" t="s">
        <v>564</v>
      </c>
      <c r="B106" s="27" t="s">
        <v>545</v>
      </c>
      <c r="C106" s="120" t="s">
        <v>569</v>
      </c>
      <c r="D106" s="120" t="s">
        <v>565</v>
      </c>
      <c r="E106" s="27" t="s">
        <v>570</v>
      </c>
      <c r="G106" s="27" t="s">
        <v>554</v>
      </c>
      <c r="H106" s="27" t="s">
        <v>555</v>
      </c>
      <c r="J106" s="27" t="s">
        <v>554</v>
      </c>
      <c r="K106" s="27" t="s">
        <v>571</v>
      </c>
      <c r="L106" s="27" t="s">
        <v>568</v>
      </c>
      <c r="M106" s="27">
        <v>10</v>
      </c>
    </row>
    <row r="107" spans="1:15">
      <c r="A107" s="27" t="s">
        <v>564</v>
      </c>
      <c r="B107" s="27" t="s">
        <v>545</v>
      </c>
      <c r="C107" s="120" t="s">
        <v>572</v>
      </c>
      <c r="D107" s="120" t="s">
        <v>565</v>
      </c>
      <c r="E107" s="27" t="s">
        <v>573</v>
      </c>
      <c r="G107" s="27" t="s">
        <v>554</v>
      </c>
      <c r="H107" s="27" t="s">
        <v>555</v>
      </c>
      <c r="J107" s="27" t="s">
        <v>554</v>
      </c>
      <c r="K107" s="27" t="s">
        <v>574</v>
      </c>
      <c r="L107" s="27" t="s">
        <v>568</v>
      </c>
      <c r="M107" s="27">
        <v>10</v>
      </c>
    </row>
    <row r="108" spans="1:15">
      <c r="A108" s="27" t="s">
        <v>564</v>
      </c>
      <c r="B108" s="27" t="s">
        <v>545</v>
      </c>
      <c r="C108" s="120" t="s">
        <v>575</v>
      </c>
      <c r="D108" s="120" t="s">
        <v>576</v>
      </c>
      <c r="E108" s="27" t="s">
        <v>554</v>
      </c>
      <c r="G108" s="27" t="s">
        <v>555</v>
      </c>
      <c r="H108" s="27" t="s">
        <v>577</v>
      </c>
      <c r="J108" s="27" t="s">
        <v>575</v>
      </c>
      <c r="K108" s="27" t="s">
        <v>578</v>
      </c>
      <c r="L108" s="27" t="s">
        <v>579</v>
      </c>
      <c r="M108" s="27" t="s">
        <v>580</v>
      </c>
      <c r="N108" s="27" t="s">
        <v>581</v>
      </c>
      <c r="O108" s="27" t="s">
        <v>582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15" workbookViewId="0">
      <selection activeCell="F48" sqref="F48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680</v>
      </c>
      <c r="F1" s="43" t="s">
        <v>666</v>
      </c>
      <c r="G1" s="43" t="s">
        <v>665</v>
      </c>
      <c r="H1" s="43" t="s">
        <v>2</v>
      </c>
      <c r="I1" s="43" t="s">
        <v>646</v>
      </c>
      <c r="J1" s="43" t="s">
        <v>5</v>
      </c>
      <c r="S1" s="27">
        <v>3.7854100000000002</v>
      </c>
      <c r="T1" s="112" t="s">
        <v>447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429</v>
      </c>
      <c r="B3" t="s">
        <v>4</v>
      </c>
      <c r="F3" s="10">
        <v>0.107</v>
      </c>
      <c r="G3" s="1" t="s">
        <v>7</v>
      </c>
      <c r="H3" s="6" t="s">
        <v>391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440</v>
      </c>
    </row>
    <row r="8" spans="1:20" hidden="1">
      <c r="A8" t="s">
        <v>123</v>
      </c>
      <c r="B8" s="105"/>
      <c r="H8" t="s">
        <v>441</v>
      </c>
    </row>
    <row r="9" spans="1:20" hidden="1">
      <c r="A9" t="s">
        <v>124</v>
      </c>
      <c r="H9" t="s">
        <v>125</v>
      </c>
    </row>
    <row r="10" spans="1:20" s="13" customFormat="1">
      <c r="A10" s="13" t="s">
        <v>8</v>
      </c>
    </row>
    <row r="11" spans="1:20">
      <c r="A11" s="15" t="s">
        <v>392</v>
      </c>
      <c r="B11" s="15" t="s">
        <v>22</v>
      </c>
      <c r="C11" s="2"/>
      <c r="D11" s="2"/>
      <c r="F11" s="228">
        <f>Parameters!F27</f>
        <v>90.21</v>
      </c>
      <c r="G11" s="100"/>
      <c r="I11" s="5"/>
    </row>
    <row r="12" spans="1:20">
      <c r="A12" s="15" t="s">
        <v>699</v>
      </c>
      <c r="B12" s="15" t="s">
        <v>23</v>
      </c>
      <c r="C12" s="2"/>
      <c r="D12" s="2"/>
      <c r="E12" s="229">
        <v>0.84</v>
      </c>
      <c r="H12" t="s">
        <v>16</v>
      </c>
      <c r="I12" t="s">
        <v>681</v>
      </c>
      <c r="J12" s="14" t="s">
        <v>25</v>
      </c>
    </row>
    <row r="13" spans="1:20" s="6" customFormat="1" ht="14" customHeight="1">
      <c r="A13" s="14" t="s">
        <v>427</v>
      </c>
      <c r="B13" s="14" t="s">
        <v>22</v>
      </c>
      <c r="C13" s="5"/>
      <c r="D13" s="18">
        <f>F11*E12</f>
        <v>75.776399999999995</v>
      </c>
      <c r="E13" s="5"/>
      <c r="I13" s="6" t="s">
        <v>19</v>
      </c>
    </row>
    <row r="14" spans="1:20" s="6" customFormat="1" ht="14" customHeight="1">
      <c r="A14" s="14" t="s">
        <v>700</v>
      </c>
      <c r="B14" s="14" t="s">
        <v>701</v>
      </c>
      <c r="C14" s="5"/>
      <c r="D14" s="233"/>
      <c r="E14" s="10">
        <v>0.03</v>
      </c>
      <c r="H14" t="s">
        <v>10</v>
      </c>
      <c r="I14" s="6" t="s">
        <v>682</v>
      </c>
      <c r="J14" s="6" t="s">
        <v>17</v>
      </c>
    </row>
    <row r="15" spans="1:20" s="6" customFormat="1" ht="14" customHeight="1">
      <c r="A15" s="231" t="s">
        <v>703</v>
      </c>
      <c r="B15" s="14" t="s">
        <v>30</v>
      </c>
      <c r="C15" s="9">
        <f>D15*Parameters!C19*Parameters!C6</f>
        <v>42.646957919999991</v>
      </c>
      <c r="D15" s="236">
        <f>D13*E14</f>
        <v>2.2732919999999996</v>
      </c>
    </row>
    <row r="16" spans="1:20" s="6" customFormat="1" ht="14" customHeight="1">
      <c r="A16" s="231" t="s">
        <v>702</v>
      </c>
      <c r="B16" s="14" t="s">
        <v>701</v>
      </c>
      <c r="C16" s="89"/>
      <c r="D16" s="236"/>
      <c r="E16" s="10">
        <v>5.0000000000000001E-3</v>
      </c>
      <c r="F16"/>
      <c r="G16" s="4"/>
      <c r="H16" t="s">
        <v>31</v>
      </c>
      <c r="I16"/>
      <c r="J16" t="s">
        <v>32</v>
      </c>
    </row>
    <row r="17" spans="1:10">
      <c r="A17" s="231" t="s">
        <v>428</v>
      </c>
      <c r="B17" s="14" t="s">
        <v>30</v>
      </c>
      <c r="C17" s="21">
        <f>D17*Parameters!C19*Parameters!C6</f>
        <v>7.1078263200000009</v>
      </c>
      <c r="D17" s="237">
        <f>D13*E16</f>
        <v>0.378882</v>
      </c>
    </row>
    <row r="18" spans="1:10">
      <c r="A18" s="14" t="s">
        <v>394</v>
      </c>
      <c r="B18" s="14" t="s">
        <v>37</v>
      </c>
      <c r="D18" s="109"/>
      <c r="E18" s="230">
        <v>4.19318820416827</v>
      </c>
      <c r="G18" s="86"/>
      <c r="H18" t="s">
        <v>16</v>
      </c>
      <c r="I18" t="s">
        <v>393</v>
      </c>
    </row>
    <row r="19" spans="1:10">
      <c r="A19" s="231" t="s">
        <v>13</v>
      </c>
      <c r="B19" s="231" t="s">
        <v>37</v>
      </c>
      <c r="D19" s="111">
        <f>E18*D13/1000</f>
        <v>0.31774470663433646</v>
      </c>
      <c r="J19" s="86"/>
    </row>
    <row r="20" spans="1:10">
      <c r="A20" s="231" t="s">
        <v>683</v>
      </c>
      <c r="B20" s="14" t="s">
        <v>704</v>
      </c>
      <c r="D20" s="111"/>
      <c r="E20" s="10">
        <v>0.12</v>
      </c>
      <c r="G20" s="4"/>
      <c r="H20" t="s">
        <v>33</v>
      </c>
      <c r="I20" t="s">
        <v>684</v>
      </c>
      <c r="J20" t="s">
        <v>683</v>
      </c>
    </row>
    <row r="21" spans="1:10">
      <c r="A21" t="s">
        <v>424</v>
      </c>
      <c r="B21" t="s">
        <v>37</v>
      </c>
      <c r="D21" s="26">
        <f>D19*(1-0.12)</f>
        <v>0.27961534183821607</v>
      </c>
    </row>
    <row r="22" spans="1:10">
      <c r="A22" s="3" t="s">
        <v>35</v>
      </c>
      <c r="B22" s="16" t="s">
        <v>30</v>
      </c>
      <c r="D22" s="238">
        <f>D21*G22</f>
        <v>-149.21952332538237</v>
      </c>
      <c r="G22" s="25">
        <v>-533.66</v>
      </c>
      <c r="H22" t="s">
        <v>34</v>
      </c>
    </row>
    <row r="23" spans="1:10">
      <c r="A23" s="3" t="s">
        <v>721</v>
      </c>
      <c r="B23" s="16" t="s">
        <v>30</v>
      </c>
      <c r="C23" s="235">
        <f>C15+C17+D22</f>
        <v>-99.464739085382377</v>
      </c>
      <c r="G23" s="25"/>
    </row>
    <row r="24" spans="1:10" s="12" customFormat="1">
      <c r="A24" s="13" t="s">
        <v>36</v>
      </c>
    </row>
    <row r="25" spans="1:10" s="6" customFormat="1">
      <c r="A25" s="88" t="s">
        <v>689</v>
      </c>
      <c r="C25" s="89"/>
      <c r="F25" s="223">
        <f>Parameters!D27</f>
        <v>0.27</v>
      </c>
    </row>
    <row r="26" spans="1:10" s="6" customFormat="1">
      <c r="A26" s="46" t="s">
        <v>688</v>
      </c>
      <c r="B26" s="6" t="s">
        <v>23</v>
      </c>
      <c r="C26" s="89"/>
      <c r="E26" s="10">
        <v>0.55000000000000004</v>
      </c>
      <c r="F26" s="222"/>
      <c r="H26" s="6" t="s">
        <v>10</v>
      </c>
      <c r="I26" s="6" t="s">
        <v>687</v>
      </c>
      <c r="J26" s="6" t="s">
        <v>395</v>
      </c>
    </row>
    <row r="27" spans="1:10" s="6" customFormat="1">
      <c r="A27" s="46" t="s">
        <v>396</v>
      </c>
      <c r="B27" s="6" t="s">
        <v>398</v>
      </c>
      <c r="D27" s="224">
        <f>F25*1000*(1-E26)</f>
        <v>121.49999999999999</v>
      </c>
    </row>
    <row r="28" spans="1:10" s="6" customFormat="1">
      <c r="A28" s="46" t="s">
        <v>694</v>
      </c>
      <c r="B28" s="6" t="s">
        <v>690</v>
      </c>
      <c r="D28" s="224"/>
      <c r="E28" s="10">
        <v>5.3999999999999999E-2</v>
      </c>
      <c r="F28"/>
      <c r="G28" s="4"/>
      <c r="H28" t="s">
        <v>10</v>
      </c>
      <c r="I28" s="61" t="s">
        <v>726</v>
      </c>
      <c r="J28"/>
    </row>
    <row r="29" spans="1:10">
      <c r="A29" t="s">
        <v>719</v>
      </c>
      <c r="B29" t="s">
        <v>720</v>
      </c>
      <c r="D29" s="90">
        <f>D27*E28</f>
        <v>6.5609999999999991</v>
      </c>
    </row>
    <row r="30" spans="1:10">
      <c r="A30" t="s">
        <v>693</v>
      </c>
      <c r="B30" t="s">
        <v>30</v>
      </c>
      <c r="D30" s="87">
        <f>D29*Parameters!C19*Parameters!C6</f>
        <v>123.08435999999999</v>
      </c>
      <c r="F30" s="4"/>
      <c r="G30" s="4"/>
    </row>
    <row r="31" spans="1:10">
      <c r="A31" t="s">
        <v>397</v>
      </c>
      <c r="B31" t="s">
        <v>30</v>
      </c>
      <c r="D31" s="87">
        <f>D33+D36</f>
        <v>17.723199999999999</v>
      </c>
      <c r="F31" s="4"/>
      <c r="G31" s="4"/>
    </row>
    <row r="32" spans="1:10">
      <c r="A32" t="s">
        <v>127</v>
      </c>
      <c r="B32" t="s">
        <v>399</v>
      </c>
      <c r="C32" s="5"/>
      <c r="F32" s="8">
        <f>Parameters!G34</f>
        <v>5600</v>
      </c>
      <c r="G32" s="4"/>
    </row>
    <row r="33" spans="1:10">
      <c r="A33" t="s">
        <v>695</v>
      </c>
      <c r="B33" t="s">
        <v>30</v>
      </c>
      <c r="D33" s="9">
        <f>F32/1000*Parameters!C$16*Parameters!$C$5*E33</f>
        <v>11.659999999999998</v>
      </c>
      <c r="E33" s="10">
        <v>5.0000000000000001E-3</v>
      </c>
      <c r="G33" s="4"/>
      <c r="H33" t="s">
        <v>42</v>
      </c>
      <c r="I33" s="2" t="s">
        <v>43</v>
      </c>
    </row>
    <row r="34" spans="1:10">
      <c r="A34" t="s">
        <v>709</v>
      </c>
      <c r="B34" t="s">
        <v>698</v>
      </c>
      <c r="D34" s="9"/>
      <c r="E34" s="10">
        <v>0.26</v>
      </c>
      <c r="G34" s="6"/>
      <c r="H34" t="s">
        <v>438</v>
      </c>
      <c r="I34" s="2"/>
    </row>
    <row r="35" spans="1:10">
      <c r="A35" t="s">
        <v>712</v>
      </c>
      <c r="B35" t="s">
        <v>697</v>
      </c>
      <c r="E35" s="10">
        <f>0.01</f>
        <v>0.01</v>
      </c>
      <c r="G35" s="6"/>
      <c r="H35" t="s">
        <v>430</v>
      </c>
      <c r="I35" s="2" t="s">
        <v>44</v>
      </c>
    </row>
    <row r="36" spans="1:10">
      <c r="A36" t="s">
        <v>696</v>
      </c>
      <c r="B36" t="s">
        <v>30</v>
      </c>
      <c r="D36" s="9">
        <f>E35/1000*F32*E34*Parameters!C16*Parameters!C5</f>
        <v>6.0632000000000001</v>
      </c>
    </row>
    <row r="37" spans="1:10" s="3" customFormat="1">
      <c r="A37" s="3" t="s">
        <v>724</v>
      </c>
      <c r="B37" s="3" t="s">
        <v>30</v>
      </c>
      <c r="C37" s="20">
        <f>D30+D31</f>
        <v>140.80756</v>
      </c>
      <c r="D37" s="20"/>
    </row>
    <row r="38" spans="1:10" s="12" customFormat="1">
      <c r="A38" s="13" t="s">
        <v>38</v>
      </c>
    </row>
    <row r="39" spans="1:10">
      <c r="A39" t="s">
        <v>710</v>
      </c>
      <c r="B39" t="s">
        <v>30</v>
      </c>
      <c r="D39" s="22">
        <f>1.5*E39/20</f>
        <v>1.5</v>
      </c>
      <c r="E39" s="234">
        <v>20</v>
      </c>
      <c r="H39" t="s">
        <v>45</v>
      </c>
      <c r="I39" t="s">
        <v>711</v>
      </c>
    </row>
    <row r="40" spans="1:10">
      <c r="A40" t="s">
        <v>47</v>
      </c>
      <c r="B40" t="s">
        <v>54</v>
      </c>
      <c r="D40" s="92">
        <f>F32*(1-E33-E34-E40)</f>
        <v>4004</v>
      </c>
      <c r="E40" s="10">
        <v>0.02</v>
      </c>
      <c r="G40" s="4"/>
      <c r="H40" t="s">
        <v>433</v>
      </c>
      <c r="J40" t="s">
        <v>431</v>
      </c>
    </row>
    <row r="41" spans="1:10">
      <c r="A41" t="s">
        <v>707</v>
      </c>
      <c r="B41" t="s">
        <v>697</v>
      </c>
      <c r="D41" s="9">
        <f>D40*Parameters!C$16*Parameters!$C$5/1000*E41</f>
        <v>20.842250000000003</v>
      </c>
      <c r="E41" s="10">
        <v>1.2500000000000001E-2</v>
      </c>
      <c r="H41" t="s">
        <v>432</v>
      </c>
    </row>
    <row r="42" spans="1:10">
      <c r="A42" t="s">
        <v>708</v>
      </c>
      <c r="B42" t="s">
        <v>698</v>
      </c>
      <c r="D42" s="9"/>
      <c r="E42" s="10">
        <v>0.2</v>
      </c>
      <c r="H42" t="s">
        <v>705</v>
      </c>
    </row>
    <row r="43" spans="1:10">
      <c r="A43" t="s">
        <v>712</v>
      </c>
      <c r="B43" t="s">
        <v>697</v>
      </c>
      <c r="D43" s="9">
        <f>E43*E42*D40*Parameters!C16*Parameters!C5/1000</f>
        <v>3.3347600000000002</v>
      </c>
      <c r="E43" s="10">
        <f>0.01</f>
        <v>0.01</v>
      </c>
      <c r="H43" t="s">
        <v>706</v>
      </c>
    </row>
    <row r="44" spans="1:10">
      <c r="A44" t="s">
        <v>397</v>
      </c>
      <c r="B44" t="s">
        <v>30</v>
      </c>
      <c r="D44" s="18">
        <f>D41+D43</f>
        <v>24.177010000000003</v>
      </c>
    </row>
    <row r="45" spans="1:10" s="3" customFormat="1">
      <c r="A45" s="3" t="s">
        <v>723</v>
      </c>
      <c r="B45" s="3" t="s">
        <v>30</v>
      </c>
      <c r="C45" s="20">
        <f>D39+D44</f>
        <v>25.677010000000003</v>
      </c>
    </row>
    <row r="46" spans="1:10" s="13" customFormat="1">
      <c r="A46" s="13" t="s">
        <v>437</v>
      </c>
      <c r="D46" s="108"/>
    </row>
    <row r="47" spans="1:10" s="117" customFormat="1" ht="14">
      <c r="A47" s="117" t="s">
        <v>488</v>
      </c>
      <c r="B47" s="117" t="s">
        <v>718</v>
      </c>
      <c r="C47" s="212"/>
      <c r="D47" s="212"/>
      <c r="F47" s="221">
        <f>Parameters!J27</f>
        <v>145.73955722402675</v>
      </c>
      <c r="H47" s="117" t="s">
        <v>674</v>
      </c>
      <c r="I47" s="117" t="s">
        <v>715</v>
      </c>
      <c r="J47" s="117" t="s">
        <v>714</v>
      </c>
    </row>
    <row r="48" spans="1:10" s="117" customFormat="1" ht="14">
      <c r="A48" s="117" t="s">
        <v>727</v>
      </c>
      <c r="B48" s="117" t="s">
        <v>717</v>
      </c>
      <c r="C48" s="212"/>
      <c r="D48" s="212"/>
      <c r="F48" s="206">
        <f>Parameters!O27</f>
        <v>0.84099999999999997</v>
      </c>
      <c r="I48" s="117">
        <f>+-3%</f>
        <v>-0.03</v>
      </c>
    </row>
    <row r="49" spans="1:11" s="47" customFormat="1">
      <c r="A49" s="117" t="s">
        <v>541</v>
      </c>
      <c r="B49" s="232" t="s">
        <v>716</v>
      </c>
      <c r="C49" s="235">
        <f>-D49*Parameters!C17</f>
        <v>-84.966161861607617</v>
      </c>
      <c r="D49" s="212">
        <f>F47*(1-F48)</f>
        <v>23.172589598620259</v>
      </c>
      <c r="F49" s="170"/>
      <c r="J49" s="204" t="s">
        <v>673</v>
      </c>
      <c r="K49" s="191"/>
    </row>
    <row r="50" spans="1:11" s="44" customFormat="1">
      <c r="A50" s="45" t="s">
        <v>389</v>
      </c>
      <c r="C50" s="184">
        <f>C23+C37+C45+C49</f>
        <v>-17.946330946990003</v>
      </c>
    </row>
    <row r="51" spans="1:11" s="45" customFormat="1">
      <c r="A51" s="45" t="s">
        <v>111</v>
      </c>
    </row>
    <row r="52" spans="1:11">
      <c r="A52" t="s">
        <v>47</v>
      </c>
      <c r="C52" s="91"/>
      <c r="D52" s="93">
        <f>D40-D40*E41-D40*E42-D40*0.02</f>
        <v>3073.0699999999997</v>
      </c>
    </row>
    <row r="53" spans="1:11" s="6" customFormat="1">
      <c r="A53" s="6" t="s">
        <v>403</v>
      </c>
      <c r="B53" s="6" t="s">
        <v>48</v>
      </c>
      <c r="D53" s="18">
        <f>D52*E53</f>
        <v>1229.2280000000001</v>
      </c>
      <c r="E53" s="10">
        <v>0.4</v>
      </c>
      <c r="H53" s="94">
        <f>-'[2]Fertilizer literature'!I1</f>
        <v>0</v>
      </c>
      <c r="I53" s="6" t="s">
        <v>434</v>
      </c>
    </row>
    <row r="54" spans="1:11">
      <c r="A54" t="s">
        <v>401</v>
      </c>
      <c r="B54" t="s">
        <v>402</v>
      </c>
      <c r="D54" s="18">
        <f>G54*D53/1000</f>
        <v>-8.3587504000000017</v>
      </c>
      <c r="G54" s="4">
        <v>-6.8</v>
      </c>
      <c r="I54" t="s">
        <v>435</v>
      </c>
    </row>
    <row r="55" spans="1:11">
      <c r="A55" t="s">
        <v>406</v>
      </c>
      <c r="B55" t="s">
        <v>402</v>
      </c>
      <c r="D55" s="18">
        <f>G55*D53/1000</f>
        <v>-6.6378312000000008</v>
      </c>
      <c r="G55">
        <v>-5.4</v>
      </c>
      <c r="I55" t="s">
        <v>436</v>
      </c>
    </row>
    <row r="56" spans="1:11" s="3" customFormat="1">
      <c r="A56" s="3" t="s">
        <v>722</v>
      </c>
      <c r="B56" s="3" t="s">
        <v>30</v>
      </c>
      <c r="C56" s="20">
        <f>D54+D55</f>
        <v>-14.996581600000003</v>
      </c>
      <c r="D56" s="239"/>
    </row>
    <row r="57" spans="1:11" s="6" customFormat="1">
      <c r="A57" s="88" t="s">
        <v>725</v>
      </c>
      <c r="C57" s="240">
        <f>C50+C56</f>
        <v>-32.942912546990001</v>
      </c>
      <c r="D57" s="7"/>
    </row>
    <row r="58" spans="1:11" s="6" customFormat="1">
      <c r="A58" s="88"/>
      <c r="C58" s="109"/>
    </row>
    <row r="59" spans="1:11" s="6" customFormat="1">
      <c r="A59" s="88"/>
      <c r="C59" s="109"/>
    </row>
    <row r="60" spans="1:11">
      <c r="C60" s="86"/>
    </row>
    <row r="61" spans="1:11">
      <c r="A61" s="7"/>
      <c r="C61" s="86"/>
      <c r="E61" s="7"/>
    </row>
    <row r="62" spans="1:11">
      <c r="A62" s="7" t="s">
        <v>439</v>
      </c>
      <c r="H62" s="105"/>
    </row>
    <row r="63" spans="1:11">
      <c r="A63" s="7"/>
    </row>
    <row r="68" spans="6:7" ht="16">
      <c r="F68" s="75"/>
      <c r="G68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E19" sqref="E19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787</v>
      </c>
      <c r="F1" s="43" t="s">
        <v>666</v>
      </c>
      <c r="G1" s="43" t="s">
        <v>665</v>
      </c>
      <c r="H1" s="43" t="s">
        <v>2</v>
      </c>
      <c r="I1" s="43" t="s">
        <v>646</v>
      </c>
      <c r="J1" s="43" t="s">
        <v>5</v>
      </c>
      <c r="S1" s="27">
        <v>3.7854100000000002</v>
      </c>
      <c r="T1" s="112" t="s">
        <v>447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390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95">
        <f>C8+C10</f>
        <v>35.314</v>
      </c>
    </row>
    <row r="8" spans="1:20">
      <c r="A8" t="s">
        <v>46</v>
      </c>
      <c r="B8" t="s">
        <v>30</v>
      </c>
      <c r="C8" s="22">
        <f>1.5*E8/20</f>
        <v>1.5</v>
      </c>
      <c r="E8" s="234">
        <v>20</v>
      </c>
      <c r="G8" s="241" t="s">
        <v>728</v>
      </c>
      <c r="H8" t="s">
        <v>45</v>
      </c>
    </row>
    <row r="9" spans="1:20">
      <c r="A9" t="s">
        <v>407</v>
      </c>
      <c r="B9" t="s">
        <v>54</v>
      </c>
      <c r="D9" s="92"/>
      <c r="F9" s="8">
        <f>Parameters!G34</f>
        <v>5600</v>
      </c>
      <c r="H9" t="s">
        <v>400</v>
      </c>
    </row>
    <row r="10" spans="1:20">
      <c r="A10" t="s">
        <v>397</v>
      </c>
      <c r="B10" t="s">
        <v>30</v>
      </c>
      <c r="C10" s="18">
        <f>D12+D15</f>
        <v>33.814</v>
      </c>
    </row>
    <row r="11" spans="1:20">
      <c r="A11" t="s">
        <v>707</v>
      </c>
      <c r="B11" t="s">
        <v>697</v>
      </c>
      <c r="C11" s="18"/>
      <c r="E11" s="4">
        <v>1.2500000000000001E-2</v>
      </c>
      <c r="H11" t="s">
        <v>432</v>
      </c>
    </row>
    <row r="12" spans="1:20">
      <c r="A12" t="s">
        <v>40</v>
      </c>
      <c r="B12" t="s">
        <v>30</v>
      </c>
      <c r="D12" s="9">
        <f>F9*Parameters!C$16*Parameters!$C$5/1000*E11</f>
        <v>29.150000000000002</v>
      </c>
    </row>
    <row r="13" spans="1:20">
      <c r="A13" t="s">
        <v>712</v>
      </c>
      <c r="B13" t="s">
        <v>697</v>
      </c>
      <c r="D13" s="9"/>
      <c r="E13" s="4">
        <v>0.01</v>
      </c>
      <c r="H13" t="s">
        <v>706</v>
      </c>
    </row>
    <row r="14" spans="1:20">
      <c r="A14" t="s">
        <v>708</v>
      </c>
      <c r="B14" t="s">
        <v>698</v>
      </c>
      <c r="D14" s="9"/>
      <c r="E14" s="10">
        <v>0.2</v>
      </c>
      <c r="H14" t="s">
        <v>705</v>
      </c>
    </row>
    <row r="15" spans="1:20">
      <c r="A15" t="s">
        <v>41</v>
      </c>
      <c r="B15" t="s">
        <v>30</v>
      </c>
      <c r="D15" s="9">
        <f>F9*Parameters!C$16*Parameters!$C$5/1000*E13*E14</f>
        <v>4.6640000000000006</v>
      </c>
    </row>
    <row r="16" spans="1:20" s="13" customFormat="1">
      <c r="A16" s="13" t="s">
        <v>437</v>
      </c>
      <c r="D16" s="108"/>
    </row>
    <row r="17" spans="1:11" s="117" customFormat="1" ht="14">
      <c r="A17" s="117" t="s">
        <v>488</v>
      </c>
      <c r="B17" s="117" t="s">
        <v>718</v>
      </c>
      <c r="C17" s="212"/>
      <c r="D17" s="212"/>
      <c r="F17" s="221">
        <f>Parameters!J27</f>
        <v>145.73955722402675</v>
      </c>
      <c r="H17" s="117" t="s">
        <v>674</v>
      </c>
      <c r="I17" s="117" t="s">
        <v>715</v>
      </c>
      <c r="J17" s="117" t="s">
        <v>714</v>
      </c>
    </row>
    <row r="18" spans="1:11" s="117" customFormat="1" ht="14">
      <c r="A18" s="117" t="s">
        <v>779</v>
      </c>
      <c r="C18" s="212"/>
      <c r="D18" s="212"/>
      <c r="E18" s="117">
        <v>1</v>
      </c>
      <c r="F18" s="221"/>
    </row>
    <row r="19" spans="1:11" s="117" customFormat="1" ht="14">
      <c r="A19" s="117" t="s">
        <v>727</v>
      </c>
      <c r="B19" s="117" t="s">
        <v>717</v>
      </c>
      <c r="C19" s="212"/>
      <c r="D19" s="212"/>
      <c r="F19" s="206">
        <f>Parameters!O27</f>
        <v>0.84099999999999997</v>
      </c>
      <c r="I19" s="117">
        <f>+-3%</f>
        <v>-0.03</v>
      </c>
    </row>
    <row r="20" spans="1:11" s="47" customFormat="1">
      <c r="A20" s="117" t="s">
        <v>541</v>
      </c>
      <c r="B20" s="232" t="s">
        <v>716</v>
      </c>
      <c r="C20" s="235">
        <f>-D20*Parameters!C17</f>
        <v>-84.966161861607617</v>
      </c>
      <c r="D20" s="212">
        <f>F17*(1-F19)</f>
        <v>23.172589598620259</v>
      </c>
      <c r="F20" s="170"/>
      <c r="J20" s="204" t="s">
        <v>673</v>
      </c>
      <c r="K20" s="191"/>
    </row>
    <row r="21" spans="1:11" s="44" customFormat="1">
      <c r="A21" s="45" t="s">
        <v>389</v>
      </c>
      <c r="C21" s="184">
        <f>C20+C7</f>
        <v>-49.652161861607617</v>
      </c>
    </row>
    <row r="22" spans="1:11" s="45" customFormat="1">
      <c r="A22" s="45" t="s">
        <v>111</v>
      </c>
      <c r="C22" s="243">
        <f>D26+D27</f>
        <v>-20.974240000000002</v>
      </c>
    </row>
    <row r="23" spans="1:11" s="45" customFormat="1">
      <c r="A23" s="88" t="s">
        <v>433</v>
      </c>
      <c r="B23" s="88" t="s">
        <v>23</v>
      </c>
      <c r="C23" s="242"/>
      <c r="D23" s="88"/>
      <c r="E23" s="88"/>
      <c r="F23" s="10">
        <v>0.02</v>
      </c>
      <c r="G23" s="4"/>
      <c r="H23" t="s">
        <v>433</v>
      </c>
      <c r="I23"/>
      <c r="J23"/>
    </row>
    <row r="24" spans="1:11">
      <c r="A24" t="s">
        <v>47</v>
      </c>
      <c r="B24" t="s">
        <v>621</v>
      </c>
      <c r="C24" s="91"/>
      <c r="D24" s="93">
        <f>F9-F9*E11-F9*E14-F9*F23</f>
        <v>4298</v>
      </c>
      <c r="F24">
        <v>0.02</v>
      </c>
    </row>
    <row r="25" spans="1:11">
      <c r="A25" t="s">
        <v>403</v>
      </c>
      <c r="B25" t="s">
        <v>48</v>
      </c>
      <c r="D25" s="9">
        <f>D24*F25</f>
        <v>1719.2</v>
      </c>
      <c r="F25" s="4">
        <v>0.4</v>
      </c>
      <c r="G25" s="94"/>
      <c r="H25" t="s">
        <v>404</v>
      </c>
    </row>
    <row r="26" spans="1:11">
      <c r="A26" t="s">
        <v>612</v>
      </c>
      <c r="B26" t="s">
        <v>402</v>
      </c>
      <c r="D26" s="9">
        <f>F26*D25/1000</f>
        <v>-11.69056</v>
      </c>
      <c r="F26" s="4">
        <v>-6.8</v>
      </c>
      <c r="G26" t="s">
        <v>618</v>
      </c>
      <c r="H26" t="s">
        <v>405</v>
      </c>
    </row>
    <row r="27" spans="1:11">
      <c r="A27" t="s">
        <v>543</v>
      </c>
      <c r="B27" t="s">
        <v>402</v>
      </c>
      <c r="D27" s="9">
        <f>F27*D25/1000</f>
        <v>-9.2836800000000004</v>
      </c>
      <c r="F27" s="10">
        <f>AD!G55</f>
        <v>-5.4</v>
      </c>
      <c r="G27" t="s">
        <v>617</v>
      </c>
      <c r="H27" t="s">
        <v>436</v>
      </c>
    </row>
    <row r="28" spans="1:11">
      <c r="A28" t="s">
        <v>613</v>
      </c>
      <c r="B28" t="s">
        <v>614</v>
      </c>
      <c r="D28" s="9">
        <f>F28*D25/1000</f>
        <v>3.4384000000000001</v>
      </c>
      <c r="F28" s="10">
        <v>2</v>
      </c>
      <c r="G28" t="s">
        <v>729</v>
      </c>
    </row>
    <row r="29" spans="1:11">
      <c r="A29" t="s">
        <v>611</v>
      </c>
      <c r="D29" s="9"/>
      <c r="F29" s="4">
        <v>0.75</v>
      </c>
      <c r="G29" t="s">
        <v>729</v>
      </c>
    </row>
    <row r="30" spans="1:11" s="44" customFormat="1">
      <c r="A30" s="45" t="s">
        <v>389</v>
      </c>
      <c r="C30" s="96">
        <f>C21+C22</f>
        <v>-70.626401861607619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" workbookViewId="0">
      <selection activeCell="B25" sqref="B25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790</v>
      </c>
      <c r="F1" s="43" t="s">
        <v>666</v>
      </c>
      <c r="G1" s="43" t="s">
        <v>665</v>
      </c>
      <c r="H1" s="43" t="s">
        <v>2</v>
      </c>
      <c r="I1" s="43" t="s">
        <v>646</v>
      </c>
      <c r="J1" s="43" t="s">
        <v>5</v>
      </c>
      <c r="S1" s="27">
        <v>3.7854100000000002</v>
      </c>
      <c r="T1" s="112" t="s">
        <v>447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646</v>
      </c>
      <c r="J2" s="43" t="s">
        <v>5</v>
      </c>
    </row>
    <row r="3" spans="1:20" s="12" customFormat="1" hidden="1">
      <c r="A3" s="13" t="s">
        <v>443</v>
      </c>
      <c r="C3" s="11">
        <f>C7</f>
        <v>4.28</v>
      </c>
      <c r="D3" s="11"/>
      <c r="E3" s="11"/>
    </row>
    <row r="4" spans="1:20" hidden="1">
      <c r="A4" t="s">
        <v>429</v>
      </c>
      <c r="B4" t="s">
        <v>4</v>
      </c>
      <c r="F4" s="10">
        <v>0.107</v>
      </c>
      <c r="G4" s="10"/>
      <c r="H4" s="1" t="s">
        <v>7</v>
      </c>
      <c r="I4" s="1"/>
      <c r="J4" s="6" t="s">
        <v>391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444</v>
      </c>
      <c r="J6" t="s">
        <v>445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440</v>
      </c>
    </row>
    <row r="10" spans="1:20" hidden="1">
      <c r="A10" t="s">
        <v>123</v>
      </c>
      <c r="J10" t="s">
        <v>441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584</v>
      </c>
      <c r="C12" s="40">
        <f>C14</f>
        <v>9.5114830273200006</v>
      </c>
    </row>
    <row r="13" spans="1:20" s="46" customFormat="1">
      <c r="A13" s="46" t="s">
        <v>595</v>
      </c>
      <c r="B13" s="46" t="s">
        <v>465</v>
      </c>
      <c r="C13" s="110"/>
      <c r="E13" s="273">
        <f>'Global factors'!D39</f>
        <v>3</v>
      </c>
      <c r="H13" s="46" t="s">
        <v>542</v>
      </c>
      <c r="I13" s="46" t="str">
        <f>'Global factors'!E39</f>
        <v>0.4-6.0</v>
      </c>
      <c r="J13" s="193" t="s">
        <v>652</v>
      </c>
    </row>
    <row r="14" spans="1:20" s="46" customFormat="1">
      <c r="A14" s="46" t="s">
        <v>596</v>
      </c>
      <c r="B14" s="46" t="s">
        <v>30</v>
      </c>
      <c r="C14" s="174">
        <f>E13*F14</f>
        <v>9.5114830273200006</v>
      </c>
      <c r="F14" s="46">
        <f>'Landfill '!G4+'Landfill '!G5</f>
        <v>3.1704943424400001</v>
      </c>
      <c r="H14" s="46" t="s">
        <v>583</v>
      </c>
      <c r="J14" s="46" t="s">
        <v>594</v>
      </c>
    </row>
    <row r="15" spans="1:20" s="46" customFormat="1">
      <c r="C15" s="174"/>
    </row>
    <row r="16" spans="1:20" s="13" customFormat="1">
      <c r="A16" s="13" t="s">
        <v>442</v>
      </c>
      <c r="C16" s="40">
        <f>C22+C26</f>
        <v>119.33280139134233</v>
      </c>
    </row>
    <row r="17" spans="1:11">
      <c r="A17" s="15" t="s">
        <v>488</v>
      </c>
      <c r="B17" s="15" t="s">
        <v>449</v>
      </c>
      <c r="C17" s="2"/>
      <c r="D17" s="2"/>
      <c r="F17" s="192">
        <f>Parameters!J27</f>
        <v>145.73955722402675</v>
      </c>
      <c r="I17" t="s">
        <v>585</v>
      </c>
      <c r="J17" s="5"/>
    </row>
    <row r="18" spans="1:11">
      <c r="A18" s="15" t="s">
        <v>730</v>
      </c>
      <c r="B18" s="15" t="s">
        <v>604</v>
      </c>
      <c r="C18" s="2"/>
      <c r="D18" s="178">
        <f>F17*E18</f>
        <v>84.528943189935518</v>
      </c>
      <c r="E18" s="4">
        <f>'Global factors'!D41</f>
        <v>0.57999999999999996</v>
      </c>
      <c r="H18" t="s">
        <v>542</v>
      </c>
      <c r="I18" t="str">
        <f>'Global factors'!E41</f>
        <v>0.4-0.83</v>
      </c>
      <c r="J18" s="6" t="s">
        <v>800</v>
      </c>
    </row>
    <row r="19" spans="1:11">
      <c r="A19" s="15" t="s">
        <v>586</v>
      </c>
      <c r="B19" s="15" t="s">
        <v>805</v>
      </c>
      <c r="C19" s="2"/>
      <c r="D19" s="178"/>
      <c r="E19" s="4">
        <f>'Global factors'!D42</f>
        <v>0.02</v>
      </c>
      <c r="J19" s="6"/>
    </row>
    <row r="20" spans="1:11">
      <c r="A20" s="15" t="s">
        <v>586</v>
      </c>
      <c r="B20" s="15" t="s">
        <v>732</v>
      </c>
      <c r="C20" s="2"/>
      <c r="D20" s="244">
        <f>D18*E19</f>
        <v>1.6905788637987105</v>
      </c>
      <c r="H20" s="6" t="s">
        <v>598</v>
      </c>
      <c r="I20" s="6"/>
      <c r="J20" s="5"/>
    </row>
    <row r="21" spans="1:11">
      <c r="A21" s="15" t="s">
        <v>586</v>
      </c>
      <c r="B21" s="15" t="s">
        <v>597</v>
      </c>
      <c r="C21" s="2"/>
      <c r="D21" s="176">
        <f>D20*Parameters!C18</f>
        <v>2.254105151731614</v>
      </c>
      <c r="E21" s="6"/>
      <c r="J21" s="14" t="s">
        <v>737</v>
      </c>
    </row>
    <row r="22" spans="1:11" s="6" customFormat="1">
      <c r="A22" s="14" t="s">
        <v>586</v>
      </c>
      <c r="B22" s="14" t="s">
        <v>30</v>
      </c>
      <c r="C22" s="175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7"/>
      <c r="F23" s="100">
        <f>Parameters!G27</f>
        <v>9000</v>
      </c>
    </row>
    <row r="24" spans="1:11">
      <c r="A24" s="14" t="s">
        <v>397</v>
      </c>
      <c r="B24" s="14" t="s">
        <v>835</v>
      </c>
      <c r="E24" s="4">
        <f>'Global factors'!D43</f>
        <v>1.4999999999999999E-2</v>
      </c>
      <c r="H24" t="s">
        <v>542</v>
      </c>
      <c r="I24" t="str">
        <f>'Global factors'!E43</f>
        <v>0.01-.018</v>
      </c>
      <c r="J24" t="s">
        <v>599</v>
      </c>
    </row>
    <row r="25" spans="1:11">
      <c r="A25" s="15" t="s">
        <v>587</v>
      </c>
      <c r="B25" s="15" t="s">
        <v>600</v>
      </c>
      <c r="C25" s="178"/>
      <c r="D25" s="21">
        <f>E24*F23*Parameters!C16/1000</f>
        <v>0.21214285714285713</v>
      </c>
      <c r="J25" s="5"/>
    </row>
    <row r="26" spans="1:11">
      <c r="A26" s="15" t="s">
        <v>397</v>
      </c>
      <c r="B26" s="15" t="s">
        <v>30</v>
      </c>
      <c r="C26" s="178">
        <f>D25*Parameters!C5</f>
        <v>56.217857142857142</v>
      </c>
      <c r="D26" s="21"/>
      <c r="J26" s="187" t="s">
        <v>602</v>
      </c>
    </row>
    <row r="27" spans="1:11" s="13" customFormat="1">
      <c r="A27" s="13" t="s">
        <v>588</v>
      </c>
      <c r="C27" s="40">
        <f>C31</f>
        <v>-32.062702589285898</v>
      </c>
    </row>
    <row r="28" spans="1:11" s="6" customFormat="1" hidden="1">
      <c r="A28" s="14" t="s">
        <v>605</v>
      </c>
      <c r="B28" s="14" t="s">
        <v>606</v>
      </c>
      <c r="D28" s="111">
        <f>F17*(1-E18)</f>
        <v>61.210614034091243</v>
      </c>
      <c r="J28" s="6" t="s">
        <v>641</v>
      </c>
      <c r="K28" s="109"/>
    </row>
    <row r="29" spans="1:11" s="6" customFormat="1" hidden="1">
      <c r="A29" s="14" t="s">
        <v>607</v>
      </c>
      <c r="B29" s="14" t="s">
        <v>608</v>
      </c>
      <c r="D29" s="111">
        <f>D28*F29</f>
        <v>6.1210614034091249</v>
      </c>
      <c r="E29" s="109"/>
      <c r="F29" s="6">
        <v>0.1</v>
      </c>
      <c r="J29" s="6" t="s">
        <v>640</v>
      </c>
      <c r="K29" s="109"/>
    </row>
    <row r="30" spans="1:11" s="6" customFormat="1">
      <c r="A30" s="14" t="s">
        <v>809</v>
      </c>
      <c r="B30" s="14"/>
      <c r="C30" s="86">
        <f>D31*(1-E32)</f>
        <v>8.7443734334416074</v>
      </c>
      <c r="D30" s="111">
        <f>F17-D18</f>
        <v>61.210614034091236</v>
      </c>
      <c r="E30" s="109"/>
      <c r="K30" s="109"/>
    </row>
    <row r="31" spans="1:11">
      <c r="A31" s="14" t="s">
        <v>630</v>
      </c>
      <c r="B31" s="14" t="s">
        <v>609</v>
      </c>
      <c r="C31" s="86">
        <f>C30*-44/12</f>
        <v>-32.062702589285898</v>
      </c>
      <c r="D31" s="86">
        <f>F17*(1-F31)</f>
        <v>21.860933583604016</v>
      </c>
      <c r="F31" s="274">
        <f>0.85</f>
        <v>0.85</v>
      </c>
      <c r="H31" t="s">
        <v>535</v>
      </c>
      <c r="I31" s="169">
        <f>D31/D30</f>
        <v>0.35714285714285721</v>
      </c>
      <c r="J31" s="7" t="s">
        <v>603</v>
      </c>
    </row>
    <row r="32" spans="1:11">
      <c r="A32" s="14" t="s">
        <v>779</v>
      </c>
      <c r="B32" s="14"/>
      <c r="C32" s="86"/>
      <c r="E32" s="4">
        <f>'Global factors'!D44</f>
        <v>0.6</v>
      </c>
      <c r="F32" s="6"/>
      <c r="H32" t="s">
        <v>677</v>
      </c>
      <c r="I32" s="86" t="str">
        <f>'Global factors'!E44</f>
        <v>0.2-.8</v>
      </c>
      <c r="J32" s="7"/>
    </row>
    <row r="33" spans="1:10" s="45" customFormat="1">
      <c r="A33" s="172" t="s">
        <v>634</v>
      </c>
      <c r="B33" s="172"/>
      <c r="C33" s="185">
        <f>C35+C38</f>
        <v>23.612785714285714</v>
      </c>
      <c r="D33" s="173">
        <v>3</v>
      </c>
      <c r="E33" s="171"/>
      <c r="J33" s="173"/>
    </row>
    <row r="34" spans="1:10">
      <c r="A34" s="14" t="s">
        <v>624</v>
      </c>
      <c r="B34" t="s">
        <v>625</v>
      </c>
      <c r="C34" s="86"/>
      <c r="D34">
        <f>E34*1000</f>
        <v>400</v>
      </c>
      <c r="E34" s="4">
        <v>0.4</v>
      </c>
      <c r="H34" t="s">
        <v>631</v>
      </c>
      <c r="J34" s="7"/>
    </row>
    <row r="35" spans="1:10">
      <c r="A35" t="s">
        <v>46</v>
      </c>
      <c r="B35" t="s">
        <v>30</v>
      </c>
      <c r="C35" s="22">
        <f>1.5*F35/20</f>
        <v>2.25</v>
      </c>
      <c r="F35" s="8">
        <f>'Global factors'!D46</f>
        <v>30</v>
      </c>
      <c r="J35" t="s">
        <v>643</v>
      </c>
    </row>
    <row r="36" spans="1:10" s="46" customFormat="1">
      <c r="A36" s="14" t="s">
        <v>615</v>
      </c>
      <c r="B36" s="14" t="s">
        <v>621</v>
      </c>
      <c r="C36" s="5"/>
      <c r="D36" s="175">
        <f>F23/1000*E36</f>
        <v>3.42</v>
      </c>
      <c r="E36" s="273">
        <v>0.38</v>
      </c>
      <c r="H36" s="46" t="s">
        <v>735</v>
      </c>
      <c r="J36" s="182" t="s">
        <v>616</v>
      </c>
    </row>
    <row r="37" spans="1:10">
      <c r="A37" s="14" t="s">
        <v>633</v>
      </c>
      <c r="B37" t="s">
        <v>23</v>
      </c>
      <c r="E37" s="4">
        <v>1.4999999999999999E-2</v>
      </c>
      <c r="H37" t="s">
        <v>542</v>
      </c>
      <c r="J37" s="7" t="s">
        <v>734</v>
      </c>
    </row>
    <row r="38" spans="1:10">
      <c r="A38" s="14" t="s">
        <v>733</v>
      </c>
      <c r="B38" t="s">
        <v>30</v>
      </c>
      <c r="C38" s="86">
        <f>D38*Parameters!C16*Parameters!C5</f>
        <v>21.362785714285714</v>
      </c>
      <c r="D38" s="86">
        <f>D36*E37</f>
        <v>5.1299999999999998E-2</v>
      </c>
    </row>
    <row r="39" spans="1:10" s="12" customFormat="1">
      <c r="A39" s="247" t="s">
        <v>736</v>
      </c>
      <c r="C39" s="246">
        <f>C12+C16+C27+C33</f>
        <v>120.39436754366216</v>
      </c>
      <c r="D39" s="246"/>
    </row>
    <row r="40" spans="1:10" s="45" customFormat="1">
      <c r="A40" s="172" t="s">
        <v>589</v>
      </c>
      <c r="B40" s="172"/>
      <c r="C40" s="184">
        <f>C43+C44</f>
        <v>-16.689600000000002</v>
      </c>
      <c r="D40" s="173"/>
      <c r="E40" s="171"/>
      <c r="J40" s="173"/>
    </row>
    <row r="41" spans="1:10" s="46" customFormat="1">
      <c r="A41" s="14" t="s">
        <v>619</v>
      </c>
      <c r="B41" s="14"/>
      <c r="C41" s="5"/>
      <c r="E41" s="181"/>
      <c r="F41" s="46">
        <v>0.4</v>
      </c>
      <c r="J41" s="182"/>
    </row>
    <row r="42" spans="1:10" s="46" customFormat="1">
      <c r="A42" s="14" t="s">
        <v>620</v>
      </c>
      <c r="B42" s="19" t="s">
        <v>606</v>
      </c>
      <c r="C42" s="5"/>
      <c r="D42" s="175">
        <f>D36*F41</f>
        <v>1.3680000000000001</v>
      </c>
      <c r="E42" s="245"/>
      <c r="J42" s="182"/>
    </row>
    <row r="43" spans="1:10" s="88" customFormat="1">
      <c r="A43" s="14" t="s">
        <v>610</v>
      </c>
      <c r="B43" s="88" t="s">
        <v>30</v>
      </c>
      <c r="C43" s="183">
        <f>D42*G43</f>
        <v>-9.3024000000000004</v>
      </c>
      <c r="D43" s="179"/>
      <c r="E43" s="180"/>
      <c r="G43" s="88">
        <f>'Land application'!F26</f>
        <v>-6.8</v>
      </c>
      <c r="H43" s="88" t="s">
        <v>618</v>
      </c>
      <c r="J43" s="179" t="s">
        <v>642</v>
      </c>
    </row>
    <row r="44" spans="1:10" s="88" customFormat="1">
      <c r="A44" s="14" t="s">
        <v>622</v>
      </c>
      <c r="B44" s="19" t="s">
        <v>30</v>
      </c>
      <c r="C44" s="183">
        <f>D42*G44</f>
        <v>-7.3872000000000009</v>
      </c>
      <c r="D44" s="179"/>
      <c r="E44" s="180"/>
      <c r="G44" s="88">
        <f>'Land application'!F27</f>
        <v>-5.4</v>
      </c>
      <c r="H44" s="88" t="s">
        <v>617</v>
      </c>
      <c r="J44" s="179"/>
    </row>
    <row r="45" spans="1:10">
      <c r="A45" t="s">
        <v>644</v>
      </c>
      <c r="B45" t="s">
        <v>623</v>
      </c>
      <c r="H45" t="s">
        <v>632</v>
      </c>
    </row>
    <row r="46" spans="1:10">
      <c r="A46" s="14" t="s">
        <v>645</v>
      </c>
      <c r="B46" t="s">
        <v>623</v>
      </c>
    </row>
    <row r="48" spans="1:10" s="45" customFormat="1">
      <c r="A48" s="172" t="s">
        <v>590</v>
      </c>
      <c r="B48" s="45" t="s">
        <v>30</v>
      </c>
      <c r="C48" s="45">
        <f>C51</f>
        <v>-388</v>
      </c>
    </row>
    <row r="49" spans="1:10">
      <c r="A49" s="14" t="s">
        <v>626</v>
      </c>
      <c r="F49">
        <v>1</v>
      </c>
    </row>
    <row r="50" spans="1:10">
      <c r="A50" s="14" t="s">
        <v>627</v>
      </c>
      <c r="B50" t="s">
        <v>628</v>
      </c>
      <c r="D50">
        <f>D34</f>
        <v>400</v>
      </c>
    </row>
    <row r="51" spans="1:10" ht="255">
      <c r="A51" t="s">
        <v>590</v>
      </c>
      <c r="B51" t="s">
        <v>629</v>
      </c>
      <c r="C51">
        <f>F51*D50/1000</f>
        <v>-388</v>
      </c>
      <c r="F51">
        <v>-970</v>
      </c>
      <c r="H51" t="s">
        <v>631</v>
      </c>
      <c r="J51" s="1" t="s">
        <v>635</v>
      </c>
    </row>
    <row r="53" spans="1:10">
      <c r="C53" s="18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6" sqref="E6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384</v>
      </c>
      <c r="B4" t="s">
        <v>12</v>
      </c>
      <c r="C4" s="82"/>
      <c r="E4" s="8">
        <v>50</v>
      </c>
    </row>
    <row r="5" spans="1:8" s="45" customFormat="1">
      <c r="A5" s="45" t="s">
        <v>385</v>
      </c>
      <c r="C5" s="84">
        <f>F7*E6</f>
        <v>-625.9421487603305</v>
      </c>
    </row>
    <row r="6" spans="1:8">
      <c r="A6" t="s">
        <v>386</v>
      </c>
      <c r="C6" s="82"/>
      <c r="E6" s="107">
        <f>D23</f>
        <v>1.0573347107438016</v>
      </c>
    </row>
    <row r="7" spans="1:8">
      <c r="A7" t="s">
        <v>388</v>
      </c>
      <c r="B7" t="s">
        <v>30</v>
      </c>
      <c r="C7" s="82"/>
      <c r="F7" s="4">
        <v>-592</v>
      </c>
    </row>
    <row r="8" spans="1:8" s="44" customFormat="1">
      <c r="A8" s="44" t="s">
        <v>389</v>
      </c>
      <c r="B8" s="44" t="s">
        <v>30</v>
      </c>
      <c r="C8" s="85">
        <f>C2+C5</f>
        <v>-620.59214876033047</v>
      </c>
    </row>
    <row r="18" spans="1:14" ht="17">
      <c r="A18" s="68" t="s">
        <v>372</v>
      </c>
      <c r="B18" s="1"/>
      <c r="C18" s="1"/>
      <c r="D18" s="1"/>
    </row>
    <row r="19" spans="1:14" ht="45">
      <c r="B19" s="1" t="s">
        <v>341</v>
      </c>
      <c r="C19" s="1" t="s">
        <v>342</v>
      </c>
      <c r="D19" s="1" t="s">
        <v>387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339</v>
      </c>
      <c r="B20">
        <v>88</v>
      </c>
      <c r="C20">
        <v>88</v>
      </c>
      <c r="D20">
        <f>B20*C20/(B$20*C$20)</f>
        <v>1</v>
      </c>
      <c r="E20" t="s">
        <v>380</v>
      </c>
      <c r="J20" s="51"/>
      <c r="K20" s="73"/>
      <c r="L20" s="51"/>
      <c r="M20" s="51"/>
      <c r="N20" s="51"/>
    </row>
    <row r="21" spans="1:14">
      <c r="A21" t="s">
        <v>168</v>
      </c>
      <c r="B21">
        <v>22</v>
      </c>
      <c r="C21">
        <v>68.900000000000006</v>
      </c>
      <c r="D21" s="69">
        <f>B21*C21/(B$20*C$20)</f>
        <v>0.19573863636363639</v>
      </c>
      <c r="E21" t="s">
        <v>381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383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340</v>
      </c>
      <c r="B23">
        <v>92</v>
      </c>
      <c r="C23">
        <v>89</v>
      </c>
      <c r="D23" s="69">
        <f>B23*C23/(B$20*C$20)</f>
        <v>1.0573347107438016</v>
      </c>
      <c r="E23" t="s">
        <v>382</v>
      </c>
      <c r="F23" s="82">
        <v>-620.59214876033047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>
      <c r="A26" s="64"/>
      <c r="B26" s="66"/>
      <c r="C26" s="66"/>
      <c r="D26" s="66"/>
      <c r="J26" s="51"/>
      <c r="K26" s="51"/>
      <c r="L26" s="51"/>
      <c r="M26" s="51"/>
      <c r="N26" s="51"/>
    </row>
    <row r="27" spans="1:14">
      <c r="J27" s="51"/>
      <c r="K27" s="51"/>
      <c r="L27" s="51"/>
      <c r="M27" s="51"/>
      <c r="N27" s="51"/>
    </row>
    <row r="28" spans="1:14">
      <c r="J28" s="51"/>
      <c r="K28" s="51"/>
      <c r="L28" s="51"/>
      <c r="M28" s="51"/>
      <c r="N2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8" t="s">
        <v>26</v>
      </c>
      <c r="D1" s="208" t="s">
        <v>114</v>
      </c>
      <c r="E1" s="43" t="s">
        <v>672</v>
      </c>
      <c r="F1" s="43" t="s">
        <v>666</v>
      </c>
      <c r="G1" s="43" t="s">
        <v>665</v>
      </c>
      <c r="H1" s="43" t="s">
        <v>2</v>
      </c>
      <c r="I1" s="43" t="s">
        <v>646</v>
      </c>
      <c r="J1" s="43" t="s">
        <v>5</v>
      </c>
      <c r="S1" s="27">
        <v>3.7854100000000002</v>
      </c>
      <c r="T1" s="112" t="s">
        <v>447</v>
      </c>
    </row>
    <row r="2" spans="1:20" s="12" customFormat="1">
      <c r="A2" s="13" t="s">
        <v>748</v>
      </c>
      <c r="C2" s="209"/>
      <c r="D2" s="209"/>
      <c r="E2" s="11"/>
      <c r="F2" s="11"/>
    </row>
    <row r="3" spans="1:20">
      <c r="B3" t="s">
        <v>766</v>
      </c>
      <c r="H3">
        <f>2.6/16</f>
        <v>0.16250000000000001</v>
      </c>
      <c r="J3" t="s">
        <v>769</v>
      </c>
    </row>
    <row r="4" spans="1:20" ht="45">
      <c r="A4" t="s">
        <v>753</v>
      </c>
      <c r="B4" t="s">
        <v>765</v>
      </c>
      <c r="G4">
        <v>-1225</v>
      </c>
      <c r="H4" s="260" t="s">
        <v>760</v>
      </c>
      <c r="I4" t="s">
        <v>761</v>
      </c>
      <c r="J4" s="1" t="s">
        <v>754</v>
      </c>
    </row>
    <row r="5" spans="1:20">
      <c r="A5" t="s">
        <v>749</v>
      </c>
      <c r="B5" t="s">
        <v>756</v>
      </c>
      <c r="G5">
        <v>6.8</v>
      </c>
      <c r="H5" s="260" t="s">
        <v>757</v>
      </c>
      <c r="I5">
        <v>6.8</v>
      </c>
      <c r="J5" t="s">
        <v>755</v>
      </c>
    </row>
    <row r="6" spans="1:20">
      <c r="A6" t="s">
        <v>750</v>
      </c>
      <c r="B6" t="s">
        <v>756</v>
      </c>
      <c r="G6">
        <v>30</v>
      </c>
      <c r="H6" s="260" t="s">
        <v>758</v>
      </c>
      <c r="I6" t="s">
        <v>752</v>
      </c>
      <c r="J6" t="s">
        <v>751</v>
      </c>
    </row>
    <row r="7" spans="1:20">
      <c r="A7" t="s">
        <v>764</v>
      </c>
      <c r="B7" t="s">
        <v>756</v>
      </c>
      <c r="G7">
        <f>-1081*1.1</f>
        <v>-1189.1000000000001</v>
      </c>
      <c r="H7" s="260" t="s">
        <v>759</v>
      </c>
      <c r="I7" s="259" t="s">
        <v>763</v>
      </c>
      <c r="J7" t="s">
        <v>762</v>
      </c>
    </row>
    <row r="8" spans="1:20">
      <c r="A8" t="s">
        <v>768</v>
      </c>
      <c r="B8" t="s">
        <v>767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8">
        <v>-177</v>
      </c>
      <c r="G2" s="56" t="s">
        <v>155</v>
      </c>
      <c r="H2" s="56" t="s">
        <v>154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7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9"/>
      <c r="G4" s="56" t="s">
        <v>55</v>
      </c>
      <c r="H4" s="56" t="s">
        <v>154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8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419</v>
      </c>
      <c r="C46" s="70" t="s">
        <v>418</v>
      </c>
      <c r="D46" s="70" t="s">
        <v>414</v>
      </c>
      <c r="E46" s="70" t="s">
        <v>416</v>
      </c>
      <c r="F46" s="70" t="s">
        <v>412</v>
      </c>
      <c r="G46" s="70" t="s">
        <v>413</v>
      </c>
      <c r="H46" s="55" t="s">
        <v>411</v>
      </c>
      <c r="I46" s="70" t="s">
        <v>415</v>
      </c>
      <c r="J46" s="70" t="s">
        <v>417</v>
      </c>
      <c r="K46" s="70" t="s">
        <v>421</v>
      </c>
      <c r="L46" s="70" t="s">
        <v>420</v>
      </c>
      <c r="M46" s="70" t="s">
        <v>422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3">
        <f>F2-C2</f>
        <v>-947</v>
      </c>
      <c r="I47" s="103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3">
        <f>H86-G86</f>
        <v>0</v>
      </c>
      <c r="E48" s="103">
        <f>G86-H86</f>
        <v>0</v>
      </c>
      <c r="F48" s="57"/>
      <c r="G48" s="55"/>
      <c r="H48" s="103"/>
      <c r="I48" s="104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3"/>
      <c r="E49" s="55"/>
      <c r="F49" s="55"/>
      <c r="G49" s="55"/>
      <c r="H49" s="103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3">
        <f>F5-C5</f>
        <v>-2403</v>
      </c>
      <c r="I50" s="103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410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341</v>
      </c>
      <c r="D91" s="1" t="s">
        <v>342</v>
      </c>
      <c r="E91" s="1" t="s">
        <v>387</v>
      </c>
      <c r="F91" s="1" t="s">
        <v>2</v>
      </c>
    </row>
    <row r="92" spans="2:8">
      <c r="B92" t="s">
        <v>339</v>
      </c>
      <c r="C92">
        <v>88</v>
      </c>
      <c r="D92">
        <v>88</v>
      </c>
      <c r="E92">
        <v>1</v>
      </c>
      <c r="F92" t="s">
        <v>380</v>
      </c>
    </row>
    <row r="93" spans="2:8">
      <c r="B93" t="s">
        <v>168</v>
      </c>
      <c r="C93">
        <v>22</v>
      </c>
      <c r="D93">
        <v>68.900000000000006</v>
      </c>
      <c r="E93" s="69">
        <v>0.19573863636363639</v>
      </c>
      <c r="F93" t="s">
        <v>381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383</v>
      </c>
    </row>
    <row r="95" spans="2:8">
      <c r="B95" t="s">
        <v>340</v>
      </c>
      <c r="C95">
        <v>92</v>
      </c>
      <c r="D95">
        <v>89</v>
      </c>
      <c r="E95" s="69">
        <v>1.0573347107438016</v>
      </c>
      <c r="F95" t="s">
        <v>382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 factors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2015-09-15T21:53:36Z</dcterms:modified>
</cp:coreProperties>
</file>