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080" yWindow="0" windowWidth="25600" windowHeight="15820" tabRatio="500" activeTab="1"/>
  </bookViews>
  <sheets>
    <sheet name="Parameters" sheetId="9" r:id="rId1"/>
    <sheet name="GlobalFactorsADsensitivity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4" l="1"/>
  <c r="C11" i="14"/>
  <c r="C6" i="14"/>
  <c r="C2" i="14"/>
  <c r="C14" i="14"/>
  <c r="F13" i="17"/>
  <c r="D52" i="17"/>
  <c r="F52" i="17"/>
  <c r="F87" i="17"/>
  <c r="E10" i="17"/>
  <c r="D19" i="17"/>
  <c r="D20" i="17"/>
  <c r="E22" i="17"/>
  <c r="D23" i="17"/>
  <c r="O5" i="19"/>
  <c r="F5" i="19"/>
  <c r="C14" i="9"/>
  <c r="C18" i="17"/>
  <c r="E52" i="17"/>
  <c r="E87" i="17"/>
  <c r="D16" i="17"/>
  <c r="C14" i="17"/>
  <c r="E3" i="17"/>
  <c r="G4" i="17"/>
  <c r="C4" i="17"/>
  <c r="G5" i="17"/>
  <c r="C5" i="17"/>
  <c r="C2" i="17"/>
  <c r="C31" i="17"/>
  <c r="D5" i="14"/>
  <c r="C10" i="15"/>
  <c r="G57" i="9"/>
  <c r="J57" i="9"/>
  <c r="G55" i="9"/>
  <c r="J55" i="9"/>
  <c r="G56" i="9"/>
  <c r="J56" i="9"/>
  <c r="K26" i="9"/>
  <c r="F25" i="17"/>
  <c r="F26" i="17"/>
  <c r="D28" i="17"/>
  <c r="H29" i="17"/>
  <c r="F61" i="15"/>
  <c r="I43" i="9"/>
  <c r="L43" i="9"/>
  <c r="I27" i="9"/>
  <c r="H27" i="9"/>
  <c r="J27" i="9"/>
  <c r="B27" i="9"/>
  <c r="K27" i="9"/>
  <c r="K28" i="9"/>
  <c r="J29" i="9"/>
  <c r="K29" i="9"/>
  <c r="K30" i="9"/>
  <c r="K31" i="9"/>
  <c r="K32" i="9"/>
  <c r="K33" i="9"/>
  <c r="K34" i="9"/>
  <c r="K35" i="9"/>
  <c r="K36" i="9"/>
  <c r="K37" i="9"/>
  <c r="K38" i="9"/>
  <c r="K39" i="9"/>
  <c r="K40" i="9"/>
  <c r="L40" i="9"/>
  <c r="L26" i="9"/>
  <c r="M43" i="9"/>
  <c r="L27" i="9"/>
  <c r="L29" i="9"/>
  <c r="L30" i="9"/>
  <c r="L31" i="9"/>
  <c r="L32" i="9"/>
  <c r="L33" i="9"/>
  <c r="L34" i="9"/>
  <c r="L35" i="9"/>
  <c r="L36" i="9"/>
  <c r="L37" i="9"/>
  <c r="L38" i="9"/>
  <c r="L39" i="9"/>
  <c r="L28" i="9"/>
  <c r="M28" i="9"/>
  <c r="M29" i="9"/>
  <c r="B10" i="13"/>
  <c r="B9" i="13"/>
  <c r="B19" i="13"/>
  <c r="B18" i="13"/>
  <c r="B17" i="13"/>
  <c r="B16" i="13"/>
  <c r="B14" i="13"/>
  <c r="B13" i="13"/>
  <c r="B6" i="13"/>
  <c r="D16" i="13"/>
  <c r="D17" i="13"/>
  <c r="D18" i="13"/>
  <c r="D19" i="13"/>
  <c r="B15" i="13"/>
  <c r="D6" i="13"/>
  <c r="D7" i="13"/>
  <c r="D8" i="13"/>
  <c r="M30" i="9"/>
  <c r="D9" i="13"/>
  <c r="D10" i="13"/>
  <c r="D11" i="13"/>
  <c r="D12" i="13"/>
  <c r="D13" i="13"/>
  <c r="D14" i="13"/>
  <c r="D15" i="13"/>
  <c r="D5" i="13"/>
  <c r="B12" i="13"/>
  <c r="B11" i="13"/>
  <c r="B8" i="13"/>
  <c r="B7" i="13"/>
  <c r="B5" i="13"/>
  <c r="F12" i="13"/>
  <c r="F18" i="13"/>
  <c r="F10" i="13"/>
  <c r="F9" i="13"/>
  <c r="F8" i="13"/>
  <c r="F7" i="13"/>
  <c r="F5" i="13"/>
  <c r="E11" i="13"/>
  <c r="E10" i="13"/>
  <c r="E9" i="13"/>
  <c r="E8" i="13"/>
  <c r="E6" i="13"/>
  <c r="D30" i="9"/>
  <c r="D43" i="9"/>
  <c r="D29" i="9"/>
  <c r="F17" i="10"/>
  <c r="F15" i="15"/>
  <c r="E16" i="15"/>
  <c r="D17" i="15"/>
  <c r="C3" i="9"/>
  <c r="C4" i="9"/>
  <c r="C2" i="9"/>
  <c r="D26" i="9"/>
  <c r="H55" i="9"/>
  <c r="I55" i="9"/>
  <c r="H57" i="9"/>
  <c r="I57" i="9"/>
  <c r="H56" i="9"/>
  <c r="I56" i="9"/>
  <c r="E18" i="10"/>
  <c r="D18" i="10"/>
  <c r="D67" i="10"/>
  <c r="F68" i="10"/>
  <c r="D68" i="10"/>
  <c r="C17" i="9"/>
  <c r="C69" i="10"/>
  <c r="C64" i="10"/>
  <c r="F23" i="10"/>
  <c r="E24" i="10"/>
  <c r="D44" i="10"/>
  <c r="F63" i="19"/>
  <c r="F62" i="19"/>
  <c r="F61" i="19"/>
  <c r="D59" i="10"/>
  <c r="F58" i="10"/>
  <c r="D60" i="10"/>
  <c r="G61" i="10"/>
  <c r="C61" i="10"/>
  <c r="F40" i="10"/>
  <c r="G40" i="10"/>
  <c r="C40" i="10"/>
  <c r="C62" i="10"/>
  <c r="F41" i="10"/>
  <c r="G41" i="10"/>
  <c r="E41" i="10"/>
  <c r="C41" i="10"/>
  <c r="C63" i="10"/>
  <c r="C52" i="10"/>
  <c r="F13" i="19"/>
  <c r="E45" i="10"/>
  <c r="D46" i="10"/>
  <c r="C16" i="9"/>
  <c r="C46" i="10"/>
  <c r="F15" i="19"/>
  <c r="E47" i="10"/>
  <c r="D48" i="10"/>
  <c r="C48" i="10"/>
  <c r="E49" i="10"/>
  <c r="D50" i="10"/>
  <c r="C50" i="10"/>
  <c r="C51" i="10"/>
  <c r="C43" i="10"/>
  <c r="C70" i="10"/>
  <c r="F75" i="10"/>
  <c r="F63" i="10"/>
  <c r="F62" i="10"/>
  <c r="G63" i="10"/>
  <c r="G62" i="10"/>
  <c r="E40" i="10"/>
  <c r="D24" i="10"/>
  <c r="D37" i="10"/>
  <c r="E36" i="10"/>
  <c r="D38" i="10"/>
  <c r="G39" i="10"/>
  <c r="C39" i="10"/>
  <c r="E18" i="15"/>
  <c r="D21" i="15"/>
  <c r="D22" i="15"/>
  <c r="C24" i="15"/>
  <c r="E19" i="15"/>
  <c r="D19" i="15"/>
  <c r="D23" i="15"/>
  <c r="D26" i="15"/>
  <c r="C26" i="15"/>
  <c r="E27" i="15"/>
  <c r="D28" i="15"/>
  <c r="D30" i="15"/>
  <c r="G31" i="15"/>
  <c r="C31" i="15"/>
  <c r="C14" i="15"/>
  <c r="F34" i="15"/>
  <c r="E35" i="15"/>
  <c r="D36" i="15"/>
  <c r="E37" i="15"/>
  <c r="D38" i="15"/>
  <c r="C39" i="15"/>
  <c r="F41" i="15"/>
  <c r="F30" i="19"/>
  <c r="E42" i="15"/>
  <c r="D42" i="15"/>
  <c r="E44" i="15"/>
  <c r="E43" i="15"/>
  <c r="D45" i="15"/>
  <c r="D40" i="15"/>
  <c r="C33" i="15"/>
  <c r="D52" i="15"/>
  <c r="F39" i="19"/>
  <c r="E53" i="15"/>
  <c r="D53" i="15"/>
  <c r="C54" i="15"/>
  <c r="F40" i="19"/>
  <c r="E55" i="15"/>
  <c r="D55" i="15"/>
  <c r="E56" i="15"/>
  <c r="C56" i="15"/>
  <c r="F41" i="19"/>
  <c r="E57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85" i="9"/>
  <c r="D85" i="9"/>
  <c r="F85" i="9"/>
  <c r="C83" i="9"/>
  <c r="E83" i="9"/>
  <c r="F83" i="9"/>
  <c r="G85" i="9"/>
  <c r="F45" i="19"/>
  <c r="G82" i="15"/>
  <c r="D82" i="15"/>
  <c r="G83" i="15"/>
  <c r="C83" i="15"/>
  <c r="F80" i="15"/>
  <c r="C84" i="9"/>
  <c r="D84" i="9"/>
  <c r="F84" i="9"/>
  <c r="G84" i="9"/>
  <c r="F47" i="19"/>
  <c r="G80" i="15"/>
  <c r="D80" i="15"/>
  <c r="G81" i="15"/>
  <c r="C81" i="15"/>
  <c r="D77" i="15"/>
  <c r="E78" i="15"/>
  <c r="D78" i="15"/>
  <c r="G79" i="15"/>
  <c r="C79" i="15"/>
  <c r="C84" i="15"/>
  <c r="C85" i="15"/>
  <c r="H43" i="9"/>
  <c r="G27" i="9"/>
  <c r="G28" i="9"/>
  <c r="G29" i="9"/>
  <c r="G26" i="9"/>
  <c r="D28" i="9"/>
  <c r="F28" i="9"/>
  <c r="D27" i="9"/>
  <c r="H41" i="19"/>
  <c r="G41" i="19"/>
  <c r="H40" i="19"/>
  <c r="G40" i="19"/>
  <c r="H62" i="19"/>
  <c r="G62" i="19"/>
  <c r="H15" i="19"/>
  <c r="G15" i="19"/>
  <c r="H13" i="19"/>
  <c r="G1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F14" i="10"/>
  <c r="C14" i="10"/>
  <c r="E15" i="10"/>
  <c r="C15" i="10"/>
  <c r="C12" i="10"/>
  <c r="C76" i="10"/>
  <c r="C32" i="10"/>
  <c r="C42" i="10"/>
  <c r="C31" i="10"/>
  <c r="C78" i="10"/>
  <c r="F30" i="1"/>
  <c r="C71" i="10"/>
  <c r="F24" i="10"/>
  <c r="G33" i="10"/>
  <c r="E34" i="10"/>
  <c r="D35" i="10"/>
  <c r="G83" i="9"/>
  <c r="O7" i="19"/>
  <c r="G5" i="19"/>
  <c r="O6" i="19"/>
  <c r="H5" i="19"/>
  <c r="E49" i="15"/>
  <c r="G48" i="15"/>
  <c r="F73" i="15"/>
  <c r="D13" i="15"/>
  <c r="E29" i="15"/>
  <c r="E21" i="15"/>
  <c r="E8" i="1"/>
  <c r="C36" i="19"/>
  <c r="J36" i="19"/>
  <c r="C33" i="19"/>
  <c r="C32" i="19"/>
  <c r="H31" i="19"/>
  <c r="G31" i="19"/>
  <c r="G20" i="17"/>
  <c r="F42" i="17"/>
  <c r="F37" i="17"/>
  <c r="E41" i="17"/>
  <c r="E37" i="17"/>
  <c r="C24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D29" i="14"/>
  <c r="D50" i="15"/>
  <c r="G28" i="15"/>
  <c r="F28" i="15"/>
  <c r="D33" i="11"/>
  <c r="A35" i="11"/>
  <c r="O35" i="9"/>
  <c r="N35" i="9"/>
  <c r="O33" i="9"/>
  <c r="N3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E38" i="17"/>
  <c r="C17" i="17"/>
  <c r="F38" i="17"/>
  <c r="I18" i="10"/>
  <c r="I13" i="10"/>
  <c r="C50" i="19"/>
  <c r="C3" i="19"/>
  <c r="B3" i="19"/>
  <c r="J54" i="19"/>
  <c r="C39" i="19"/>
  <c r="J35" i="19"/>
  <c r="C30" i="19"/>
  <c r="J30" i="19"/>
  <c r="J32" i="19"/>
  <c r="J33" i="19"/>
  <c r="I34" i="19"/>
  <c r="B30" i="19"/>
  <c r="C20" i="19"/>
  <c r="B20" i="19"/>
  <c r="C23" i="19"/>
  <c r="C18" i="19"/>
  <c r="C19" i="19"/>
  <c r="F19" i="19"/>
  <c r="J19" i="19"/>
  <c r="B19" i="19"/>
  <c r="B18" i="19"/>
  <c r="J17" i="19"/>
  <c r="C17" i="19"/>
  <c r="B17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3" i="9"/>
  <c r="B74" i="9"/>
  <c r="B75" i="9"/>
  <c r="B76" i="9"/>
  <c r="F12" i="17"/>
  <c r="F11" i="17"/>
  <c r="D66" i="10"/>
  <c r="F9" i="10"/>
  <c r="P73" i="9"/>
  <c r="P74" i="9"/>
  <c r="P75" i="9"/>
  <c r="P76" i="9"/>
  <c r="Q76" i="9"/>
  <c r="G58" i="9"/>
  <c r="G59" i="9"/>
  <c r="P77" i="9"/>
  <c r="O73" i="9"/>
  <c r="O74" i="9"/>
  <c r="O75" i="9"/>
  <c r="O76" i="9"/>
  <c r="O77" i="9"/>
  <c r="N73" i="9"/>
  <c r="N74" i="9"/>
  <c r="N75" i="9"/>
  <c r="N76" i="9"/>
  <c r="N77" i="9"/>
  <c r="K73" i="9"/>
  <c r="K74" i="9"/>
  <c r="K75" i="9"/>
  <c r="K76" i="9"/>
  <c r="K77" i="9"/>
  <c r="H73" i="9"/>
  <c r="H74" i="9"/>
  <c r="H75" i="9"/>
  <c r="H76" i="9"/>
  <c r="H77" i="9"/>
  <c r="G73" i="9"/>
  <c r="G74" i="9"/>
  <c r="G75" i="9"/>
  <c r="G76" i="9"/>
  <c r="G77" i="9"/>
  <c r="F73" i="9"/>
  <c r="F74" i="9"/>
  <c r="F75" i="9"/>
  <c r="F76" i="9"/>
  <c r="F77" i="9"/>
  <c r="E73" i="9"/>
  <c r="E74" i="9"/>
  <c r="E75" i="9"/>
  <c r="E76" i="9"/>
  <c r="E77" i="9"/>
  <c r="D73" i="9"/>
  <c r="D74" i="9"/>
  <c r="D75" i="9"/>
  <c r="D76" i="9"/>
  <c r="D77" i="9"/>
  <c r="C73" i="9"/>
  <c r="C74" i="9"/>
  <c r="C75" i="9"/>
  <c r="C76" i="9"/>
  <c r="C77" i="9"/>
  <c r="B77" i="9"/>
  <c r="H59" i="9"/>
  <c r="N59" i="9"/>
  <c r="K59" i="9"/>
  <c r="J59" i="9"/>
  <c r="I59" i="9"/>
  <c r="H58" i="9"/>
  <c r="N58" i="9"/>
  <c r="I58" i="9"/>
  <c r="K57" i="9"/>
  <c r="K56" i="9"/>
  <c r="K5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D28" i="14"/>
  <c r="D27" i="14"/>
  <c r="D26" i="14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5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<sst xmlns="http://schemas.openxmlformats.org/spreadsheetml/2006/main" count="1654" uniqueCount="980">
  <si>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</si>
  <si>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</si>
  <si>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</si>
  <si>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</si>
  <si>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</si>
  <si>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</si>
  <si>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</si>
  <si>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</si>
  <si>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</si>
  <si>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</si>
  <si>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</si>
  <si>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</si>
  <si>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</si>
  <si>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</si>
  <si>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</si>
  <si>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</si>
  <si>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</si>
  <si>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</si>
  <si>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</si>
  <si>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</si>
  <si>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</si>
  <si>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</si>
  <si>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</si>
  <si>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</si>
  <si>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</si>
  <si>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</si>
  <si>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</si>
  <si>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</si>
  <si>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</si>
  <si>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</si>
  <si>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</si>
  <si>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</si>
  <si>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</si>
  <si>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</si>
  <si>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</si>
  <si>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</si>
  <si>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</si>
  <si>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</si>
  <si>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</si>
  <si>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</si>
  <si>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</si>
  <si>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</si>
  <si>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</si>
  <si>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</si>
  <si>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</si>
  <si>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</si>
  <si>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</si>
  <si>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</si>
  <si>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</si>
  <si>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</si>
  <si>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</si>
  <si>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</si>
  <si>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</si>
  <si>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</si>
  <si>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</si>
  <si>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</si>
  <si>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</si>
  <si>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</si>
  <si>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</si>
  <si>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</si>
  <si>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</si>
  <si>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</si>
  <si>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</si>
  <si>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</si>
  <si>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</si>
  <si>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</si>
  <si>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</si>
  <si>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</si>
  <si>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</si>
  <si>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</si>
  <si>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</si>
  <si>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</si>
  <si>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</si>
  <si>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</si>
  <si>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</si>
  <si>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</si>
  <si>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</si>
  <si>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</si>
  <si>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</si>
  <si>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</si>
  <si>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</si>
  <si>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</si>
  <si>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</si>
  <si>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</si>
  <si>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</si>
  <si>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</si>
  <si>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</si>
  <si>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</si>
  <si>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</si>
  <si>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</si>
  <si>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</si>
  <si>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</si>
  <si>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</si>
  <si>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</si>
  <si>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</si>
  <si>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</si>
  <si>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</si>
  <si>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</si>
  <si>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</si>
  <si>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</si>
  <si>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</si>
  <si>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</si>
  <si>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</si>
  <si>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</si>
  <si>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</si>
  <si>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</si>
  <si>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</si>
  <si>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</si>
  <si>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</si>
  <si>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</si>
  <si>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</si>
  <si>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</si>
  <si>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</si>
  <si>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</si>
  <si>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</si>
  <si>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</si>
  <si>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</si>
  <si>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</si>
  <si>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</si>
  <si>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</si>
  <si>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</si>
  <si>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</si>
  <si>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</si>
  <si>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</si>
  <si>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</si>
  <si>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</si>
  <si>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</si>
  <si>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</si>
  <si>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</si>
  <si>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</si>
  <si>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</si>
  <si>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</si>
  <si>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</si>
  <si>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</si>
  <si>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</si>
  <si>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</si>
  <si>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</si>
  <si>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</si>
  <si>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</si>
  <si>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</si>
  <si>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</si>
  <si>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</si>
  <si>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</si>
  <si>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</si>
  <si>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</si>
  <si>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</si>
  <si>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</si>
  <si>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apple pomace</t>
  </si>
  <si>
    <t>corn</t>
  </si>
  <si>
    <t>bakery waste</t>
  </si>
  <si>
    <t>%DM</t>
  </si>
  <si>
    <t>TDN (%M)</t>
  </si>
  <si>
    <t>TDN</t>
  </si>
  <si>
    <t> Nutrient Requirements of Beef Cattle 1996</t>
  </si>
  <si>
    <t>NRC, 2000</t>
  </si>
  <si>
    <t>NRC, 2001</t>
  </si>
  <si>
    <t>NRC, 2003</t>
  </si>
  <si>
    <t>NDSU, 2012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</si>
  <si>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</si>
  <si>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</si>
  <si>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</si>
  <si>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</si>
  <si>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</si>
  <si>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</si>
  <si>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</si>
  <si>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</si>
  <si>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</si>
  <si>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</si>
  <si>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</si>
  <si>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</si>
  <si>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</si>
  <si>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</si>
  <si>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</si>
  <si>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</si>
  <si>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</si>
  <si>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</si>
  <si>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</si>
  <si>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</si>
  <si>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</si>
  <si>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</si>
  <si>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</si>
  <si>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</si>
  <si>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</si>
  <si>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</si>
  <si>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</si>
  <si>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</si>
  <si>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</si>
  <si>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</si>
  <si>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</si>
  <si>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</si>
  <si>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</si>
  <si>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</si>
  <si>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</si>
  <si>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</si>
  <si>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</si>
  <si>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</si>
  <si>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</si>
  <si>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</si>
  <si>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</si>
  <si>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</si>
  <si>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</si>
  <si>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</si>
  <si>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</si>
  <si>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</si>
  <si>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</si>
  <si>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</si>
  <si>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</si>
  <si>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</si>
  <si>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</si>
  <si>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</si>
  <si>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</si>
  <si>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</si>
  <si>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</si>
  <si>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</si>
  <si>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</si>
  <si>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</si>
  <si>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</si>
  <si>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</si>
  <si>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</si>
  <si>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</si>
  <si>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</si>
  <si>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</si>
  <si>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</si>
  <si>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</si>
  <si>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</si>
  <si>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</si>
  <si>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</si>
  <si>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</si>
  <si>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</si>
  <si>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</si>
  <si>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</si>
  <si>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</si>
  <si>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</si>
  <si>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</si>
  <si>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</si>
  <si>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</si>
  <si>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</si>
  <si>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</si>
  <si>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</si>
  <si>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</si>
  <si>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</si>
  <si>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</si>
  <si>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</si>
  <si>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</si>
  <si>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</si>
  <si>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</si>
  <si>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</si>
  <si>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</si>
  <si>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</si>
  <si>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</si>
  <si>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</si>
  <si>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</si>
  <si>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</si>
  <si>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</si>
  <si>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</si>
  <si>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</si>
  <si>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</si>
  <si>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</si>
  <si>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</si>
  <si>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</si>
  <si>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</si>
  <si>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</si>
  <si>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</si>
  <si>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</si>
  <si>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</si>
  <si>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</si>
  <si>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</si>
  <si>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</si>
  <si>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</si>
  <si>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</si>
  <si>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</si>
  <si>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</si>
  <si>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</si>
  <si>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</si>
  <si>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</si>
  <si>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</si>
  <si>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</si>
  <si>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</si>
  <si>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</si>
  <si>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</si>
  <si>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</si>
  <si>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</si>
  <si>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</si>
  <si>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</si>
  <si>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</si>
  <si>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</si>
  <si>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</si>
  <si>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</si>
  <si>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</si>
  <si>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</si>
  <si>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</si>
  <si>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</si>
  <si>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</si>
  <si>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</si>
  <si>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</si>
  <si>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</si>
  <si>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</si>
  <si>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</si>
  <si>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</si>
  <si>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</si>
  <si>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</si>
  <si>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</si>
  <si>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</si>
  <si>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</si>
  <si>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</si>
  <si>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</si>
  <si>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</si>
  <si>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</si>
  <si>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</si>
  <si>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</si>
  <si>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</si>
  <si>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</si>
  <si>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</si>
  <si>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</si>
  <si>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</si>
  <si>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</si>
  <si>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</si>
  <si>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</si>
  <si>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</si>
  <si>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</si>
  <si>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</si>
  <si>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</si>
  <si>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</si>
  <si>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</si>
  <si>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</si>
  <si>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</si>
  <si>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</si>
  <si>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</si>
  <si>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</si>
  <si>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</si>
  <si>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</si>
  <si>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</si>
  <si>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</si>
  <si>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</si>
  <si>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</si>
  <si>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</si>
  <si>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</si>
  <si>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</si>
  <si>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</si>
  <si>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</si>
  <si>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</si>
  <si>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</si>
  <si>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</si>
  <si>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</si>
  <si>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</si>
  <si>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</si>
  <si>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</si>
  <si>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</si>
  <si>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</si>
  <si>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</si>
  <si>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</si>
  <si>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</si>
  <si>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</si>
  <si>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</si>
  <si>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</si>
  <si>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</si>
  <si>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</si>
  <si>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</si>
  <si>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</si>
  <si>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</si>
  <si>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</si>
  <si>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</si>
  <si>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</si>
  <si>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</si>
  <si>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</si>
  <si>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</si>
  <si>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</si>
  <si>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</si>
  <si>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</si>
  <si>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</si>
  <si>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</si>
  <si>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</si>
  <si>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</si>
  <si>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</si>
  <si>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</si>
  <si>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</si>
  <si>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</si>
  <si>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</si>
  <si>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</si>
  <si>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</si>
  <si>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</si>
  <si>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</si>
  <si>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</si>
  <si>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</si>
  <si>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</si>
  <si>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</si>
  <si>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</si>
  <si>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</si>
  <si>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</si>
  <si>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</si>
  <si>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</si>
  <si>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</si>
  <si>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</si>
  <si>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</si>
  <si>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</si>
  <si>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</si>
  <si>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</si>
  <si>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</si>
  <si>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</si>
  <si>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</si>
  <si>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</si>
  <si>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</si>
  <si>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</si>
  <si>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</si>
  <si>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</si>
  <si>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</si>
  <si>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</si>
  <si>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</si>
  <si>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</si>
  <si>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</si>
  <si>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</si>
  <si>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</si>
  <si>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</si>
  <si>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</si>
  <si>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</si>
  <si>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</si>
  <si>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</si>
  <si>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</si>
  <si>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</si>
  <si>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</si>
  <si>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</si>
  <si>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</si>
  <si>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</si>
  <si>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</si>
  <si>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</si>
  <si>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</si>
  <si>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</si>
  <si>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</si>
  <si>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</si>
  <si>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</si>
  <si>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</si>
  <si>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</si>
  <si>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</si>
  <si>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</si>
  <si>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</si>
  <si>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</si>
  <si>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</si>
  <si>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</si>
  <si>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</si>
  <si>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</si>
  <si>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</si>
  <si>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</si>
  <si>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</si>
  <si>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</si>
  <si>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</si>
  <si>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</si>
  <si>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</si>
  <si>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</si>
  <si>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</si>
  <si>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</si>
  <si>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</si>
  <si>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</si>
  <si>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</si>
  <si>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</si>
  <si>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</si>
  <si>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</si>
  <si>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</si>
  <si>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</si>
  <si>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</si>
  <si>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</si>
  <si>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</si>
  <si>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</si>
  <si>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</si>
  <si>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</si>
  <si>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</si>
  <si>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</si>
  <si>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</si>
  <si>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</si>
  <si>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</si>
  <si>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</si>
  <si>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</si>
  <si>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</si>
  <si>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</si>
  <si>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</si>
  <si>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</si>
  <si>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</si>
  <si>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</si>
  <si>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</si>
  <si>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</si>
  <si>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</si>
  <si>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</si>
  <si>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</si>
  <si>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</si>
  <si>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</si>
  <si>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</si>
  <si>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</si>
  <si>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</si>
  <si>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</si>
  <si>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</si>
  <si>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</si>
  <si>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</si>
  <si>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</si>
  <si>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</si>
  <si>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</si>
  <si>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</si>
  <si>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</si>
  <si>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</si>
  <si>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</si>
  <si>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</si>
  <si>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</si>
  <si>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</si>
  <si>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</si>
  <si>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</si>
  <si>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</si>
  <si>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</si>
  <si>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</si>
  <si>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</si>
  <si>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</si>
  <si>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</si>
  <si>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</si>
  <si>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</si>
  <si>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</si>
  <si>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</si>
  <si>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</si>
  <si>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</si>
  <si>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</si>
  <si>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</si>
  <si>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</si>
  <si>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</si>
  <si>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</si>
  <si>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</si>
  <si>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</si>
  <si>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</si>
  <si>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</si>
  <si>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</si>
  <si>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</si>
  <si>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</si>
  <si>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</si>
  <si>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</si>
  <si>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</si>
  <si>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</si>
  <si>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</si>
  <si>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</si>
  <si>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</si>
  <si>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</si>
  <si>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</si>
  <si>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</si>
  <si>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</si>
  <si>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</si>
  <si>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</si>
  <si>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</si>
  <si>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</si>
  <si>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</si>
  <si>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</si>
  <si>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</si>
  <si>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</si>
  <si>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</si>
  <si>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</si>
  <si>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</si>
  <si>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</si>
  <si>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</si>
  <si>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</si>
  <si>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</si>
  <si>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</si>
  <si>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</si>
  <si>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</si>
  <si>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</si>
  <si>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</si>
  <si>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</si>
  <si>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</si>
  <si>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</si>
  <si>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</si>
  <si>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</si>
  <si>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</si>
  <si>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</si>
  <si>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</si>
  <si>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</si>
  <si>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</si>
  <si>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</si>
  <si>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</si>
  <si>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</si>
  <si>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</si>
  <si>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</si>
  <si>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</si>
  <si>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</si>
  <si>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</si>
  <si>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</si>
  <si>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</si>
  <si>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</si>
  <si>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</si>
  <si>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</si>
  <si>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</si>
  <si>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</si>
  <si>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</si>
  <si>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</si>
  <si>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</si>
  <si>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</si>
  <si>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</si>
  <si>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</si>
  <si>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</si>
  <si>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</si>
  <si>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</si>
  <si>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</si>
  <si>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</si>
  <si>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</si>
  <si>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</si>
  <si>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</si>
  <si>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</si>
  <si>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</si>
  <si>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</si>
  <si>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</si>
  <si>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</si>
  <si>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</si>
  <si>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</si>
  <si>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</si>
  <si>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</si>
  <si>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</si>
  <si>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</si>
  <si>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</si>
  <si>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</si>
  <si>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</si>
  <si>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</si>
  <si>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</si>
  <si>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</si>
  <si>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</si>
  <si>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</si>
  <si>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</si>
  <si>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</si>
  <si>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</si>
  <si>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</si>
  <si>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</si>
  <si>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</si>
  <si>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</si>
  <si>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</si>
  <si>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</si>
  <si>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</si>
  <si>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</si>
  <si>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</si>
  <si>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</si>
  <si>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</si>
  <si>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</si>
  <si>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</si>
  <si>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</si>
  <si>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</si>
  <si>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</si>
  <si>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</si>
  <si>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</si>
  <si>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</si>
  <si>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</si>
  <si>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</si>
  <si>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</si>
  <si>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</si>
  <si>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</si>
  <si>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</si>
  <si>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</si>
  <si>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</si>
  <si>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</si>
  <si>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</si>
  <si>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</si>
  <si>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</si>
  <si>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</si>
  <si>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</si>
  <si>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</si>
  <si>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</si>
  <si>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</si>
  <si>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</si>
  <si>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</si>
  <si>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</si>
  <si>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</si>
  <si>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</si>
  <si>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</si>
  <si>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</si>
  <si>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</si>
  <si>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</si>
  <si>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</si>
  <si>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</si>
  <si>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</si>
  <si>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</si>
  <si>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</si>
  <si>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</si>
  <si>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</si>
  <si>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</si>
  <si>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</si>
  <si>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</si>
  <si>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</si>
  <si>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</si>
  <si>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</si>
  <si>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</si>
  <si>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</si>
  <si>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</si>
  <si>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</si>
  <si>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</si>
  <si>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</si>
  <si>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</si>
  <si>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</si>
  <si>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</si>
  <si>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</si>
  <si>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</si>
  <si>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</si>
  <si>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</si>
  <si>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</si>
  <si>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</si>
  <si>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</si>
  <si>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</si>
  <si>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</si>
  <si>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</si>
  <si>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</si>
  <si>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</si>
  <si>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</si>
  <si>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</si>
  <si>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</si>
  <si>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</si>
  <si>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</si>
  <si>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</si>
  <si>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</si>
  <si>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</si>
  <si>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</si>
  <si>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</si>
  <si>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</si>
  <si>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</si>
  <si>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</si>
  <si>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</si>
  <si>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</si>
  <si>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</si>
  <si>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</si>
  <si>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</si>
  <si>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</si>
  <si>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</si>
  <si>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</si>
  <si>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</si>
  <si>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</si>
  <si>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</si>
  <si>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</si>
  <si>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</si>
  <si>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</si>
  <si>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</si>
  <si>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</si>
  <si>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</si>
  <si>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</si>
  <si>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</si>
  <si>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</si>
  <si>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</si>
  <si>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</si>
  <si>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</si>
  <si>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</si>
  <si>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</si>
  <si>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</si>
  <si>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</si>
  <si>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</si>
  <si>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</si>
  <si>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</si>
  <si>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</si>
  <si>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</si>
  <si>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</si>
  <si>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</si>
  <si>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</si>
  <si>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</si>
  <si>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</si>
  <si>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</si>
  <si>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</si>
  <si>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</si>
  <si>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</si>
  <si>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</si>
  <si>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</si>
  <si>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</si>
  <si>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</si>
  <si>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</si>
  <si>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</si>
  <si>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</si>
  <si>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</si>
  <si>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</si>
  <si>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</si>
  <si>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</si>
  <si>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</si>
  <si>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</si>
  <si>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</si>
  <si>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</si>
  <si>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</si>
  <si>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</si>
  <si>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</si>
  <si>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</si>
  <si>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</si>
  <si>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</si>
  <si>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</si>
  <si>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</si>
  <si>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</si>
  <si>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</si>
  <si>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</si>
  <si>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</si>
  <si>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</si>
  <si>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</si>
  <si>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</si>
  <si>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</si>
  <si>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</si>
  <si>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</si>
  <si>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</si>
  <si>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</si>
  <si>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</si>
  <si>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</si>
  <si>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</si>
  <si>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</si>
  <si>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</si>
  <si>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</si>
  <si>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</si>
  <si>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</si>
  <si>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</si>
  <si>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</si>
  <si>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</si>
  <si>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</si>
  <si>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</si>
  <si>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</si>
  <si>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</si>
  <si>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</si>
  <si>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</si>
  <si>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</si>
  <si>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</si>
  <si>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</si>
  <si>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</si>
  <si>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</si>
  <si>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</si>
  <si>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</si>
  <si>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</si>
  <si>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</si>
  <si>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</si>
  <si>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</si>
  <si>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</si>
  <si>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</si>
  <si>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</si>
  <si>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</si>
  <si>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</si>
  <si>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</si>
  <si>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</si>
  <si>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</si>
  <si>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</si>
  <si>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</si>
  <si>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</si>
  <si>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</si>
  <si>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</si>
  <si>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</si>
  <si>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</si>
  <si>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</si>
  <si>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</si>
  <si>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</si>
  <si>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</si>
  <si>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</si>
  <si>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</si>
  <si>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</si>
  <si>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</si>
  <si>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</si>
  <si>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</si>
  <si>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</si>
  <si>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</si>
  <si>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</si>
  <si>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</si>
  <si>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</si>
  <si>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</si>
  <si>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</si>
  <si>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</si>
  <si>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</si>
  <si>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</si>
  <si>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</si>
  <si>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</si>
  <si>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</si>
  <si>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</si>
  <si>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</si>
  <si>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</si>
  <si>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</si>
  <si>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</si>
  <si>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</si>
  <si>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</si>
  <si>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</si>
  <si>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</si>
  <si>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</si>
  <si>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</si>
  <si>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</si>
  <si>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</si>
  <si>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</si>
  <si>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</si>
  <si>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</si>
  <si>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</si>
  <si>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</si>
  <si>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</si>
  <si>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</si>
  <si>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</si>
  <si>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</si>
  <si>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</si>
  <si>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</si>
  <si>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</si>
  <si>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</si>
  <si>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</si>
  <si>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</si>
  <si>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</si>
  <si>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</si>
  <si>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</si>
  <si>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</si>
  <si>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</si>
  <si>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</si>
  <si>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</si>
  <si>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</si>
  <si>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</si>
  <si>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</si>
  <si>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</si>
  <si>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</si>
  <si>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</si>
  <si>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</si>
  <si>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</si>
  <si>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</si>
  <si>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</si>
  <si>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</si>
  <si>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</si>
  <si>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</si>
  <si>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</si>
  <si>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</si>
  <si>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</si>
  <si>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</si>
  <si>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</si>
  <si>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</si>
  <si>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</si>
  <si>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</si>
  <si>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</si>
  <si>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</si>
  <si>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</si>
  <si>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</si>
  <si>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</si>
  <si>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</si>
  <si>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</si>
  <si>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</si>
  <si>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</si>
  <si>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</si>
  <si>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</si>
  <si>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</si>
  <si>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</si>
  <si>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</si>
  <si>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</si>
  <si>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</si>
  <si>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</si>
  <si>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</si>
  <si>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</si>
  <si>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</si>
  <si>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</si>
  <si>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</si>
  <si>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</si>
  <si>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</si>
  <si>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</si>
  <si>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</si>
  <si>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</si>
  <si>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</si>
  <si>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</si>
  <si>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</si>
  <si>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</si>
  <si>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</si>
  <si>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</si>
  <si>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</si>
  <si>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</si>
  <si>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</si>
  <si>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</si>
  <si>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</si>
  <si>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</si>
  <si>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</si>
  <si>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</si>
  <si>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</si>
  <si>
    <t xml:space="preserve">TDN &lt;- proteinDigest * percentProteinTS + </t>
  </si>
  <si>
    <t xml:space="preserve">        lipidDigest * 2.25 * percentLipidTS + </t>
  </si>
  <si>
    <t xml:space="preserve">        CarboDigest * percentCarboTS</t>
  </si>
  <si>
    <t>Carbodigest</t>
  </si>
  <si>
    <t>med</t>
  </si>
  <si>
    <t xml:space="preserve">Beef Cattle Handbook, Uidaho, </t>
  </si>
  <si>
    <t>Beef mag, 2011 feed tables</t>
  </si>
  <si>
    <t>NSDU feed tables</t>
  </si>
  <si>
    <t>protein digest</t>
  </si>
  <si>
    <t>lipid digest</t>
  </si>
  <si>
    <t>carbodigest</t>
  </si>
  <si>
    <t>WREP,1980</t>
  </si>
  <si>
    <t>fd</t>
  </si>
  <si>
    <t>deWit,Lectureres handbook, bo from Labatut et al., - fudged fd to be less than 100</t>
  </si>
  <si>
    <t>fd&lt;60%</t>
  </si>
  <si>
    <t>fd&gt;95%</t>
  </si>
  <si>
    <t>food waste</t>
  </si>
  <si>
    <t>initial C</t>
  </si>
  <si>
    <t>Yoshida et al., 2017, Bruun et al., 2005</t>
  </si>
  <si>
    <t>Shrinkage factor</t>
  </si>
  <si>
    <t>kgCo2e/kg Corn</t>
  </si>
  <si>
    <t>Corn feed emission factor</t>
  </si>
  <si>
    <t>Weideman et al., 2003</t>
  </si>
  <si>
    <t>Peat substitution factor</t>
  </si>
  <si>
    <t>kg compost/kg peat</t>
  </si>
  <si>
    <t>% displaced peat</t>
  </si>
  <si>
    <t>Compost_Peat_Displacement</t>
  </si>
  <si>
    <t>Peat_substitution</t>
  </si>
  <si>
    <t>Compost Peat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</si>
</sst>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0D0B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E0F0D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8">
    <xf numFmtId="0" fontId="0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" fillId="2" borderId="0">
      <alignment horizontal="right" wrapText="1"/>
    </xf>
    <xf numFmtId="0" fontId="11" fillId="18" borderId="0">
      <alignment horizontal="right" wrapText="1"/>
    </xf>
    <xf numFmtId="0" fontId="16" fillId="19" borderId="0" applyNumberFormat="0" applyBorder="0" applyAlignment="0" applyProtection="0"/>
    <xf numFmtId="0" fontId="11" fillId="0" borderId="0">
      <alignment horizontal="left" wrapText="1"/>
    </xf>
    <xf numFmtId="0" fontId="11" fillId="0" borderId="0">
      <alignment horizontal="left" wrapText="1"/>
    </xf>
    <xf numFmtId="0" fontId="17" fillId="20" borderId="0" applyNumberFormat="0" applyBorder="0" applyAlignment="0" applyProtection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21" borderId="19" applyNumberFormat="0" applyFont="0" applyAlignment="0" applyProtection="0"/>
    <xf numFmtId="0" fontId="14" fillId="21" borderId="19" applyNumberFormat="0" applyFont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2" fillId="3" borderId="0">
      <alignment horizontal="right"/>
    </xf>
    <xf numFmtId="0" fontId="12" fillId="22" borderId="0">
      <alignment horizontal="right"/>
    </xf>
    <xf numFmtId="0" fontId="11" fillId="4" borderId="0">
      <alignment horizontal="right" wrapText="1"/>
    </xf>
    <xf numFmtId="0" fontId="11" fillId="23" borderId="0">
      <alignment horizontal="right" wrapText="1"/>
    </xf>
  </cellStyleXfs>
  <cellXfs count="360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19" fillId="0" borderId="0" xfId="0" applyFont="1"/>
    <xf numFmtId="0" fontId="0" fillId="24" borderId="0" xfId="0" applyFill="1"/>
    <xf numFmtId="0" fontId="20" fillId="0" borderId="0" xfId="0" applyFont="1" applyFill="1"/>
    <xf numFmtId="0" fontId="0" fillId="0" borderId="0" xfId="0" applyFill="1"/>
    <xf numFmtId="0" fontId="0" fillId="0" borderId="0" xfId="0" applyAlignment="1"/>
    <xf numFmtId="0" fontId="20" fillId="25" borderId="0" xfId="0" applyFont="1" applyFill="1"/>
    <xf numFmtId="164" fontId="0" fillId="26" borderId="0" xfId="0" applyNumberFormat="1" applyFill="1"/>
    <xf numFmtId="0" fontId="0" fillId="27" borderId="0" xfId="0" applyFill="1"/>
    <xf numFmtId="0" fontId="21" fillId="28" borderId="0" xfId="0" applyFont="1" applyFill="1"/>
    <xf numFmtId="0" fontId="0" fillId="28" borderId="0" xfId="0" applyFill="1"/>
    <xf numFmtId="0" fontId="19" fillId="28" borderId="0" xfId="0" applyFont="1" applyFill="1"/>
    <xf numFmtId="0" fontId="22" fillId="0" borderId="0" xfId="0" applyFont="1" applyFill="1"/>
    <xf numFmtId="0" fontId="22" fillId="0" borderId="0" xfId="0" applyFont="1"/>
    <xf numFmtId="0" fontId="23" fillId="0" borderId="0" xfId="0" applyFont="1"/>
    <xf numFmtId="0" fontId="23" fillId="26" borderId="0" xfId="0" applyFont="1" applyFill="1"/>
    <xf numFmtId="1" fontId="0" fillId="26" borderId="0" xfId="0" applyNumberFormat="1" applyFill="1"/>
    <xf numFmtId="0" fontId="23" fillId="0" borderId="0" xfId="0" applyFont="1" applyFill="1"/>
    <xf numFmtId="164" fontId="19" fillId="26" borderId="0" xfId="0" applyNumberFormat="1" applyFont="1" applyFill="1"/>
    <xf numFmtId="43" fontId="0" fillId="26" borderId="0" xfId="0" applyNumberFormat="1" applyFill="1"/>
    <xf numFmtId="0" fontId="0" fillId="0" borderId="0" xfId="0" applyBorder="1" applyAlignment="1">
      <alignment wrapText="1"/>
    </xf>
    <xf numFmtId="0" fontId="18" fillId="0" borderId="0" xfId="24"/>
    <xf numFmtId="0" fontId="20" fillId="24" borderId="0" xfId="0" applyFont="1" applyFill="1"/>
    <xf numFmtId="168" fontId="0" fillId="29" borderId="0" xfId="0" applyNumberFormat="1" applyFill="1"/>
    <xf numFmtId="0" fontId="14" fillId="0" borderId="0" xfId="27"/>
    <xf numFmtId="0" fontId="24" fillId="0" borderId="0" xfId="27" applyFont="1"/>
    <xf numFmtId="43" fontId="14" fillId="0" borderId="0" xfId="27" applyNumberFormat="1"/>
    <xf numFmtId="4" fontId="14" fillId="0" borderId="0" xfId="27" applyNumberFormat="1"/>
    <xf numFmtId="2" fontId="14" fillId="0" borderId="0" xfId="27" applyNumberFormat="1"/>
    <xf numFmtId="16" fontId="14" fillId="0" borderId="0" xfId="27" applyNumberFormat="1"/>
    <xf numFmtId="0" fontId="14" fillId="0" borderId="0" xfId="27" applyAlignment="1">
      <alignment wrapText="1"/>
    </xf>
    <xf numFmtId="0" fontId="14" fillId="28" borderId="0" xfId="27" applyFill="1"/>
    <xf numFmtId="0" fontId="14" fillId="0" borderId="0" xfId="27" applyFont="1"/>
    <xf numFmtId="0" fontId="14" fillId="24" borderId="0" xfId="27" applyFill="1"/>
    <xf numFmtId="0" fontId="14" fillId="30" borderId="0" xfId="27" applyFill="1"/>
    <xf numFmtId="169" fontId="14" fillId="31" borderId="0" xfId="27" applyNumberFormat="1" applyFill="1"/>
    <xf numFmtId="0" fontId="25" fillId="0" borderId="0" xfId="27" applyFont="1" applyAlignment="1"/>
    <xf numFmtId="43" fontId="19" fillId="28" borderId="0" xfId="0" applyNumberFormat="1" applyFont="1" applyFill="1"/>
    <xf numFmtId="0" fontId="19" fillId="30" borderId="0" xfId="0" applyFont="1" applyFill="1" applyAlignment="1">
      <alignment wrapText="1"/>
    </xf>
    <xf numFmtId="0" fontId="25" fillId="30" borderId="0" xfId="27" applyFont="1" applyFill="1"/>
    <xf numFmtId="0" fontId="19" fillId="0" borderId="0" xfId="0" applyFont="1" applyAlignment="1">
      <alignment wrapText="1"/>
    </xf>
    <xf numFmtId="0" fontId="0" fillId="30" borderId="0" xfId="0" applyFill="1"/>
    <xf numFmtId="0" fontId="19" fillId="30" borderId="0" xfId="0" applyFont="1" applyFill="1"/>
    <xf numFmtId="0" fontId="0" fillId="0" borderId="0" xfId="0" applyFont="1" applyFill="1"/>
    <xf numFmtId="0" fontId="14" fillId="0" borderId="0" xfId="27" applyFill="1"/>
    <xf numFmtId="0" fontId="26" fillId="30" borderId="0" xfId="27" applyFont="1" applyFill="1"/>
    <xf numFmtId="0" fontId="27" fillId="30" borderId="0" xfId="27" applyFont="1" applyFill="1"/>
    <xf numFmtId="0" fontId="0" fillId="0" borderId="0" xfId="0" applyBorder="1"/>
    <xf numFmtId="0" fontId="0" fillId="0" borderId="0" xfId="0" applyFill="1" applyBorder="1"/>
    <xf numFmtId="0" fontId="20" fillId="0" borderId="0" xfId="0" applyFont="1" applyBorder="1"/>
    <xf numFmtId="166" fontId="13" fillId="0" borderId="0" xfId="30" applyNumberFormat="1" applyFont="1"/>
    <xf numFmtId="0" fontId="28" fillId="0" borderId="0" xfId="0" applyFont="1" applyAlignment="1">
      <alignment horizontal="left" vertical="center" wrapText="1"/>
    </xf>
    <xf numFmtId="0" fontId="0" fillId="0" borderId="1" xfId="0" applyBorder="1"/>
    <xf numFmtId="0" fontId="0" fillId="30" borderId="1" xfId="0" applyFill="1" applyBorder="1"/>
    <xf numFmtId="1" fontId="0" fillId="0" borderId="1" xfId="0" applyNumberFormat="1" applyBorder="1"/>
    <xf numFmtId="0" fontId="0" fillId="31" borderId="0" xfId="0" applyFill="1"/>
    <xf numFmtId="0" fontId="29" fillId="0" borderId="0" xfId="0" applyFont="1"/>
    <xf numFmtId="169" fontId="0" fillId="0" borderId="0" xfId="0" applyNumberForma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27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19" fillId="30" borderId="0" xfId="0" applyNumberFormat="1" applyFont="1" applyFill="1"/>
    <xf numFmtId="1" fontId="0" fillId="30" borderId="0" xfId="0" applyNumberFormat="1" applyFill="1"/>
    <xf numFmtId="43" fontId="0" fillId="0" borderId="0" xfId="0" applyNumberFormat="1"/>
    <xf numFmtId="164" fontId="23" fillId="26" borderId="0" xfId="0" applyNumberFormat="1" applyFont="1" applyFill="1"/>
    <xf numFmtId="0" fontId="19" fillId="0" borderId="0" xfId="0" applyFont="1" applyFill="1"/>
    <xf numFmtId="164" fontId="0" fillId="0" borderId="0" xfId="0" applyNumberFormat="1" applyFill="1"/>
    <xf numFmtId="2" fontId="0" fillId="29" borderId="0" xfId="0" applyNumberFormat="1" applyFill="1"/>
    <xf numFmtId="164" fontId="0" fillId="0" borderId="0" xfId="0" applyNumberFormat="1"/>
    <xf numFmtId="1" fontId="20" fillId="26" borderId="0" xfId="0" applyNumberFormat="1" applyFont="1" applyFill="1"/>
    <xf numFmtId="1" fontId="38" fillId="29" borderId="0" xfId="0" applyNumberFormat="1" applyFont="1" applyFill="1"/>
    <xf numFmtId="170" fontId="0" fillId="0" borderId="0" xfId="0" applyNumberFormat="1" applyFill="1"/>
    <xf numFmtId="43" fontId="0" fillId="30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30" borderId="2" xfId="0" applyFill="1" applyBorder="1"/>
    <xf numFmtId="167" fontId="39" fillId="25" borderId="0" xfId="24" applyNumberFormat="1" applyFont="1" applyFill="1"/>
    <xf numFmtId="0" fontId="18" fillId="0" borderId="2" xfId="24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3" fillId="0" borderId="0" xfId="14" applyFont="1"/>
    <xf numFmtId="0" fontId="14" fillId="0" borderId="0" xfId="27" applyFont="1" applyFill="1"/>
    <xf numFmtId="2" fontId="0" fillId="32" borderId="0" xfId="0" applyNumberFormat="1" applyFill="1"/>
    <xf numFmtId="164" fontId="19" fillId="28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27" applyFont="1"/>
    <xf numFmtId="169" fontId="14" fillId="0" borderId="0" xfId="27" applyNumberFormat="1"/>
    <xf numFmtId="9" fontId="14" fillId="0" borderId="0" xfId="30" applyFont="1"/>
    <xf numFmtId="0" fontId="14" fillId="0" borderId="0" xfId="27" applyFont="1" applyAlignment="1"/>
    <xf numFmtId="0" fontId="14" fillId="31" borderId="0" xfId="27" applyFill="1"/>
    <xf numFmtId="0" fontId="25" fillId="0" borderId="0" xfId="27" applyFont="1" applyFill="1"/>
    <xf numFmtId="0" fontId="28" fillId="0" borderId="0" xfId="0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43" fontId="14" fillId="0" borderId="0" xfId="14" applyFont="1"/>
    <xf numFmtId="0" fontId="41" fillId="0" borderId="0" xfId="0" applyFont="1"/>
    <xf numFmtId="0" fontId="14" fillId="26" borderId="0" xfId="27" applyFont="1" applyFill="1"/>
    <xf numFmtId="0" fontId="14" fillId="26" borderId="0" xfId="27" applyFill="1"/>
    <xf numFmtId="0" fontId="14" fillId="30" borderId="0" xfId="27" applyFont="1" applyFill="1"/>
    <xf numFmtId="4" fontId="14" fillId="30" borderId="0" xfId="27" applyNumberFormat="1" applyFill="1"/>
    <xf numFmtId="0" fontId="14" fillId="30" borderId="0" xfId="27" applyFill="1" applyAlignment="1">
      <alignment horizontal="center"/>
    </xf>
    <xf numFmtId="0" fontId="25" fillId="28" borderId="0" xfId="27" applyFont="1" applyFill="1"/>
    <xf numFmtId="0" fontId="4" fillId="0" borderId="0" xfId="0" applyFont="1"/>
    <xf numFmtId="0" fontId="6" fillId="0" borderId="0" xfId="0" applyFont="1"/>
    <xf numFmtId="164" fontId="0" fillId="0" borderId="0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5" xfId="0" applyFont="1" applyBorder="1" applyAlignment="1">
      <alignment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10" fontId="42" fillId="0" borderId="9" xfId="0" applyNumberFormat="1" applyFont="1" applyBorder="1" applyAlignment="1">
      <alignment horizontal="center" vertical="center"/>
    </xf>
    <xf numFmtId="10" fontId="42" fillId="0" borderId="10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10" fontId="42" fillId="0" borderId="10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horizontal="left" vertical="center" wrapText="1"/>
    </xf>
    <xf numFmtId="10" fontId="44" fillId="0" borderId="9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vertical="center" wrapText="1"/>
    </xf>
    <xf numFmtId="9" fontId="42" fillId="0" borderId="9" xfId="0" applyNumberFormat="1" applyFont="1" applyBorder="1" applyAlignment="1">
      <alignment horizontal="center" vertical="center"/>
    </xf>
    <xf numFmtId="9" fontId="42" fillId="0" borderId="10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vertical="center" wrapText="1"/>
    </xf>
    <xf numFmtId="9" fontId="42" fillId="0" borderId="12" xfId="0" applyNumberFormat="1" applyFont="1" applyBorder="1" applyAlignment="1">
      <alignment horizontal="center" vertical="center"/>
    </xf>
    <xf numFmtId="9" fontId="42" fillId="0" borderId="11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2" fillId="0" borderId="13" xfId="30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3" fillId="0" borderId="0" xfId="30" applyFont="1"/>
    <xf numFmtId="9" fontId="14" fillId="0" borderId="0" xfId="27" applyNumberFormat="1" applyFill="1"/>
    <xf numFmtId="167" fontId="39" fillId="30" borderId="0" xfId="24" applyNumberFormat="1" applyFont="1" applyFill="1"/>
    <xf numFmtId="0" fontId="23" fillId="30" borderId="0" xfId="0" applyFont="1" applyFill="1"/>
    <xf numFmtId="0" fontId="45" fillId="30" borderId="0" xfId="0" applyFont="1" applyFill="1"/>
    <xf numFmtId="2" fontId="0" fillId="0" borderId="0" xfId="0" applyNumberFormat="1" applyFont="1" applyFill="1"/>
    <xf numFmtId="43" fontId="20" fillId="0" borderId="0" xfId="0" applyNumberFormat="1" applyFont="1" applyFill="1"/>
    <xf numFmtId="167" fontId="0" fillId="0" borderId="0" xfId="0" applyNumberFormat="1"/>
    <xf numFmtId="43" fontId="20" fillId="0" borderId="0" xfId="0" applyNumberFormat="1" applyFont="1"/>
    <xf numFmtId="0" fontId="45" fillId="0" borderId="0" xfId="0" applyFont="1" applyFill="1"/>
    <xf numFmtId="167" fontId="39" fillId="0" borderId="0" xfId="24" applyNumberFormat="1" applyFont="1" applyFill="1"/>
    <xf numFmtId="167" fontId="46" fillId="0" borderId="0" xfId="24" applyNumberFormat="1" applyFont="1" applyFill="1"/>
    <xf numFmtId="0" fontId="22" fillId="0" borderId="0" xfId="0" applyFont="1" applyFill="1" applyAlignment="1"/>
    <xf numFmtId="43" fontId="45" fillId="0" borderId="0" xfId="0" applyNumberFormat="1" applyFont="1" applyFill="1"/>
    <xf numFmtId="43" fontId="19" fillId="30" borderId="0" xfId="0" applyNumberFormat="1" applyFont="1" applyFill="1"/>
    <xf numFmtId="43" fontId="23" fillId="30" borderId="0" xfId="0" applyNumberFormat="1" applyFont="1" applyFill="1"/>
    <xf numFmtId="43" fontId="19" fillId="0" borderId="0" xfId="0" applyNumberFormat="1" applyFont="1"/>
    <xf numFmtId="10" fontId="13" fillId="0" borderId="0" xfId="30" applyNumberFormat="1" applyFont="1"/>
    <xf numFmtId="166" fontId="42" fillId="0" borderId="9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0" fontId="47" fillId="0" borderId="0" xfId="27" applyFont="1" applyFill="1"/>
    <xf numFmtId="0" fontId="0" fillId="0" borderId="0" xfId="0" applyFont="1" applyFill="1" applyAlignment="1"/>
    <xf numFmtId="0" fontId="48" fillId="0" borderId="0" xfId="0" applyFont="1"/>
    <xf numFmtId="2" fontId="14" fillId="27" borderId="0" xfId="27" applyNumberFormat="1" applyFill="1"/>
    <xf numFmtId="0" fontId="14" fillId="27" borderId="0" xfId="27" applyFill="1"/>
    <xf numFmtId="169" fontId="0" fillId="27" borderId="0" xfId="0" applyNumberFormat="1" applyFill="1"/>
    <xf numFmtId="0" fontId="0" fillId="27" borderId="0" xfId="0" applyFill="1" applyAlignment="1">
      <alignment wrapText="1"/>
    </xf>
    <xf numFmtId="0" fontId="14" fillId="27" borderId="0" xfId="27" applyFont="1" applyFill="1"/>
    <xf numFmtId="0" fontId="19" fillId="30" borderId="0" xfId="0" applyFont="1" applyFill="1"/>
    <xf numFmtId="0" fontId="14" fillId="25" borderId="0" xfId="27" applyFill="1"/>
    <xf numFmtId="1" fontId="14" fillId="25" borderId="0" xfId="27" applyNumberFormat="1" applyFill="1"/>
    <xf numFmtId="164" fontId="14" fillId="25" borderId="0" xfId="27" applyNumberFormat="1" applyFill="1"/>
    <xf numFmtId="0" fontId="14" fillId="0" borderId="0" xfId="27" applyFont="1" applyFill="1"/>
    <xf numFmtId="9" fontId="14" fillId="25" borderId="0" xfId="27" applyNumberFormat="1" applyFill="1"/>
    <xf numFmtId="0" fontId="14" fillId="0" borderId="0" xfId="27" applyFont="1"/>
    <xf numFmtId="43" fontId="19" fillId="0" borderId="0" xfId="14" applyFont="1" applyAlignment="1">
      <alignment wrapText="1"/>
    </xf>
    <xf numFmtId="43" fontId="21" fillId="28" borderId="0" xfId="14" applyFont="1" applyFill="1"/>
    <xf numFmtId="43" fontId="25" fillId="30" borderId="0" xfId="14" applyFont="1" applyFill="1"/>
    <xf numFmtId="43" fontId="14" fillId="30" borderId="0" xfId="14" applyFont="1" applyFill="1"/>
    <xf numFmtId="43" fontId="25" fillId="0" borderId="0" xfId="14" applyFont="1" applyFill="1"/>
    <xf numFmtId="43" fontId="14" fillId="0" borderId="0" xfId="14" applyFont="1" applyFill="1"/>
    <xf numFmtId="43" fontId="14" fillId="26" borderId="0" xfId="14" applyFont="1" applyFill="1"/>
    <xf numFmtId="43" fontId="26" fillId="30" borderId="0" xfId="14" applyFont="1" applyFill="1"/>
    <xf numFmtId="43" fontId="27" fillId="30" borderId="0" xfId="14" applyFont="1" applyFill="1"/>
    <xf numFmtId="43" fontId="14" fillId="29" borderId="0" xfId="14" applyFont="1" applyFill="1"/>
    <xf numFmtId="43" fontId="25" fillId="28" borderId="0" xfId="14" applyFont="1" applyFill="1"/>
    <xf numFmtId="43" fontId="14" fillId="0" borderId="0" xfId="14" applyFont="1"/>
    <xf numFmtId="43" fontId="25" fillId="25" borderId="0" xfId="14" applyFont="1" applyFill="1"/>
    <xf numFmtId="1" fontId="20" fillId="0" borderId="0" xfId="0" applyNumberFormat="1" applyFont="1" applyFill="1"/>
    <xf numFmtId="2" fontId="20" fillId="25" borderId="0" xfId="0" applyNumberFormat="1" applyFont="1" applyFill="1"/>
    <xf numFmtId="164" fontId="0" fillId="29" borderId="0" xfId="0" applyNumberFormat="1" applyFill="1"/>
    <xf numFmtId="2" fontId="14" fillId="0" borderId="0" xfId="27" applyNumberFormat="1" applyFill="1"/>
    <xf numFmtId="169" fontId="28" fillId="27" borderId="0" xfId="0" applyNumberFormat="1" applyFont="1" applyFill="1" applyAlignment="1">
      <alignment horizontal="left" vertical="center" wrapText="1"/>
    </xf>
    <xf numFmtId="43" fontId="14" fillId="31" borderId="0" xfId="27" applyNumberFormat="1" applyFill="1"/>
    <xf numFmtId="0" fontId="0" fillId="0" borderId="0" xfId="0" applyFont="1"/>
    <xf numFmtId="0" fontId="14" fillId="0" borderId="0" xfId="27" applyFont="1" applyFill="1"/>
    <xf numFmtId="1" fontId="0" fillId="0" borderId="0" xfId="0" applyNumberFormat="1" applyFill="1"/>
    <xf numFmtId="0" fontId="20" fillId="27" borderId="0" xfId="0" applyFont="1" applyFill="1"/>
    <xf numFmtId="43" fontId="19" fillId="26" borderId="0" xfId="0" applyNumberFormat="1" applyFont="1" applyFill="1"/>
    <xf numFmtId="2" fontId="0" fillId="0" borderId="0" xfId="0" applyNumberFormat="1" applyFill="1"/>
    <xf numFmtId="43" fontId="13" fillId="0" borderId="0" xfId="14" applyFont="1" applyFill="1"/>
    <xf numFmtId="164" fontId="0" fillId="26" borderId="0" xfId="0" applyNumberFormat="1" applyFont="1" applyFill="1"/>
    <xf numFmtId="1" fontId="19" fillId="26" borderId="0" xfId="0" applyNumberFormat="1" applyFont="1" applyFill="1"/>
    <xf numFmtId="43" fontId="19" fillId="0" borderId="0" xfId="0" applyNumberFormat="1" applyFont="1" applyAlignment="1"/>
    <xf numFmtId="16" fontId="0" fillId="0" borderId="0" xfId="0" applyNumberFormat="1"/>
    <xf numFmtId="1" fontId="19" fillId="0" borderId="0" xfId="0" applyNumberFormat="1" applyFont="1" applyFill="1"/>
    <xf numFmtId="43" fontId="19" fillId="30" borderId="0" xfId="14" applyFont="1" applyFill="1"/>
    <xf numFmtId="43" fontId="22" fillId="26" borderId="0" xfId="0" applyNumberFormat="1" applyFont="1" applyFill="1"/>
    <xf numFmtId="43" fontId="46" fillId="0" borderId="0" xfId="24" applyNumberFormat="1" applyFont="1" applyFill="1"/>
    <xf numFmtId="43" fontId="42" fillId="0" borderId="9" xfId="14" applyFont="1" applyBorder="1" applyAlignment="1">
      <alignment horizontal="center" vertical="center" wrapText="1"/>
    </xf>
    <xf numFmtId="1" fontId="44" fillId="0" borderId="9" xfId="14" applyNumberFormat="1" applyFont="1" applyBorder="1" applyAlignment="1">
      <alignment horizontal="center" vertical="center" wrapText="1"/>
    </xf>
    <xf numFmtId="1" fontId="42" fillId="0" borderId="9" xfId="14" applyNumberFormat="1" applyFont="1" applyBorder="1" applyAlignment="1">
      <alignment horizontal="center" vertical="center" wrapText="1"/>
    </xf>
    <xf numFmtId="1" fontId="42" fillId="0" borderId="10" xfId="14" applyNumberFormat="1" applyFont="1" applyBorder="1" applyAlignment="1">
      <alignment horizontal="center" vertical="center" wrapText="1"/>
    </xf>
    <xf numFmtId="0" fontId="49" fillId="0" borderId="0" xfId="0" applyFont="1"/>
    <xf numFmtId="0" fontId="50" fillId="0" borderId="0" xfId="0" applyFont="1"/>
    <xf numFmtId="166" fontId="42" fillId="0" borderId="14" xfId="0" applyNumberFormat="1" applyFont="1" applyBorder="1" applyAlignment="1">
      <alignment horizontal="center" vertical="center"/>
    </xf>
    <xf numFmtId="0" fontId="14" fillId="0" borderId="0" xfId="27" applyFont="1" applyFill="1"/>
    <xf numFmtId="0" fontId="14" fillId="30" borderId="0" xfId="27" applyFont="1" applyFill="1"/>
    <xf numFmtId="0" fontId="14" fillId="0" borderId="0" xfId="27" applyFont="1"/>
    <xf numFmtId="0" fontId="47" fillId="0" borderId="0" xfId="27" applyFont="1"/>
    <xf numFmtId="2" fontId="0" fillId="27" borderId="0" xfId="0" applyNumberFormat="1" applyFill="1"/>
    <xf numFmtId="0" fontId="0" fillId="24" borderId="0" xfId="0" applyFont="1" applyFill="1"/>
    <xf numFmtId="0" fontId="0" fillId="32" borderId="0" xfId="0" applyFill="1"/>
    <xf numFmtId="1" fontId="42" fillId="0" borderId="6" xfId="0" applyNumberFormat="1" applyFont="1" applyBorder="1" applyAlignment="1">
      <alignment horizontal="center" vertical="center"/>
    </xf>
    <xf numFmtId="43" fontId="14" fillId="0" borderId="0" xfId="27" applyNumberFormat="1" applyFill="1"/>
    <xf numFmtId="164" fontId="14" fillId="0" borderId="0" xfId="27" applyNumberFormat="1" applyFill="1"/>
    <xf numFmtId="10" fontId="25" fillId="30" borderId="0" xfId="30" applyNumberFormat="1" applyFont="1" applyFill="1"/>
    <xf numFmtId="9" fontId="14" fillId="30" borderId="0" xfId="27" applyNumberFormat="1" applyFill="1"/>
    <xf numFmtId="43" fontId="0" fillId="29" borderId="0" xfId="0" applyNumberFormat="1" applyFill="1"/>
    <xf numFmtId="10" fontId="25" fillId="0" borderId="0" xfId="30" applyNumberFormat="1" applyFont="1" applyFill="1"/>
    <xf numFmtId="43" fontId="25" fillId="26" borderId="0" xfId="14" applyFont="1" applyFill="1"/>
    <xf numFmtId="164" fontId="0" fillId="28" borderId="0" xfId="0" applyNumberFormat="1" applyFill="1"/>
    <xf numFmtId="164" fontId="19" fillId="30" borderId="0" xfId="0" applyNumberFormat="1" applyFont="1" applyFill="1"/>
    <xf numFmtId="9" fontId="19" fillId="0" borderId="0" xfId="30" applyFont="1" applyFill="1"/>
    <xf numFmtId="2" fontId="20" fillId="24" borderId="0" xfId="0" applyNumberFormat="1" applyFont="1" applyFill="1"/>
    <xf numFmtId="0" fontId="0" fillId="33" borderId="0" xfId="0" applyFill="1"/>
    <xf numFmtId="164" fontId="0" fillId="33" borderId="0" xfId="0" applyNumberFormat="1" applyFill="1"/>
    <xf numFmtId="0" fontId="0" fillId="33" borderId="0" xfId="0" applyFont="1" applyFill="1"/>
    <xf numFmtId="169" fontId="0" fillId="33" borderId="0" xfId="0" applyNumberFormat="1" applyFill="1"/>
    <xf numFmtId="0" fontId="22" fillId="33" borderId="0" xfId="0" applyFont="1" applyFill="1"/>
    <xf numFmtId="0" fontId="20" fillId="33" borderId="0" xfId="0" applyFont="1" applyFill="1"/>
    <xf numFmtId="1" fontId="0" fillId="33" borderId="0" xfId="0" applyNumberFormat="1" applyFill="1"/>
    <xf numFmtId="43" fontId="0" fillId="33" borderId="0" xfId="0" applyNumberFormat="1" applyFill="1"/>
    <xf numFmtId="170" fontId="9" fillId="25" borderId="0" xfId="24" applyNumberFormat="1" applyFont="1" applyFill="1"/>
    <xf numFmtId="2" fontId="22" fillId="0" borderId="0" xfId="0" applyNumberFormat="1" applyFont="1" applyFill="1"/>
    <xf numFmtId="43" fontId="19" fillId="0" borderId="0" xfId="0" applyNumberFormat="1" applyFont="1" applyFill="1"/>
    <xf numFmtId="43" fontId="14" fillId="0" borderId="0" xfId="27" applyNumberFormat="1" applyFont="1"/>
    <xf numFmtId="43" fontId="14" fillId="0" borderId="0" xfId="14" applyFont="1"/>
    <xf numFmtId="0" fontId="14" fillId="0" borderId="0" xfId="27" applyFont="1" applyAlignment="1"/>
    <xf numFmtId="166" fontId="13" fillId="30" borderId="0" xfId="30" applyNumberFormat="1" applyFont="1" applyFill="1"/>
    <xf numFmtId="9" fontId="9" fillId="25" borderId="0" xfId="30" applyFont="1" applyFill="1"/>
    <xf numFmtId="43" fontId="22" fillId="0" borderId="0" xfId="0" applyNumberFormat="1" applyFont="1"/>
    <xf numFmtId="43" fontId="22" fillId="0" borderId="0" xfId="0" applyNumberFormat="1" applyFont="1" applyFill="1"/>
    <xf numFmtId="0" fontId="26" fillId="0" borderId="0" xfId="27" applyFont="1" applyFill="1"/>
    <xf numFmtId="0" fontId="27" fillId="0" borderId="0" xfId="27" applyFont="1" applyFill="1"/>
    <xf numFmtId="43" fontId="23" fillId="26" borderId="0" xfId="0" applyNumberFormat="1" applyFont="1" applyFill="1"/>
    <xf numFmtId="166" fontId="22" fillId="0" borderId="0" xfId="30" applyNumberFormat="1" applyFont="1"/>
    <xf numFmtId="170" fontId="9" fillId="26" borderId="0" xfId="24" applyNumberFormat="1" applyFont="1" applyFill="1"/>
    <xf numFmtId="43" fontId="9" fillId="26" borderId="0" xfId="24" applyNumberFormat="1" applyFont="1" applyFill="1"/>
    <xf numFmtId="166" fontId="42" fillId="0" borderId="9" xfId="0" applyNumberFormat="1" applyFont="1" applyBorder="1" applyAlignment="1">
      <alignment horizontal="center" vertical="center" wrapText="1"/>
    </xf>
    <xf numFmtId="166" fontId="42" fillId="0" borderId="6" xfId="30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 wrapText="1"/>
    </xf>
    <xf numFmtId="2" fontId="0" fillId="27" borderId="0" xfId="0" applyNumberFormat="1" applyFill="1" applyAlignment="1">
      <alignment wrapText="1"/>
    </xf>
    <xf numFmtId="16" fontId="14" fillId="0" borderId="0" xfId="27" applyNumberFormat="1" applyFont="1" applyFill="1"/>
    <xf numFmtId="171" fontId="14" fillId="0" borderId="0" xfId="14" applyNumberFormat="1" applyFont="1"/>
    <xf numFmtId="0" fontId="51" fillId="0" borderId="0" xfId="0" applyFont="1" applyFill="1"/>
    <xf numFmtId="0" fontId="28" fillId="0" borderId="0" xfId="0" applyFont="1"/>
    <xf numFmtId="166" fontId="9" fillId="25" borderId="0" xfId="30" applyNumberFormat="1" applyFont="1" applyFill="1"/>
    <xf numFmtId="1" fontId="20" fillId="25" borderId="0" xfId="0" applyNumberFormat="1" applyFont="1" applyFill="1"/>
    <xf numFmtId="2" fontId="0" fillId="26" borderId="0" xfId="0" applyNumberFormat="1" applyFill="1"/>
    <xf numFmtId="43" fontId="13" fillId="0" borderId="0" xfId="14" applyFont="1"/>
    <xf numFmtId="43" fontId="13" fillId="0" borderId="0" xfId="14" applyFont="1" applyFill="1"/>
    <xf numFmtId="2" fontId="20" fillId="0" borderId="0" xfId="0" applyNumberFormat="1" applyFont="1"/>
    <xf numFmtId="0" fontId="22" fillId="24" borderId="0" xfId="0" applyFont="1" applyFill="1"/>
    <xf numFmtId="167" fontId="22" fillId="0" borderId="0" xfId="0" applyNumberFormat="1" applyFont="1"/>
    <xf numFmtId="2" fontId="22" fillId="0" borderId="0" xfId="0" applyNumberFormat="1" applyFont="1"/>
    <xf numFmtId="169" fontId="22" fillId="0" borderId="0" xfId="0" applyNumberFormat="1" applyFont="1"/>
    <xf numFmtId="2" fontId="20" fillId="27" borderId="0" xfId="0" applyNumberFormat="1" applyFont="1" applyFill="1"/>
    <xf numFmtId="170" fontId="0" fillId="0" borderId="0" xfId="0" applyNumberFormat="1"/>
    <xf numFmtId="170" fontId="13" fillId="0" borderId="0" xfId="14" applyNumberFormat="1" applyFont="1" applyFill="1"/>
    <xf numFmtId="170" fontId="19" fillId="28" borderId="0" xfId="14" applyNumberFormat="1" applyFont="1" applyFill="1"/>
    <xf numFmtId="170" fontId="9" fillId="25" borderId="0" xfId="14" applyNumberFormat="1" applyFont="1" applyFill="1"/>
    <xf numFmtId="170" fontId="13" fillId="0" borderId="0" xfId="14" applyNumberFormat="1" applyFont="1"/>
    <xf numFmtId="170" fontId="22" fillId="0" borderId="0" xfId="14" applyNumberFormat="1" applyFont="1"/>
    <xf numFmtId="170" fontId="19" fillId="30" borderId="0" xfId="14" applyNumberFormat="1" applyFont="1" applyFill="1"/>
    <xf numFmtId="170" fontId="20" fillId="0" borderId="0" xfId="14" applyNumberFormat="1" applyFont="1" applyFill="1"/>
    <xf numFmtId="170" fontId="19" fillId="0" borderId="0" xfId="14" applyNumberFormat="1" applyFont="1" applyFill="1"/>
    <xf numFmtId="167" fontId="13" fillId="0" borderId="0" xfId="14" applyNumberFormat="1" applyFont="1"/>
    <xf numFmtId="0" fontId="23" fillId="31" borderId="0" xfId="0" applyFont="1" applyFill="1"/>
    <xf numFmtId="0" fontId="19" fillId="31" borderId="0" xfId="0" applyFont="1" applyFill="1"/>
    <xf numFmtId="167" fontId="19" fillId="31" borderId="0" xfId="0" applyNumberFormat="1" applyFont="1" applyFill="1"/>
    <xf numFmtId="167" fontId="19" fillId="31" borderId="0" xfId="14" applyNumberFormat="1" applyFont="1" applyFill="1"/>
    <xf numFmtId="43" fontId="19" fillId="31" borderId="0" xfId="0" applyNumberFormat="1" applyFont="1" applyFill="1"/>
    <xf numFmtId="0" fontId="22" fillId="31" borderId="0" xfId="0" applyFont="1" applyFill="1"/>
    <xf numFmtId="2" fontId="22" fillId="31" borderId="0" xfId="0" applyNumberFormat="1" applyFont="1" applyFill="1"/>
    <xf numFmtId="170" fontId="9" fillId="31" borderId="0" xfId="14" applyNumberFormat="1" applyFont="1" applyFill="1"/>
    <xf numFmtId="43" fontId="0" fillId="31" borderId="0" xfId="0" applyNumberFormat="1" applyFill="1"/>
    <xf numFmtId="0" fontId="0" fillId="34" borderId="0" xfId="0" applyFill="1"/>
    <xf numFmtId="10" fontId="42" fillId="0" borderId="7" xfId="30" applyNumberFormat="1" applyFont="1" applyBorder="1" applyAlignment="1">
      <alignment horizontal="center" vertical="center"/>
    </xf>
    <xf numFmtId="2" fontId="20" fillId="26" borderId="0" xfId="0" applyNumberFormat="1" applyFont="1" applyFill="1"/>
    <xf numFmtId="43" fontId="10" fillId="0" borderId="0" xfId="24" applyNumberFormat="1" applyFont="1" applyFill="1"/>
    <xf numFmtId="167" fontId="10" fillId="0" borderId="0" xfId="24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2" fillId="0" borderId="9" xfId="14" applyNumberFormat="1" applyFont="1" applyBorder="1" applyAlignment="1">
      <alignment vertical="center" wrapText="1"/>
    </xf>
    <xf numFmtId="167" fontId="42" fillId="0" borderId="10" xfId="14" applyNumberFormat="1" applyFont="1" applyBorder="1" applyAlignment="1">
      <alignment vertical="center" wrapText="1"/>
    </xf>
    <xf numFmtId="167" fontId="44" fillId="0" borderId="9" xfId="14" applyNumberFormat="1" applyFont="1" applyBorder="1" applyAlignment="1">
      <alignment vertical="center" wrapText="1"/>
    </xf>
    <xf numFmtId="166" fontId="42" fillId="0" borderId="15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vertical="center" wrapText="1"/>
    </xf>
    <xf numFmtId="166" fontId="42" fillId="0" borderId="14" xfId="0" applyNumberFormat="1" applyFont="1" applyBorder="1" applyAlignment="1">
      <alignment horizontal="center" vertical="center" wrapText="1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42" fillId="0" borderId="1" xfId="14" applyNumberFormat="1" applyFont="1" applyBorder="1" applyAlignment="1">
      <alignment horizontal="center" vertical="center"/>
    </xf>
    <xf numFmtId="0" fontId="42" fillId="0" borderId="1" xfId="14" applyNumberFormat="1" applyFont="1" applyFill="1" applyBorder="1" applyAlignment="1">
      <alignment horizontal="center" vertical="center"/>
    </xf>
    <xf numFmtId="10" fontId="42" fillId="0" borderId="6" xfId="30" applyNumberFormat="1" applyFont="1" applyBorder="1" applyAlignment="1">
      <alignment horizontal="center" vertical="center"/>
    </xf>
    <xf numFmtId="0" fontId="18" fillId="0" borderId="0" xfId="24" applyFill="1" applyBorder="1"/>
    <xf numFmtId="0" fontId="32" fillId="0" borderId="0" xfId="0" applyFont="1"/>
    <xf numFmtId="0" fontId="0" fillId="0" borderId="1" xfId="0" applyBorder="1" applyAlignment="1">
      <alignment wrapText="1"/>
    </xf>
    <xf numFmtId="0" fontId="4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9" fontId="13" fillId="0" borderId="1" xfId="30" applyFont="1" applyBorder="1" applyAlignment="1">
      <alignment wrapText="1"/>
    </xf>
    <xf numFmtId="9" fontId="29" fillId="0" borderId="1" xfId="30" applyFont="1" applyBorder="1" applyAlignment="1">
      <alignment wrapText="1"/>
    </xf>
    <xf numFmtId="9" fontId="30" fillId="0" borderId="1" xfId="30" applyFont="1" applyBorder="1" applyAlignment="1">
      <alignment wrapText="1"/>
    </xf>
    <xf numFmtId="10" fontId="42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10" fontId="42" fillId="0" borderId="0" xfId="0" applyNumberFormat="1" applyFont="1" applyBorder="1" applyAlignment="1">
      <alignment horizontal="center" vertical="center" wrapText="1"/>
    </xf>
    <xf numFmtId="0" fontId="32" fillId="0" borderId="0" xfId="0" applyFont="1"/>
    <xf numFmtId="0" fontId="0" fillId="0" borderId="0" xfId="0" applyAlignment="1">
      <alignment horizontal="center"/>
    </xf>
  </cellXfs>
  <cellStyles count="38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Bad 2" xfId="13"/>
    <cellStyle name="Comma" xfId="14" builtinId="3"/>
    <cellStyle name="Comma 2" xfId="15"/>
    <cellStyle name="Comma 3" xfId="16"/>
    <cellStyle name="FlowLabel" xfId="17"/>
    <cellStyle name="FlowLabel 2" xfId="18"/>
    <cellStyle name="Good 2" xfId="19"/>
    <cellStyle name="Label" xfId="20"/>
    <cellStyle name="Label 2" xfId="21"/>
    <cellStyle name="Neutral 2" xfId="22"/>
    <cellStyle name="Normal" xfId="0" builtinId="0"/>
    <cellStyle name="Normal 2" xfId="23"/>
    <cellStyle name="Normal 2 2" xfId="24"/>
    <cellStyle name="Normal 3" xfId="25"/>
    <cellStyle name="Normal 4" xfId="26"/>
    <cellStyle name="Normal 5" xfId="27"/>
    <cellStyle name="Note 2" xfId="28"/>
    <cellStyle name="Note 3" xfId="29"/>
    <cellStyle name="Percent" xfId="30" builtinId="5"/>
    <cellStyle name="Percent 2" xfId="31"/>
    <cellStyle name="Percent 3" xfId="32"/>
    <cellStyle name="Percent 4" xfId="33"/>
    <cellStyle name="TimeLabel" xfId="34"/>
    <cellStyle name="TimeLabel 2" xfId="35"/>
    <cellStyle name="VolLabel" xfId="36"/>
    <cellStyle name="VolLabel 2" xfId="3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712136"/>
        <c:axId val="-2078708904"/>
      </c:barChart>
      <c:catAx>
        <c:axId val="-207871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8708904"/>
        <c:crosses val="autoZero"/>
        <c:auto val="1"/>
        <c:lblAlgn val="ctr"/>
        <c:lblOffset val="100"/>
        <c:noMultiLvlLbl val="0"/>
      </c:catAx>
      <c:valAx>
        <c:axId val="-20787089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8712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168104"/>
        <c:axId val="-2079286680"/>
      </c:barChart>
      <c:catAx>
        <c:axId val="-207916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9286680"/>
        <c:crosses val="autoZero"/>
        <c:auto val="1"/>
        <c:lblAlgn val="ctr"/>
        <c:lblOffset val="100"/>
        <c:noMultiLvlLbl val="0"/>
      </c:catAx>
      <c:valAx>
        <c:axId val="-2079286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79168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079982504"/>
        <c:axId val="-2080018184"/>
      </c:barChart>
      <c:catAx>
        <c:axId val="-207998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80018184"/>
        <c:crosses val="autoZero"/>
        <c:auto val="1"/>
        <c:lblAlgn val="ctr"/>
        <c:lblOffset val="100"/>
        <c:noMultiLvlLbl val="1"/>
      </c:catAx>
      <c:valAx>
        <c:axId val="-2080018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98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1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2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topLeftCell="A19" workbookViewId="0">
      <selection activeCell="M42" sqref="M4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customWidth="1"/>
    <col min="7" max="7" width="11.33203125" customWidth="1"/>
    <col min="8" max="8" width="11" hidden="1" customWidth="1"/>
    <col min="9" max="10" width="11" customWidth="1"/>
    <col min="11" max="12" width="9.1640625" customWidth="1"/>
    <col min="13" max="17" width="11" customWidth="1"/>
  </cols>
  <sheetData>
    <row r="1" spans="1:22" s="43" customFormat="1" ht="13" customHeight="1">
      <c r="A1" s="40" t="s">
        <v>407</v>
      </c>
      <c r="B1" s="40" t="s">
        <v>14</v>
      </c>
      <c r="C1" s="40" t="s">
        <v>109</v>
      </c>
      <c r="D1" s="183" t="s">
        <v>391</v>
      </c>
      <c r="E1" s="40" t="s">
        <v>2</v>
      </c>
      <c r="F1" s="40" t="s">
        <v>5</v>
      </c>
    </row>
    <row r="2" spans="1:22">
      <c r="A2" t="s">
        <v>410</v>
      </c>
      <c r="B2" t="s">
        <v>413</v>
      </c>
      <c r="C2" s="180">
        <f>J56</f>
        <v>0.44445499769952745</v>
      </c>
      <c r="F2" t="s">
        <v>430</v>
      </c>
    </row>
    <row r="3" spans="1:22">
      <c r="A3" t="s">
        <v>412</v>
      </c>
      <c r="B3" t="s">
        <v>413</v>
      </c>
      <c r="C3" s="180">
        <f>J55</f>
        <v>0.53090857076072773</v>
      </c>
      <c r="F3" t="s">
        <v>430</v>
      </c>
    </row>
    <row r="4" spans="1:22">
      <c r="A4" t="s">
        <v>411</v>
      </c>
      <c r="B4" t="s">
        <v>413</v>
      </c>
      <c r="C4" s="180">
        <f>J57</f>
        <v>0.77143668844394409</v>
      </c>
      <c r="F4" t="s">
        <v>430</v>
      </c>
    </row>
    <row r="5" spans="1:22">
      <c r="A5" s="1" t="s">
        <v>37</v>
      </c>
      <c r="B5" s="1" t="s">
        <v>111</v>
      </c>
      <c r="C5" s="181">
        <v>265</v>
      </c>
      <c r="D5" s="1"/>
      <c r="E5" s="1" t="s">
        <v>500</v>
      </c>
      <c r="H5" s="29"/>
      <c r="I5" s="29"/>
      <c r="J5" s="29"/>
      <c r="K5" s="26"/>
      <c r="L5" s="26"/>
      <c r="N5" s="26"/>
      <c r="O5" s="26"/>
    </row>
    <row r="6" spans="1:22" ht="17" customHeight="1">
      <c r="A6" s="1" t="s">
        <v>25</v>
      </c>
      <c r="B6" s="1" t="s">
        <v>27</v>
      </c>
      <c r="C6" s="181">
        <v>28</v>
      </c>
      <c r="D6" s="1"/>
      <c r="E6" s="22" t="s">
        <v>500</v>
      </c>
      <c r="H6" s="28"/>
      <c r="I6" s="28"/>
      <c r="J6" s="28"/>
      <c r="K6" s="27"/>
      <c r="L6" s="27"/>
      <c r="N6" s="26"/>
      <c r="O6" s="26"/>
    </row>
    <row r="7" spans="1:22">
      <c r="A7" t="s">
        <v>737</v>
      </c>
      <c r="B7" t="s">
        <v>393</v>
      </c>
      <c r="C7" s="178">
        <v>0.45</v>
      </c>
      <c r="D7" t="s">
        <v>310</v>
      </c>
      <c r="E7" t="s">
        <v>394</v>
      </c>
    </row>
    <row r="8" spans="1:22" s="46" customFormat="1">
      <c r="A8" s="110" t="s">
        <v>398</v>
      </c>
      <c r="B8" s="99" t="s">
        <v>396</v>
      </c>
      <c r="C8" s="182" t="s">
        <v>229</v>
      </c>
      <c r="F8" s="114">
        <f>34003/1000000</f>
        <v>3.4002999999999999E-2</v>
      </c>
      <c r="G8" s="99" t="s">
        <v>231</v>
      </c>
      <c r="H8" s="99"/>
      <c r="I8" s="99"/>
      <c r="J8" s="99"/>
    </row>
    <row r="9" spans="1:22" s="46" customFormat="1">
      <c r="A9" s="110" t="s">
        <v>512</v>
      </c>
      <c r="B9" s="99"/>
      <c r="C9" s="182"/>
      <c r="F9" s="114"/>
      <c r="G9" s="99"/>
      <c r="H9" s="99"/>
      <c r="I9" s="99"/>
      <c r="J9" s="99"/>
    </row>
    <row r="10" spans="1:22" s="99" customFormat="1" ht="14">
      <c r="A10" s="99" t="s">
        <v>223</v>
      </c>
      <c r="B10" s="105" t="s">
        <v>397</v>
      </c>
      <c r="C10" s="182"/>
      <c r="D10" s="115">
        <f>F10/1000*F8</f>
        <v>2.6982740619999999</v>
      </c>
      <c r="F10" s="111">
        <v>79354</v>
      </c>
      <c r="G10" s="105" t="s">
        <v>348</v>
      </c>
      <c r="H10" s="105"/>
      <c r="I10" s="105"/>
      <c r="J10" s="105"/>
      <c r="K10" s="99" t="s">
        <v>349</v>
      </c>
      <c r="L10" s="231"/>
    </row>
    <row r="11" spans="1:22" s="99" customFormat="1" ht="14">
      <c r="A11" s="99" t="s">
        <v>225</v>
      </c>
      <c r="B11" s="105" t="s">
        <v>397</v>
      </c>
      <c r="C11" s="182"/>
      <c r="D11" s="115">
        <f>F11/1000*F8*Parameters!C5</f>
        <v>1.8021590000000001E-2</v>
      </c>
      <c r="F11" s="111">
        <v>2</v>
      </c>
      <c r="G11" s="105" t="s">
        <v>230</v>
      </c>
      <c r="H11" s="105"/>
      <c r="I11" s="105"/>
      <c r="J11" s="105"/>
      <c r="K11" s="99" t="s">
        <v>222</v>
      </c>
      <c r="L11" s="231"/>
    </row>
    <row r="12" spans="1:22" s="26" customFormat="1" ht="14">
      <c r="A12" s="105" t="s">
        <v>224</v>
      </c>
      <c r="B12" s="105" t="s">
        <v>397</v>
      </c>
      <c r="C12" s="179"/>
      <c r="D12" s="116">
        <f>F12*Parameters!C6/1000*F8</f>
        <v>4.1986904399999997E-3</v>
      </c>
      <c r="F12" s="26">
        <v>4.41</v>
      </c>
      <c r="G12" s="105" t="s">
        <v>230</v>
      </c>
      <c r="H12" s="105"/>
      <c r="I12" s="105"/>
      <c r="J12" s="105"/>
      <c r="K12" s="99" t="s">
        <v>222</v>
      </c>
      <c r="L12" s="231"/>
      <c r="P12" s="105"/>
      <c r="V12" s="113"/>
    </row>
    <row r="13" spans="1:22">
      <c r="A13" s="1" t="s">
        <v>392</v>
      </c>
      <c r="B13" t="s">
        <v>393</v>
      </c>
      <c r="C13" s="235">
        <f>SUM(D10:D12)</f>
        <v>2.7204943424399999</v>
      </c>
      <c r="E13" t="s">
        <v>395</v>
      </c>
      <c r="P13" s="1"/>
      <c r="Q13" s="1"/>
      <c r="R13" s="1"/>
      <c r="S13" s="1"/>
      <c r="T13" s="1"/>
    </row>
    <row r="14" spans="1:22" ht="30">
      <c r="A14" s="1" t="s">
        <v>738</v>
      </c>
      <c r="B14" s="1" t="s">
        <v>118</v>
      </c>
      <c r="C14" s="278">
        <f>GlobalFactorsADsensitivity.csv!F5</f>
        <v>692.15220789071998</v>
      </c>
      <c r="E14" t="s">
        <v>133</v>
      </c>
      <c r="F14" s="26" t="s">
        <v>134</v>
      </c>
    </row>
    <row r="15" spans="1:22">
      <c r="A15" s="42" t="s">
        <v>510</v>
      </c>
      <c r="B15" s="1"/>
      <c r="C15" s="181"/>
      <c r="F15" s="26"/>
    </row>
    <row r="16" spans="1:22">
      <c r="A16" s="1" t="s">
        <v>357</v>
      </c>
      <c r="B16" s="1" t="s">
        <v>110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N16" s="26"/>
      <c r="O16" s="26"/>
    </row>
    <row r="17" spans="1:21">
      <c r="A17" s="1" t="s">
        <v>450</v>
      </c>
      <c r="B17" s="1" t="s">
        <v>110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N17" s="26"/>
      <c r="O17" s="26"/>
    </row>
    <row r="18" spans="1:21">
      <c r="A18" s="1" t="s">
        <v>466</v>
      </c>
      <c r="B18" s="1" t="s">
        <v>110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N18" s="26"/>
      <c r="O18" s="26"/>
    </row>
    <row r="19" spans="1:21">
      <c r="A19" s="1" t="s">
        <v>193</v>
      </c>
      <c r="B19" s="1" t="s">
        <v>26</v>
      </c>
      <c r="C19" s="181">
        <v>0.67</v>
      </c>
      <c r="D19" s="1"/>
      <c r="E19" s="22"/>
      <c r="H19" s="26"/>
      <c r="I19" s="26"/>
      <c r="J19" s="26"/>
      <c r="K19" s="26"/>
      <c r="L19" s="26"/>
      <c r="N19" s="26"/>
      <c r="O19" s="26"/>
    </row>
    <row r="20" spans="1:21" s="44" customFormat="1">
      <c r="A20" s="26" t="s">
        <v>126</v>
      </c>
      <c r="B20" s="45" t="s">
        <v>127</v>
      </c>
      <c r="C20" s="179">
        <v>35315</v>
      </c>
      <c r="E20" s="26"/>
      <c r="F20"/>
      <c r="L20" s="183"/>
    </row>
    <row r="21" spans="1:21">
      <c r="A21" s="1" t="s">
        <v>722</v>
      </c>
      <c r="B21" s="15" t="s">
        <v>663</v>
      </c>
      <c r="C21" s="15">
        <v>1.7989999999999999</v>
      </c>
      <c r="T21" s="65"/>
    </row>
    <row r="22" spans="1:21">
      <c r="A22" s="1"/>
      <c r="T22" s="65"/>
    </row>
    <row r="23" spans="1:21">
      <c r="A23" s="1"/>
      <c r="T23" s="65" t="s">
        <v>499</v>
      </c>
      <c r="U23" t="s">
        <v>418</v>
      </c>
    </row>
    <row r="24" spans="1:21" s="43" customFormat="1">
      <c r="A24" s="44" t="s">
        <v>408</v>
      </c>
    </row>
    <row r="25" spans="1:21" ht="37" thickBot="1">
      <c r="A25" s="145" t="s">
        <v>409</v>
      </c>
      <c r="B25" s="145" t="s">
        <v>862</v>
      </c>
      <c r="C25" s="145" t="s">
        <v>863</v>
      </c>
      <c r="D25" s="145" t="s">
        <v>864</v>
      </c>
      <c r="E25" s="145" t="s">
        <v>865</v>
      </c>
      <c r="F25" s="145" t="s">
        <v>859</v>
      </c>
      <c r="G25" s="145" t="s">
        <v>288</v>
      </c>
      <c r="H25" s="145" t="s">
        <v>289</v>
      </c>
      <c r="I25" s="145" t="s">
        <v>290</v>
      </c>
      <c r="J25" s="148" t="s">
        <v>291</v>
      </c>
      <c r="K25" s="151" t="s">
        <v>968</v>
      </c>
      <c r="M25" s="332" t="s">
        <v>292</v>
      </c>
      <c r="N25" s="337" t="s">
        <v>860</v>
      </c>
      <c r="O25" s="337" t="s">
        <v>861</v>
      </c>
      <c r="P25" s="154" t="s">
        <v>498</v>
      </c>
    </row>
    <row r="26" spans="1:21" ht="17" thickTop="1" thickBot="1">
      <c r="A26" s="135" t="s">
        <v>729</v>
      </c>
      <c r="B26" s="173">
        <v>0.3</v>
      </c>
      <c r="C26" s="274">
        <v>0.9</v>
      </c>
      <c r="D26" s="275">
        <f>C26*B26</f>
        <v>0.27</v>
      </c>
      <c r="E26" s="328">
        <v>334.11111111111109</v>
      </c>
      <c r="F26" s="238">
        <v>8900</v>
      </c>
      <c r="G26" s="173">
        <f>1-H26-I26-J26</f>
        <v>3.9999999999999925E-2</v>
      </c>
      <c r="H26" s="173">
        <v>0.14000000000000001</v>
      </c>
      <c r="I26" s="173">
        <v>0.15</v>
      </c>
      <c r="J26" s="173">
        <v>0.67</v>
      </c>
      <c r="K26">
        <f t="shared" ref="K26:K40" si="0">(H26*$J$57+$J$55*I26+J26*$J$56)*B26*1000</f>
        <v>145.62668113648343</v>
      </c>
      <c r="L26">
        <f t="shared" ref="L26:L40" si="1">E26/(H26*$D$49+$D$48*I26+J26*$D$50)</f>
        <v>0.67577741370747169</v>
      </c>
      <c r="M26" s="333">
        <v>0.84099999999999997</v>
      </c>
      <c r="N26" s="338">
        <v>3300</v>
      </c>
      <c r="O26" s="338">
        <v>1900</v>
      </c>
      <c r="P26" t="s">
        <v>948</v>
      </c>
    </row>
    <row r="27" spans="1:21" ht="16" thickBot="1">
      <c r="A27" s="136" t="s">
        <v>47</v>
      </c>
      <c r="B27" s="276">
        <f>1-0.935</f>
        <v>6.4999999999999947E-2</v>
      </c>
      <c r="C27" s="277">
        <v>0.91100000000000003</v>
      </c>
      <c r="D27" s="314">
        <f>B27*C27</f>
        <v>5.9214999999999955E-2</v>
      </c>
      <c r="E27" s="329">
        <v>420</v>
      </c>
      <c r="F27" s="136">
        <v>650</v>
      </c>
      <c r="G27" s="173">
        <f>1-H27-I27-J27</f>
        <v>9.9999999999999978E-2</v>
      </c>
      <c r="H27" s="277">
        <f>0.5/65</f>
        <v>7.6923076923076927E-3</v>
      </c>
      <c r="I27" s="173">
        <f>8.4/65</f>
        <v>0.12923076923076923</v>
      </c>
      <c r="J27" s="276">
        <f>1-0.1-I27-H27</f>
        <v>0.7630769230769231</v>
      </c>
      <c r="K27">
        <f t="shared" si="0"/>
        <v>26.890318224508626</v>
      </c>
      <c r="L27">
        <f t="shared" si="1"/>
        <v>1.0808713485948673</v>
      </c>
      <c r="M27" s="333">
        <v>0.98</v>
      </c>
      <c r="N27" s="338">
        <v>150</v>
      </c>
      <c r="O27" s="338">
        <v>80</v>
      </c>
      <c r="P27" s="23" t="s">
        <v>964</v>
      </c>
    </row>
    <row r="28" spans="1:21" ht="17" thickTop="1" thickBot="1">
      <c r="A28" s="135" t="s">
        <v>472</v>
      </c>
      <c r="B28" s="173">
        <v>0.32</v>
      </c>
      <c r="C28" s="274">
        <v>0.97799999999999998</v>
      </c>
      <c r="D28" s="275">
        <f>B28*C28</f>
        <v>0.31296000000000002</v>
      </c>
      <c r="E28" s="330">
        <v>218</v>
      </c>
      <c r="F28" s="135">
        <f>3340*B28</f>
        <v>1068.8</v>
      </c>
      <c r="G28" s="173">
        <f>1-H28-I28-J28</f>
        <v>3.9200000000000013E-2</v>
      </c>
      <c r="H28" s="274">
        <v>5.8500000000000003E-2</v>
      </c>
      <c r="I28" s="173">
        <v>0.19270000000000001</v>
      </c>
      <c r="J28" s="173">
        <v>0.70960000000000001</v>
      </c>
      <c r="K28">
        <f t="shared" si="0"/>
        <v>148.10252615268726</v>
      </c>
      <c r="L28">
        <f t="shared" si="1"/>
        <v>0.48511044718727175</v>
      </c>
      <c r="M28" s="333">
        <f>E28/(H28*$D$49+$D$48*I28+J28*$D$50)</f>
        <v>0.48511044718727175</v>
      </c>
      <c r="N28" s="338">
        <v>109</v>
      </c>
      <c r="O28" s="338">
        <v>117</v>
      </c>
      <c r="P28" s="23" t="s">
        <v>929</v>
      </c>
      <c r="T28" t="s">
        <v>945</v>
      </c>
    </row>
    <row r="29" spans="1:21" ht="16" thickBot="1">
      <c r="A29" s="135" t="s">
        <v>97</v>
      </c>
      <c r="B29" s="173">
        <v>0.25700000000000001</v>
      </c>
      <c r="C29" s="274">
        <v>0.9</v>
      </c>
      <c r="D29" s="275">
        <f>B29*C29</f>
        <v>0.23130000000000001</v>
      </c>
      <c r="E29" s="328">
        <v>228</v>
      </c>
      <c r="F29" s="135">
        <v>6800</v>
      </c>
      <c r="G29" s="173">
        <f>1-H29-I29-J29</f>
        <v>0</v>
      </c>
      <c r="H29" s="274">
        <v>4.8000000000000001E-2</v>
      </c>
      <c r="I29" s="173">
        <v>4.8000000000000001E-2</v>
      </c>
      <c r="J29" s="173">
        <f>1-I29-H29</f>
        <v>0.90399999999999991</v>
      </c>
      <c r="K29">
        <f t="shared" si="0"/>
        <v>119.32507182308463</v>
      </c>
      <c r="L29">
        <f t="shared" si="1"/>
        <v>0.50933786078098475</v>
      </c>
      <c r="M29" s="333">
        <f>E29/(H29*$D$49+$D$48*I29+J29*$D$50)</f>
        <v>0.50933786078098475</v>
      </c>
      <c r="N29" s="338">
        <v>2597</v>
      </c>
      <c r="O29" s="338">
        <v>730</v>
      </c>
      <c r="P29" s="345" t="s">
        <v>949</v>
      </c>
    </row>
    <row r="30" spans="1:21" ht="16" thickBot="1">
      <c r="A30" s="135" t="s">
        <v>730</v>
      </c>
      <c r="B30" s="173">
        <v>0.21</v>
      </c>
      <c r="C30" s="274">
        <v>0.95</v>
      </c>
      <c r="D30" s="275">
        <f>B30*C30</f>
        <v>0.19949999999999998</v>
      </c>
      <c r="E30" s="328">
        <v>445</v>
      </c>
      <c r="F30" s="135">
        <v>8000</v>
      </c>
      <c r="G30" s="173">
        <v>4.1000000000000002E-2</v>
      </c>
      <c r="H30" s="274">
        <v>0.109</v>
      </c>
      <c r="I30" s="173">
        <v>0.23</v>
      </c>
      <c r="J30" s="173">
        <v>0.62</v>
      </c>
      <c r="K30">
        <f t="shared" si="0"/>
        <v>101.1691104667035</v>
      </c>
      <c r="L30">
        <f t="shared" si="1"/>
        <v>0.92341659991782632</v>
      </c>
      <c r="M30" s="333">
        <f>E30/((H30*D49+D48*I30+D50*J30))</f>
        <v>0.92341659991782632</v>
      </c>
      <c r="N30" s="338">
        <v>200</v>
      </c>
      <c r="O30" s="338">
        <v>1300</v>
      </c>
      <c r="P30" s="345" t="s">
        <v>950</v>
      </c>
    </row>
    <row r="31" spans="1:21" ht="16" thickBot="1">
      <c r="A31" s="135" t="s">
        <v>274</v>
      </c>
      <c r="B31" s="138">
        <v>0.91600000000000004</v>
      </c>
      <c r="C31" s="141">
        <v>0.97899999999999998</v>
      </c>
      <c r="D31" s="144">
        <v>0.88900000000000001</v>
      </c>
      <c r="E31" s="330">
        <v>465.3046875</v>
      </c>
      <c r="F31" s="225">
        <v>14656.000000000002</v>
      </c>
      <c r="G31" s="173">
        <v>0.03</v>
      </c>
      <c r="H31" s="173">
        <v>0.11</v>
      </c>
      <c r="I31" s="173">
        <v>0.1</v>
      </c>
      <c r="J31" s="230">
        <v>0.76</v>
      </c>
      <c r="K31">
        <f t="shared" si="0"/>
        <v>435.77297700779746</v>
      </c>
      <c r="L31">
        <f t="shared" si="1"/>
        <v>0.97642314915851769</v>
      </c>
      <c r="M31" s="334">
        <v>0.94</v>
      </c>
      <c r="N31" s="339">
        <v>1400</v>
      </c>
      <c r="O31" s="339">
        <v>1200</v>
      </c>
      <c r="P31" t="s">
        <v>618</v>
      </c>
    </row>
    <row r="32" spans="1:21" ht="16" thickBot="1">
      <c r="A32" s="135" t="s">
        <v>275</v>
      </c>
      <c r="B32" s="138">
        <v>0.105</v>
      </c>
      <c r="C32" s="141">
        <v>0.90700000000000003</v>
      </c>
      <c r="D32" s="141">
        <v>0.14299999999999999</v>
      </c>
      <c r="E32" s="328">
        <v>435.97247406272294</v>
      </c>
      <c r="F32" s="226">
        <v>2520</v>
      </c>
      <c r="G32" s="173">
        <v>0.09</v>
      </c>
      <c r="H32" s="173">
        <v>0.02</v>
      </c>
      <c r="I32" s="173">
        <v>0.15</v>
      </c>
      <c r="J32" s="230">
        <v>0.74</v>
      </c>
      <c r="K32">
        <f t="shared" si="0"/>
        <v>44.515980356467033</v>
      </c>
      <c r="L32">
        <f t="shared" si="1"/>
        <v>1.0851024791247024</v>
      </c>
      <c r="M32" s="335">
        <v>0.98179823692937196</v>
      </c>
      <c r="N32" s="339">
        <v>1380</v>
      </c>
      <c r="O32" s="339">
        <v>370</v>
      </c>
      <c r="P32" t="s">
        <v>619</v>
      </c>
    </row>
    <row r="33" spans="1:19" ht="16" thickBot="1">
      <c r="A33" s="135" t="s">
        <v>731</v>
      </c>
      <c r="B33" s="138">
        <v>0.29299999999999998</v>
      </c>
      <c r="C33" s="141">
        <v>0.99299999999999999</v>
      </c>
      <c r="D33" s="141">
        <v>0.30299999999999999</v>
      </c>
      <c r="E33" s="328">
        <v>365.25479597205384</v>
      </c>
      <c r="F33" s="226">
        <v>7969.6</v>
      </c>
      <c r="G33" s="173">
        <v>0.01</v>
      </c>
      <c r="H33" s="173">
        <v>0.04</v>
      </c>
      <c r="I33" s="173">
        <v>0.17</v>
      </c>
      <c r="J33" s="230">
        <v>0.79</v>
      </c>
      <c r="K33">
        <f t="shared" si="0"/>
        <v>138.36379221566446</v>
      </c>
      <c r="L33">
        <f t="shared" si="1"/>
        <v>0.80678284180870241</v>
      </c>
      <c r="M33" s="335">
        <v>0.79927679923149053</v>
      </c>
      <c r="N33" s="340">
        <f>F33*0.36/2</f>
        <v>1434.528</v>
      </c>
      <c r="O33" s="340">
        <f>F33*0.67/2</f>
        <v>2669.8160000000003</v>
      </c>
      <c r="P33" t="s">
        <v>620</v>
      </c>
    </row>
    <row r="34" spans="1:19" ht="16" thickBot="1">
      <c r="A34" s="135" t="s">
        <v>277</v>
      </c>
      <c r="B34" s="138">
        <v>7.6999999999999999E-2</v>
      </c>
      <c r="C34" s="141">
        <v>0.93300000000000005</v>
      </c>
      <c r="D34" s="141">
        <v>0.91100000000000003</v>
      </c>
      <c r="E34" s="328">
        <v>418.04822619567631</v>
      </c>
      <c r="F34" s="226">
        <v>1232</v>
      </c>
      <c r="G34" s="173">
        <v>7.0000000000000007E-2</v>
      </c>
      <c r="H34" s="173">
        <v>0</v>
      </c>
      <c r="I34" s="173">
        <v>0.1</v>
      </c>
      <c r="J34" s="230">
        <v>0.82</v>
      </c>
      <c r="K34">
        <f t="shared" si="0"/>
        <v>32.150884549605763</v>
      </c>
      <c r="L34">
        <f t="shared" si="1"/>
        <v>1.0721934501043251</v>
      </c>
      <c r="M34" s="335">
        <v>0.97735385922437001</v>
      </c>
      <c r="N34" s="339">
        <v>2315</v>
      </c>
      <c r="O34" s="339">
        <v>330</v>
      </c>
      <c r="P34" t="s">
        <v>621</v>
      </c>
    </row>
    <row r="35" spans="1:19" ht="16" thickBot="1">
      <c r="A35" s="135" t="s">
        <v>278</v>
      </c>
      <c r="B35" s="138">
        <v>0.46600000000000003</v>
      </c>
      <c r="C35" s="141">
        <v>0.97099999999999997</v>
      </c>
      <c r="D35" s="141">
        <v>7.0999999999999994E-2</v>
      </c>
      <c r="E35" s="328">
        <v>483.41632472315138</v>
      </c>
      <c r="F35" s="226">
        <v>13420.8</v>
      </c>
      <c r="G35" s="173">
        <v>0.03</v>
      </c>
      <c r="H35" s="173">
        <v>0.19</v>
      </c>
      <c r="I35" s="173">
        <v>0.18</v>
      </c>
      <c r="J35" s="230">
        <v>0.61</v>
      </c>
      <c r="K35">
        <f t="shared" si="0"/>
        <v>239.17639295630434</v>
      </c>
      <c r="L35">
        <f t="shared" si="1"/>
        <v>0.90342993650255354</v>
      </c>
      <c r="M35" s="335">
        <v>0.877478471550592</v>
      </c>
      <c r="N35" s="339">
        <f>8000*0.4</f>
        <v>3200</v>
      </c>
      <c r="O35" s="339">
        <f>3000*0.4</f>
        <v>1200</v>
      </c>
      <c r="P35" t="s">
        <v>299</v>
      </c>
    </row>
    <row r="36" spans="1:19" ht="16" thickBot="1">
      <c r="A36" s="135" t="s">
        <v>417</v>
      </c>
      <c r="B36" s="138">
        <v>0.14299999999999999</v>
      </c>
      <c r="C36" s="141">
        <v>1</v>
      </c>
      <c r="D36" s="141">
        <v>3.4000000000000002E-2</v>
      </c>
      <c r="E36" s="328">
        <v>252.28816838661476</v>
      </c>
      <c r="F36" s="226">
        <v>457.59999999999997</v>
      </c>
      <c r="G36" s="173">
        <v>0</v>
      </c>
      <c r="H36" s="173">
        <v>0.03</v>
      </c>
      <c r="I36" s="173">
        <v>0.02</v>
      </c>
      <c r="J36" s="230">
        <v>0.82</v>
      </c>
      <c r="K36">
        <f t="shared" si="0"/>
        <v>56.944654936046781</v>
      </c>
      <c r="L36">
        <f t="shared" si="1"/>
        <v>0.66279993796399439</v>
      </c>
      <c r="M36" s="335">
        <v>0.56096498593100275</v>
      </c>
      <c r="N36" s="341">
        <v>1200</v>
      </c>
      <c r="O36" s="339">
        <v>977</v>
      </c>
      <c r="P36" t="s">
        <v>625</v>
      </c>
    </row>
    <row r="37" spans="1:19" ht="16" thickBot="1">
      <c r="A37" s="135" t="s">
        <v>732</v>
      </c>
      <c r="B37" s="138">
        <v>0.92700000000000005</v>
      </c>
      <c r="C37" s="141">
        <v>0.95</v>
      </c>
      <c r="D37" s="141">
        <v>0.29099999999999998</v>
      </c>
      <c r="E37" s="328">
        <v>361.81791351010088</v>
      </c>
      <c r="F37" s="226">
        <v>16315.200000000003</v>
      </c>
      <c r="G37" s="173">
        <v>0.05</v>
      </c>
      <c r="H37" s="173">
        <v>0.02</v>
      </c>
      <c r="I37" s="173">
        <v>0.11</v>
      </c>
      <c r="J37" s="230">
        <v>0.82</v>
      </c>
      <c r="K37">
        <f t="shared" si="0"/>
        <v>406.28720511554087</v>
      </c>
      <c r="L37">
        <f t="shared" si="1"/>
        <v>0.87155637498217686</v>
      </c>
      <c r="M37" s="335">
        <v>0.82380040804253563</v>
      </c>
      <c r="N37" s="341">
        <v>1170</v>
      </c>
      <c r="O37" s="341">
        <v>740</v>
      </c>
      <c r="P37" t="s">
        <v>623</v>
      </c>
    </row>
    <row r="38" spans="1:19" ht="16" thickBot="1">
      <c r="A38" s="135" t="s">
        <v>733</v>
      </c>
      <c r="B38" s="138">
        <v>3.7999999999999999E-2</v>
      </c>
      <c r="C38" s="141">
        <v>0.90600000000000003</v>
      </c>
      <c r="D38" s="141">
        <v>0.45200000000000001</v>
      </c>
      <c r="E38" s="328">
        <v>375.37065018315019</v>
      </c>
      <c r="F38" s="226">
        <v>1398.3999999999999</v>
      </c>
      <c r="G38" s="173">
        <v>0.11</v>
      </c>
      <c r="H38" s="173">
        <v>0.02</v>
      </c>
      <c r="I38" s="173">
        <v>0.23</v>
      </c>
      <c r="J38" s="230">
        <v>0.66</v>
      </c>
      <c r="K38">
        <f t="shared" si="0"/>
        <v>16.373364133970309</v>
      </c>
      <c r="L38">
        <f t="shared" si="1"/>
        <v>0.91944018562472485</v>
      </c>
      <c r="M38" s="335">
        <v>0.90450759080277232</v>
      </c>
      <c r="N38" s="342">
        <v>2300</v>
      </c>
      <c r="O38" s="342">
        <v>300</v>
      </c>
      <c r="P38" t="s">
        <v>617</v>
      </c>
    </row>
    <row r="39" spans="1:19" ht="16" thickBot="1">
      <c r="A39" s="135" t="s">
        <v>734</v>
      </c>
      <c r="B39" s="138">
        <v>0.92400000000000004</v>
      </c>
      <c r="C39" s="141">
        <v>0.97799999999999998</v>
      </c>
      <c r="D39" s="141">
        <v>0.90400000000000003</v>
      </c>
      <c r="E39" s="328">
        <v>318.40468414280525</v>
      </c>
      <c r="F39" s="226">
        <v>17740.8</v>
      </c>
      <c r="G39" s="173">
        <v>0.02</v>
      </c>
      <c r="H39" s="173">
        <v>0.01</v>
      </c>
      <c r="I39" s="173">
        <v>0.12</v>
      </c>
      <c r="J39" s="230">
        <v>0.85</v>
      </c>
      <c r="K39">
        <f t="shared" si="0"/>
        <v>415.07017252038042</v>
      </c>
      <c r="L39">
        <f t="shared" si="1"/>
        <v>0.75378112294407162</v>
      </c>
      <c r="M39" s="335">
        <v>0.73736998705248713</v>
      </c>
      <c r="N39" s="343">
        <v>2010</v>
      </c>
      <c r="O39" s="339">
        <v>1630</v>
      </c>
      <c r="P39" t="s">
        <v>624</v>
      </c>
    </row>
    <row r="40" spans="1:19" ht="16" thickBot="1">
      <c r="A40" s="136" t="s">
        <v>735</v>
      </c>
      <c r="B40" s="139">
        <v>0.309</v>
      </c>
      <c r="C40" s="142">
        <v>0.97899999999999998</v>
      </c>
      <c r="D40" s="142">
        <v>9.6000000000000002E-2</v>
      </c>
      <c r="E40" s="329">
        <v>454.20873548774478</v>
      </c>
      <c r="F40" s="227">
        <v>6921.6000000000013</v>
      </c>
      <c r="G40" s="276">
        <v>0.02</v>
      </c>
      <c r="H40" s="276">
        <v>0.05</v>
      </c>
      <c r="I40" s="276">
        <v>0.14000000000000001</v>
      </c>
      <c r="J40" s="331">
        <v>0.79</v>
      </c>
      <c r="K40">
        <f t="shared" si="0"/>
        <v>143.38171109599963</v>
      </c>
      <c r="L40">
        <f t="shared" si="1"/>
        <v>1.0138814158524627</v>
      </c>
      <c r="M40" s="336">
        <v>0.99060618444367532</v>
      </c>
      <c r="N40" s="339">
        <v>1500</v>
      </c>
      <c r="O40" s="343">
        <v>1100</v>
      </c>
      <c r="P40" t="s">
        <v>622</v>
      </c>
    </row>
    <row r="41" spans="1:19" ht="16" thickTop="1"/>
    <row r="43" spans="1:19" ht="16" thickBot="1">
      <c r="A43" s="135" t="s">
        <v>11</v>
      </c>
      <c r="B43" s="173">
        <v>0.06</v>
      </c>
      <c r="C43" s="274">
        <v>0.88</v>
      </c>
      <c r="D43" s="344">
        <f>B43*C43</f>
        <v>5.28E-2</v>
      </c>
      <c r="E43" s="328">
        <v>887</v>
      </c>
      <c r="F43" s="224">
        <v>150.79</v>
      </c>
      <c r="G43" s="135">
        <v>56</v>
      </c>
      <c r="H43" s="173">
        <f>1-I43-J43-K43</f>
        <v>0.83333333333333326</v>
      </c>
      <c r="I43" s="274">
        <f>0.01/B43</f>
        <v>0.16666666666666669</v>
      </c>
      <c r="J43" s="173">
        <v>0</v>
      </c>
      <c r="K43" s="173">
        <v>0</v>
      </c>
      <c r="L43">
        <f>(I43*$J$57+$J$55*J43+K43*$J$56)*B43*1000</f>
        <v>7.7143668844394417</v>
      </c>
      <c r="M43">
        <f>E43/(I43*$D$49+$D$48*J43+K43*$D$50)</f>
        <v>5.2485207100591706</v>
      </c>
      <c r="N43" s="333">
        <v>0.99</v>
      </c>
      <c r="O43" s="338">
        <v>36</v>
      </c>
      <c r="P43" s="338">
        <v>29</v>
      </c>
      <c r="Q43" s="94" t="s">
        <v>947</v>
      </c>
      <c r="R43" t="s">
        <v>946</v>
      </c>
    </row>
    <row r="45" spans="1:19" ht="16" thickBot="1">
      <c r="A45" s="136" t="s">
        <v>284</v>
      </c>
      <c r="B45" s="139">
        <v>0.10199999999999999</v>
      </c>
      <c r="C45" s="142">
        <v>0.83599999999999997</v>
      </c>
      <c r="D45" s="142">
        <v>0.89600000000000002</v>
      </c>
      <c r="K45" s="147">
        <v>0.16</v>
      </c>
      <c r="L45" s="152"/>
      <c r="N45" s="147">
        <v>0.01</v>
      </c>
      <c r="O45" s="147">
        <v>0.14000000000000001</v>
      </c>
      <c r="P45" s="150">
        <v>0.69</v>
      </c>
      <c r="Q45" s="155"/>
      <c r="R45" s="155"/>
      <c r="S45" s="155"/>
    </row>
    <row r="46" spans="1:19" ht="16" thickTop="1">
      <c r="A46" s="95"/>
    </row>
    <row r="47" spans="1:19">
      <c r="A47" t="s">
        <v>942</v>
      </c>
      <c r="D47" t="s">
        <v>943</v>
      </c>
    </row>
    <row r="48" spans="1:19">
      <c r="A48" t="s">
        <v>248</v>
      </c>
      <c r="B48" t="s">
        <v>249</v>
      </c>
      <c r="C48" t="s">
        <v>250</v>
      </c>
      <c r="D48">
        <v>496</v>
      </c>
    </row>
    <row r="49" spans="1:16" ht="17">
      <c r="A49" t="s">
        <v>251</v>
      </c>
      <c r="B49" s="121" t="s">
        <v>252</v>
      </c>
      <c r="C49" t="s">
        <v>253</v>
      </c>
      <c r="D49">
        <v>1014</v>
      </c>
      <c r="K49" s="122"/>
      <c r="L49" s="122"/>
    </row>
    <row r="50" spans="1:16" ht="17">
      <c r="A50" t="s">
        <v>254</v>
      </c>
      <c r="B50" s="121" t="s">
        <v>255</v>
      </c>
      <c r="C50" s="122" t="s">
        <v>256</v>
      </c>
      <c r="D50">
        <v>415</v>
      </c>
    </row>
    <row r="51" spans="1:16">
      <c r="O51" s="123"/>
      <c r="P51" s="124"/>
    </row>
    <row r="52" spans="1:16">
      <c r="A52" s="125"/>
      <c r="B52" s="126" t="s">
        <v>257</v>
      </c>
      <c r="C52" s="126" t="s">
        <v>258</v>
      </c>
      <c r="D52" s="126" t="s">
        <v>259</v>
      </c>
      <c r="E52" s="126" t="s">
        <v>50</v>
      </c>
      <c r="F52" s="126" t="s">
        <v>260</v>
      </c>
      <c r="G52" s="318"/>
      <c r="H52" s="318"/>
      <c r="I52" s="318"/>
      <c r="J52" s="318"/>
      <c r="K52" s="318"/>
      <c r="L52" s="49"/>
      <c r="N52" s="318"/>
    </row>
    <row r="53" spans="1:16">
      <c r="A53" s="127" t="s">
        <v>261</v>
      </c>
      <c r="B53" s="128">
        <v>12.0107</v>
      </c>
      <c r="C53" s="128">
        <v>1.0079400000000001</v>
      </c>
      <c r="D53" s="128">
        <v>15.9994</v>
      </c>
      <c r="E53" s="128">
        <v>14.0067</v>
      </c>
      <c r="F53" s="128">
        <v>32.064999999999998</v>
      </c>
      <c r="G53" s="318"/>
      <c r="H53" s="318"/>
      <c r="I53" s="318"/>
      <c r="J53" s="318"/>
      <c r="K53" s="318"/>
      <c r="L53" s="49"/>
      <c r="N53" s="318"/>
    </row>
    <row r="54" spans="1:16">
      <c r="A54" s="54"/>
      <c r="B54" s="319" t="s">
        <v>262</v>
      </c>
      <c r="C54" s="319" t="s">
        <v>263</v>
      </c>
      <c r="D54" s="319" t="s">
        <v>264</v>
      </c>
      <c r="E54" s="319" t="s">
        <v>265</v>
      </c>
      <c r="F54" s="321" t="s">
        <v>266</v>
      </c>
      <c r="G54" s="321" t="s">
        <v>267</v>
      </c>
      <c r="H54" s="322" t="s">
        <v>268</v>
      </c>
      <c r="I54" s="323" t="s">
        <v>269</v>
      </c>
      <c r="J54" s="323" t="s">
        <v>944</v>
      </c>
      <c r="K54" s="323" t="s">
        <v>270</v>
      </c>
      <c r="L54" s="355"/>
      <c r="N54" s="323"/>
    </row>
    <row r="55" spans="1:16">
      <c r="A55" s="54" t="s">
        <v>248</v>
      </c>
      <c r="B55" s="319">
        <v>5</v>
      </c>
      <c r="C55" s="319">
        <v>7</v>
      </c>
      <c r="D55" s="319">
        <v>2</v>
      </c>
      <c r="E55" s="319">
        <v>1</v>
      </c>
      <c r="F55" s="319"/>
      <c r="G55" s="324">
        <f>carbon*B55+hydrogen*C55+oxygen*D55+nitrogen*E55+Sulfur*F55</f>
        <v>113.11458</v>
      </c>
      <c r="H55" s="325">
        <f>($B55/2+$C55/8-$D55/4-3/8*$E55-$F55/4)*22.4/(carbon*$B55+hydrogen*$C55+oxygen*$D55+nitrogen*$E55)*1000</f>
        <v>495.07322575038518</v>
      </c>
      <c r="I55" s="326">
        <f>H55/350</f>
        <v>1.4144949307153862</v>
      </c>
      <c r="J55" s="326">
        <f>carbon*B55/G55</f>
        <v>0.53090857076072773</v>
      </c>
      <c r="K55" s="324">
        <f>nitrogen*E55/G55</f>
        <v>0.12382753841281999</v>
      </c>
      <c r="L55" s="130"/>
      <c r="N55" s="327"/>
    </row>
    <row r="56" spans="1:16">
      <c r="A56" s="54" t="s">
        <v>254</v>
      </c>
      <c r="B56" s="319">
        <v>6</v>
      </c>
      <c r="C56" s="319">
        <v>10</v>
      </c>
      <c r="D56" s="319">
        <v>5</v>
      </c>
      <c r="E56" s="319"/>
      <c r="F56" s="319"/>
      <c r="G56" s="324">
        <f>carbon*B56+hydrogen*C56+oxygen*D56+nitrogen*E56+Sulfur*F56</f>
        <v>162.14060000000001</v>
      </c>
      <c r="H56" s="325">
        <f>($B56/2+$C56/8-$D56/4-3/8*$E56-$F56/4)*22.4/(carbon*$B56+hydrogen*$C56+oxygen*$D56+nitrogen*$E56)*1000</f>
        <v>414.45510871428866</v>
      </c>
      <c r="I56" s="326">
        <f>H56/350</f>
        <v>1.1841574534693962</v>
      </c>
      <c r="J56" s="326">
        <f>carbon*B56/G56</f>
        <v>0.44445499769952745</v>
      </c>
      <c r="K56" s="324">
        <f>nitrogen*E56/G56</f>
        <v>0</v>
      </c>
      <c r="L56" s="130"/>
      <c r="N56" s="327"/>
    </row>
    <row r="57" spans="1:16">
      <c r="A57" s="54" t="s">
        <v>251</v>
      </c>
      <c r="B57" s="320">
        <v>57</v>
      </c>
      <c r="C57" s="319">
        <v>106</v>
      </c>
      <c r="D57" s="319">
        <v>6</v>
      </c>
      <c r="E57" s="319"/>
      <c r="F57" s="319"/>
      <c r="G57" s="324">
        <f>carbon*B57+hydrogen*C57+oxygen*D57+nitrogen*E57+Sulfur*F57</f>
        <v>887.44794000000002</v>
      </c>
      <c r="H57" s="325">
        <f>($B57/2+$C57/8-$D57/4-3/8*$E57-$F57/4)*22.4/(carbon*$B57+hydrogen*$C57+oxygen*$D57+nitrogen*$E57)*1000</f>
        <v>1015.9469185313561</v>
      </c>
      <c r="I57" s="326">
        <f>H57/350</f>
        <v>2.9027054815181605</v>
      </c>
      <c r="J57" s="326">
        <f>carbon*B57/G57</f>
        <v>0.77143668844394409</v>
      </c>
      <c r="K57" s="324">
        <f>nitrogen*E57/G57</f>
        <v>0</v>
      </c>
      <c r="L57" s="130"/>
      <c r="N57" s="327"/>
    </row>
    <row r="58" spans="1:16" hidden="1">
      <c r="A58" s="132" t="s">
        <v>271</v>
      </c>
      <c r="B58" s="129">
        <v>40</v>
      </c>
      <c r="C58" s="129">
        <v>46</v>
      </c>
      <c r="D58" s="129">
        <v>16</v>
      </c>
      <c r="E58" s="129"/>
      <c r="F58" s="129"/>
      <c r="G58" s="130">
        <f>carbon*B58+hydrogen*C58+oxygen*D58+nitrogen*E58+Sulfur*F58</f>
        <v>782.78363999999999</v>
      </c>
      <c r="H58" s="123">
        <f>($B58/2+$C58/8-$D58/4-3/8*$E58-$F58/4)*22.4/(carbon*$B58+hydrogen*$C58+oxygen*$D58+nitrogen*$E58)*1000</f>
        <v>622.39420333312023</v>
      </c>
      <c r="I58" s="131">
        <f>H58/350</f>
        <v>1.7782691523803436</v>
      </c>
      <c r="J58" s="130"/>
      <c r="K58" s="130"/>
      <c r="L58" s="130"/>
      <c r="N58" s="65">
        <f>350/H58</f>
        <v>0.56234456896551721</v>
      </c>
    </row>
    <row r="59" spans="1:16" hidden="1">
      <c r="A59" s="132" t="s">
        <v>272</v>
      </c>
      <c r="B59" s="133">
        <v>6</v>
      </c>
      <c r="C59" s="133">
        <v>12</v>
      </c>
      <c r="D59" s="133">
        <v>6</v>
      </c>
      <c r="E59" s="49"/>
      <c r="F59" s="49"/>
      <c r="G59" s="130">
        <f>carbon*B59+hydrogen*C59+oxygen*D59+nitrogen*E59+Sulfur*F59</f>
        <v>180.15588</v>
      </c>
      <c r="H59" s="123">
        <f>($B59/2+$C59/8-$D59/4-3/8*$E59-$F59/4)*22.4/(carbon*$B59+hydrogen*$C59+oxygen*$D59+nitrogen*$E59)*1000</f>
        <v>373.01030640798393</v>
      </c>
      <c r="I59" s="131">
        <f>H59/350</f>
        <v>1.0657437325942398</v>
      </c>
      <c r="J59" s="130">
        <f>carbon*B59/G59</f>
        <v>0.40001025778342625</v>
      </c>
      <c r="K59" s="130">
        <f>nitrogen*E59/G59</f>
        <v>0</v>
      </c>
      <c r="L59" s="130"/>
      <c r="N59" s="65">
        <f>350/H59</f>
        <v>0.93831187500000024</v>
      </c>
    </row>
    <row r="60" spans="1:16">
      <c r="A60" s="49"/>
      <c r="B60" s="129"/>
      <c r="C60" s="129"/>
      <c r="D60" s="129"/>
      <c r="E60" s="129"/>
      <c r="F60" s="129"/>
    </row>
    <row r="62" spans="1:16" ht="16" thickBot="1"/>
    <row r="63" spans="1:16" ht="17" thickTop="1" thickBot="1">
      <c r="A63" s="134" t="s">
        <v>273</v>
      </c>
      <c r="B63" s="135" t="s">
        <v>274</v>
      </c>
      <c r="C63" s="135" t="s">
        <v>275</v>
      </c>
      <c r="D63" s="135" t="s">
        <v>276</v>
      </c>
      <c r="E63" s="135" t="s">
        <v>277</v>
      </c>
      <c r="F63" s="135" t="s">
        <v>278</v>
      </c>
      <c r="G63" s="135" t="s">
        <v>279</v>
      </c>
      <c r="H63" s="135" t="s">
        <v>280</v>
      </c>
      <c r="I63" s="135"/>
      <c r="J63" s="135"/>
      <c r="K63" s="135" t="s">
        <v>281</v>
      </c>
      <c r="L63" s="356"/>
      <c r="N63" s="135" t="s">
        <v>282</v>
      </c>
      <c r="O63" s="136" t="s">
        <v>283</v>
      </c>
      <c r="P63" s="136" t="s">
        <v>284</v>
      </c>
    </row>
    <row r="65" spans="1:19" ht="16" thickBot="1">
      <c r="A65" s="137" t="s">
        <v>285</v>
      </c>
      <c r="B65" s="138">
        <v>0.91600000000000004</v>
      </c>
      <c r="C65" s="138">
        <v>0.105</v>
      </c>
      <c r="D65" s="138">
        <v>0.29299999999999998</v>
      </c>
      <c r="E65" s="138">
        <v>7.6999999999999999E-2</v>
      </c>
      <c r="F65" s="138">
        <v>0.46600000000000003</v>
      </c>
      <c r="G65" s="138">
        <v>0.14299999999999999</v>
      </c>
      <c r="H65" s="138">
        <v>0.92700000000000005</v>
      </c>
      <c r="I65" s="138"/>
      <c r="J65" s="138"/>
      <c r="K65" s="138">
        <v>3.7999999999999999E-2</v>
      </c>
      <c r="L65" s="354"/>
      <c r="N65" s="138">
        <v>0.92400000000000004</v>
      </c>
      <c r="O65" s="139">
        <v>0.309</v>
      </c>
      <c r="P65" s="139">
        <v>0.10199999999999999</v>
      </c>
    </row>
    <row r="66" spans="1:19" ht="16" thickBot="1">
      <c r="A66" s="140" t="s">
        <v>286</v>
      </c>
      <c r="B66" s="141">
        <v>0.97899999999999998</v>
      </c>
      <c r="C66" s="141">
        <v>0.90700000000000003</v>
      </c>
      <c r="D66" s="141">
        <v>0.99299999999999999</v>
      </c>
      <c r="E66" s="141">
        <v>0.93300000000000005</v>
      </c>
      <c r="F66" s="141">
        <v>0.97099999999999997</v>
      </c>
      <c r="G66" s="141">
        <v>1</v>
      </c>
      <c r="H66" s="141">
        <v>0.95</v>
      </c>
      <c r="I66" s="141"/>
      <c r="J66" s="141"/>
      <c r="K66" s="141">
        <v>0.90600000000000003</v>
      </c>
      <c r="L66" s="357"/>
      <c r="N66" s="141">
        <v>0.97799999999999998</v>
      </c>
      <c r="O66" s="142">
        <v>0.97899999999999998</v>
      </c>
      <c r="P66" s="142">
        <v>0.83599999999999997</v>
      </c>
    </row>
    <row r="67" spans="1:19" ht="16" thickBot="1">
      <c r="A67" s="143" t="s">
        <v>287</v>
      </c>
      <c r="B67" s="144">
        <v>0.88900000000000001</v>
      </c>
      <c r="C67" s="141">
        <v>0.14299999999999999</v>
      </c>
      <c r="D67" s="141">
        <v>0.30299999999999999</v>
      </c>
      <c r="E67" s="141">
        <v>0.91100000000000003</v>
      </c>
      <c r="F67" s="141">
        <v>7.0999999999999994E-2</v>
      </c>
      <c r="G67" s="141">
        <v>3.4000000000000002E-2</v>
      </c>
      <c r="H67" s="141">
        <v>0.29099999999999998</v>
      </c>
      <c r="I67" s="141"/>
      <c r="J67" s="141"/>
      <c r="K67" s="141">
        <v>0.45200000000000001</v>
      </c>
      <c r="L67" s="357"/>
      <c r="N67" s="141">
        <v>0.90400000000000003</v>
      </c>
      <c r="O67" s="142">
        <v>9.6000000000000002E-2</v>
      </c>
      <c r="P67" s="142">
        <v>0.89600000000000002</v>
      </c>
    </row>
    <row r="68" spans="1:19" ht="17" thickTop="1" thickBot="1">
      <c r="A68" s="145" t="s">
        <v>288</v>
      </c>
      <c r="B68" s="146">
        <v>0.03</v>
      </c>
      <c r="C68" s="146">
        <v>0.09</v>
      </c>
      <c r="D68" s="146">
        <v>0.01</v>
      </c>
      <c r="E68" s="146">
        <v>7.0000000000000007E-2</v>
      </c>
      <c r="F68" s="146">
        <v>0.03</v>
      </c>
      <c r="G68" s="146">
        <v>0</v>
      </c>
      <c r="H68" s="146">
        <v>0.05</v>
      </c>
      <c r="I68" s="146"/>
      <c r="J68" s="146"/>
      <c r="K68" s="146">
        <v>0.11</v>
      </c>
      <c r="L68" s="152"/>
      <c r="N68" s="146">
        <v>0.02</v>
      </c>
      <c r="O68" s="147">
        <v>0.02</v>
      </c>
      <c r="P68" s="147">
        <v>0.16</v>
      </c>
    </row>
    <row r="69" spans="1:19" ht="17" thickTop="1" thickBot="1">
      <c r="A69" s="145" t="s">
        <v>289</v>
      </c>
      <c r="B69" s="173">
        <v>0.11</v>
      </c>
      <c r="C69" s="146">
        <v>0.02</v>
      </c>
      <c r="D69" s="146">
        <v>0.04</v>
      </c>
      <c r="E69" s="146">
        <v>0</v>
      </c>
      <c r="F69" s="146">
        <v>0.19</v>
      </c>
      <c r="G69" s="146">
        <v>0.03</v>
      </c>
      <c r="H69" s="146">
        <v>0.02</v>
      </c>
      <c r="I69" s="146"/>
      <c r="J69" s="146"/>
      <c r="K69" s="146">
        <v>0.02</v>
      </c>
      <c r="L69" s="152"/>
      <c r="N69" s="146">
        <v>0.01</v>
      </c>
      <c r="O69" s="147">
        <v>0.05</v>
      </c>
      <c r="P69" s="147">
        <v>0.01</v>
      </c>
    </row>
    <row r="70" spans="1:19" ht="17" thickTop="1" thickBot="1">
      <c r="A70" s="145" t="s">
        <v>290</v>
      </c>
      <c r="B70" s="173">
        <v>0.1</v>
      </c>
      <c r="C70" s="146">
        <v>0.15</v>
      </c>
      <c r="D70" s="146">
        <v>0.17</v>
      </c>
      <c r="E70" s="146">
        <v>0.1</v>
      </c>
      <c r="F70" s="146">
        <v>0.18</v>
      </c>
      <c r="G70" s="146">
        <v>0.02</v>
      </c>
      <c r="H70" s="146">
        <v>0.11</v>
      </c>
      <c r="I70" s="146"/>
      <c r="J70" s="146"/>
      <c r="K70" s="146">
        <v>0.23</v>
      </c>
      <c r="L70" s="152"/>
      <c r="N70" s="146">
        <v>0.12</v>
      </c>
      <c r="O70" s="147">
        <v>0.14000000000000001</v>
      </c>
      <c r="P70" s="147">
        <v>0.14000000000000001</v>
      </c>
    </row>
    <row r="71" spans="1:19" ht="17" thickTop="1" thickBot="1">
      <c r="A71" s="148" t="s">
        <v>291</v>
      </c>
      <c r="B71" s="174">
        <v>0.76</v>
      </c>
      <c r="C71" s="149">
        <v>0.74</v>
      </c>
      <c r="D71" s="149">
        <v>0.79</v>
      </c>
      <c r="E71" s="149">
        <v>0.82</v>
      </c>
      <c r="F71" s="149">
        <v>0.61</v>
      </c>
      <c r="G71" s="149">
        <v>0.82</v>
      </c>
      <c r="H71" s="149">
        <v>0.82</v>
      </c>
      <c r="I71" s="149"/>
      <c r="J71" s="149"/>
      <c r="K71" s="149">
        <v>0.66</v>
      </c>
      <c r="L71" s="152"/>
      <c r="N71" s="149">
        <v>0.85</v>
      </c>
      <c r="O71" s="150">
        <v>0.79</v>
      </c>
      <c r="P71" s="150">
        <v>0.69</v>
      </c>
    </row>
    <row r="72" spans="1:19" ht="16" thickTop="1">
      <c r="A72" s="151" t="s">
        <v>292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N72" s="152"/>
      <c r="O72" s="152"/>
      <c r="P72" s="153">
        <v>0.54263731383696057</v>
      </c>
    </row>
    <row r="73" spans="1:19">
      <c r="A73" s="154" t="s">
        <v>293</v>
      </c>
      <c r="B73" s="155">
        <f t="shared" ref="B73:H73" si="2">B69*$J57</f>
        <v>8.4858035728833853E-2</v>
      </c>
      <c r="C73" s="155">
        <f t="shared" si="2"/>
        <v>1.5428733768878882E-2</v>
      </c>
      <c r="D73" s="155">
        <f t="shared" si="2"/>
        <v>3.0857467537757765E-2</v>
      </c>
      <c r="E73" s="155">
        <f t="shared" si="2"/>
        <v>0</v>
      </c>
      <c r="F73" s="155">
        <f t="shared" si="2"/>
        <v>0.14657297080434939</v>
      </c>
      <c r="G73" s="155">
        <f t="shared" si="2"/>
        <v>2.3143100653318323E-2</v>
      </c>
      <c r="H73" s="155">
        <f t="shared" si="2"/>
        <v>1.5428733768878882E-2</v>
      </c>
      <c r="I73" s="155"/>
      <c r="J73" s="155"/>
      <c r="K73" s="155">
        <f>K69*$J57</f>
        <v>1.5428733768878882E-2</v>
      </c>
      <c r="L73" s="155"/>
      <c r="N73" s="155">
        <f>N69*$J57</f>
        <v>7.7143668844394412E-3</v>
      </c>
      <c r="O73" s="155">
        <f>O69*$J57</f>
        <v>3.8571834422197207E-2</v>
      </c>
      <c r="P73" s="155">
        <f>P69*$J57</f>
        <v>7.7143668844394412E-3</v>
      </c>
    </row>
    <row r="74" spans="1:19">
      <c r="A74" s="154" t="s">
        <v>294</v>
      </c>
      <c r="B74" s="155">
        <f t="shared" ref="B74:H74" si="3">B70*$J55</f>
        <v>5.3090857076072778E-2</v>
      </c>
      <c r="C74" s="155">
        <f t="shared" si="3"/>
        <v>7.9636285614109154E-2</v>
      </c>
      <c r="D74" s="155">
        <f t="shared" si="3"/>
        <v>9.025445702932372E-2</v>
      </c>
      <c r="E74" s="155">
        <f t="shared" si="3"/>
        <v>5.3090857076072778E-2</v>
      </c>
      <c r="F74" s="155">
        <f t="shared" si="3"/>
        <v>9.556354273693099E-2</v>
      </c>
      <c r="G74" s="155">
        <f t="shared" si="3"/>
        <v>1.0618171415214555E-2</v>
      </c>
      <c r="H74" s="155">
        <f t="shared" si="3"/>
        <v>5.8399942783680048E-2</v>
      </c>
      <c r="I74" s="155"/>
      <c r="J74" s="155"/>
      <c r="K74" s="155">
        <f>K70*$J55</f>
        <v>0.12210897127496738</v>
      </c>
      <c r="L74" s="155"/>
      <c r="N74" s="155">
        <f>N70*$J55</f>
        <v>6.3709028491287331E-2</v>
      </c>
      <c r="O74" s="155">
        <f>O70*$J55</f>
        <v>7.4327199906501884E-2</v>
      </c>
      <c r="P74" s="155">
        <f>P70*$J55</f>
        <v>7.4327199906501884E-2</v>
      </c>
    </row>
    <row r="75" spans="1:19">
      <c r="A75" s="154" t="s">
        <v>295</v>
      </c>
      <c r="B75" s="155">
        <f t="shared" ref="B75:H75" si="4">$J56*B71</f>
        <v>0.33778579825164085</v>
      </c>
      <c r="C75" s="155">
        <f t="shared" si="4"/>
        <v>0.32889669829765034</v>
      </c>
      <c r="D75" s="155">
        <f t="shared" si="4"/>
        <v>0.35111944818262669</v>
      </c>
      <c r="E75" s="155">
        <f t="shared" si="4"/>
        <v>0.36445309811361248</v>
      </c>
      <c r="F75" s="155">
        <f t="shared" si="4"/>
        <v>0.27111754859671172</v>
      </c>
      <c r="G75" s="155">
        <f t="shared" si="4"/>
        <v>0.36445309811361248</v>
      </c>
      <c r="H75" s="155">
        <f t="shared" si="4"/>
        <v>0.36445309811361248</v>
      </c>
      <c r="I75" s="155"/>
      <c r="J75" s="155"/>
      <c r="K75" s="155">
        <f>$J56*K71</f>
        <v>0.29334029848168813</v>
      </c>
      <c r="L75" s="155"/>
      <c r="N75" s="155">
        <f>$J56*N71</f>
        <v>0.37778674804459833</v>
      </c>
      <c r="O75" s="155">
        <f>$J56*O71</f>
        <v>0.35111944818262669</v>
      </c>
      <c r="P75" s="155">
        <f>$J56*P71</f>
        <v>0.30667394841267392</v>
      </c>
    </row>
    <row r="76" spans="1:19">
      <c r="A76" s="154" t="s">
        <v>296</v>
      </c>
      <c r="B76" s="155">
        <f>SUM(B73:B75)</f>
        <v>0.47573469105654748</v>
      </c>
      <c r="C76" s="155">
        <f t="shared" ref="C76:P76" si="5">SUM(C73:C75)</f>
        <v>0.42396171768063839</v>
      </c>
      <c r="D76" s="155">
        <f t="shared" si="5"/>
        <v>0.47223137274970817</v>
      </c>
      <c r="E76" s="155">
        <f t="shared" si="5"/>
        <v>0.41754395518968523</v>
      </c>
      <c r="F76" s="155">
        <f t="shared" si="5"/>
        <v>0.51325406213799207</v>
      </c>
      <c r="G76" s="155">
        <f t="shared" si="5"/>
        <v>0.39821437018214534</v>
      </c>
      <c r="H76" s="155">
        <f t="shared" si="5"/>
        <v>0.43828177466617141</v>
      </c>
      <c r="I76" s="155"/>
      <c r="J76" s="155"/>
      <c r="K76" s="155">
        <f>SUM(K73:K75)</f>
        <v>0.4308780035255344</v>
      </c>
      <c r="L76" s="155"/>
      <c r="N76" s="155">
        <f t="shared" si="5"/>
        <v>0.44921014342032511</v>
      </c>
      <c r="O76" s="155">
        <f t="shared" si="5"/>
        <v>0.46401848251132577</v>
      </c>
      <c r="P76" s="155">
        <f t="shared" si="5"/>
        <v>0.38871551520361525</v>
      </c>
      <c r="Q76" s="155">
        <f>(1-P72)*P76*P66</f>
        <v>0.14862740074814412</v>
      </c>
      <c r="R76" s="155"/>
      <c r="S76" s="155"/>
    </row>
    <row r="77" spans="1:19">
      <c r="A77" s="154" t="s">
        <v>297</v>
      </c>
      <c r="B77" s="172">
        <f>B76*B65</f>
        <v>0.43577297700779749</v>
      </c>
      <c r="C77" s="155">
        <f>C76*C65</f>
        <v>4.4515980356467033E-2</v>
      </c>
      <c r="D77" s="155">
        <f t="shared" ref="D77:P77" si="6">D76*D65</f>
        <v>0.13836379221566447</v>
      </c>
      <c r="E77" s="155">
        <f t="shared" si="6"/>
        <v>3.2150884549605761E-2</v>
      </c>
      <c r="F77" s="155">
        <f t="shared" si="6"/>
        <v>0.23917639295630433</v>
      </c>
      <c r="G77" s="155">
        <f t="shared" si="6"/>
        <v>5.6944654936046779E-2</v>
      </c>
      <c r="H77" s="155">
        <f t="shared" si="6"/>
        <v>0.40628720511554089</v>
      </c>
      <c r="I77" s="155"/>
      <c r="J77" s="155"/>
      <c r="K77" s="155">
        <f>K76*K65</f>
        <v>1.6373364133970308E-2</v>
      </c>
      <c r="L77" s="155"/>
      <c r="N77" s="155">
        <f t="shared" si="6"/>
        <v>0.41507017252038042</v>
      </c>
      <c r="O77" s="155">
        <f t="shared" si="6"/>
        <v>0.14338171109599965</v>
      </c>
      <c r="P77" s="155">
        <f t="shared" si="6"/>
        <v>3.9648982550768749E-2</v>
      </c>
    </row>
    <row r="82" spans="1:7">
      <c r="B82" t="s">
        <v>814</v>
      </c>
      <c r="C82" t="s">
        <v>878</v>
      </c>
      <c r="D82" t="s">
        <v>879</v>
      </c>
      <c r="E82" t="s">
        <v>880</v>
      </c>
      <c r="F82" t="s">
        <v>824</v>
      </c>
      <c r="G82" t="s">
        <v>881</v>
      </c>
    </row>
    <row r="83" spans="1:7">
      <c r="A83" t="s">
        <v>813</v>
      </c>
      <c r="B83">
        <v>90</v>
      </c>
      <c r="C83" s="59">
        <f>B83/1.12</f>
        <v>80.357142857142847</v>
      </c>
      <c r="E83">
        <f>GlobalFactorsADsensitivity.csv!F42</f>
        <v>0.65</v>
      </c>
      <c r="F83" s="85">
        <f>C83*E83</f>
        <v>52.232142857142854</v>
      </c>
      <c r="G83" s="286">
        <f>F83/F83</f>
        <v>1</v>
      </c>
    </row>
    <row r="84" spans="1:7">
      <c r="A84" t="s">
        <v>826</v>
      </c>
      <c r="B84">
        <v>40</v>
      </c>
      <c r="C84" s="59">
        <f>B84/1.12</f>
        <v>35.714285714285708</v>
      </c>
      <c r="D84" s="65">
        <f>C84/2.3</f>
        <v>15.527950310559005</v>
      </c>
      <c r="E84">
        <v>1</v>
      </c>
      <c r="F84" s="85">
        <f>D84*E84</f>
        <v>15.527950310559005</v>
      </c>
      <c r="G84" s="286">
        <f>F84/F83</f>
        <v>0.29728725380899296</v>
      </c>
    </row>
    <row r="85" spans="1:7">
      <c r="A85" t="s">
        <v>825</v>
      </c>
      <c r="B85">
        <v>40</v>
      </c>
      <c r="C85" s="59">
        <f>B85/1.12</f>
        <v>35.714285714285708</v>
      </c>
      <c r="D85" s="65">
        <f>C85/1.2</f>
        <v>29.761904761904759</v>
      </c>
      <c r="E85">
        <v>1</v>
      </c>
      <c r="F85" s="85">
        <f>D85*E85</f>
        <v>29.761904761904759</v>
      </c>
      <c r="G85" s="286">
        <f>F85/F83</f>
        <v>0.56980056980056981</v>
      </c>
    </row>
    <row r="86" spans="1:7">
      <c r="A86" t="s">
        <v>815</v>
      </c>
    </row>
    <row r="87" spans="1:7">
      <c r="A87" t="s">
        <v>816</v>
      </c>
    </row>
    <row r="88" spans="1:7">
      <c r="A88" t="s">
        <v>817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13" sqref="B13"/>
    </sheetView>
  </sheetViews>
  <sheetFormatPr baseColWidth="10" defaultColWidth="11" defaultRowHeight="15" x14ac:dyDescent="0"/>
  <cols>
    <col min="1" max="1" width="19.6640625" customWidth="1"/>
    <col min="4" max="4" width="11" customWidth="1"/>
    <col min="9" max="9" width="21" customWidth="1"/>
  </cols>
  <sheetData>
    <row r="1" spans="1:12">
      <c r="A1" t="s">
        <v>951</v>
      </c>
    </row>
    <row r="2" spans="1:12">
      <c r="A2" t="s">
        <v>952</v>
      </c>
    </row>
    <row r="3" spans="1:12">
      <c r="A3" t="s">
        <v>953</v>
      </c>
    </row>
    <row r="4" spans="1:12" ht="45">
      <c r="A4" s="347"/>
      <c r="B4" s="347" t="s">
        <v>152</v>
      </c>
      <c r="C4" s="347" t="s">
        <v>954</v>
      </c>
      <c r="D4" s="347" t="s">
        <v>963</v>
      </c>
      <c r="E4" s="347" t="s">
        <v>956</v>
      </c>
      <c r="F4" s="347" t="s">
        <v>957</v>
      </c>
      <c r="G4" s="347" t="s">
        <v>958</v>
      </c>
      <c r="H4" s="347" t="s">
        <v>962</v>
      </c>
    </row>
    <row r="5" spans="1:12">
      <c r="A5" s="348" t="s">
        <v>729</v>
      </c>
      <c r="B5" s="351">
        <f>Parameters!I26*'Animal Feed lit'!$B$22+'Animal Feed lit'!$B$23*2.25*Parameters!H26+Parameters!J26*'Animal Feed lit'!$B$24</f>
        <v>0.87530000000000008</v>
      </c>
      <c r="C5" s="347" t="s">
        <v>955</v>
      </c>
      <c r="D5" s="349">
        <f>Parameters!M26</f>
        <v>0.84099999999999997</v>
      </c>
      <c r="E5" s="351"/>
      <c r="F5" s="351">
        <f>0.8</f>
        <v>0.8</v>
      </c>
      <c r="G5" s="351"/>
      <c r="H5" s="351"/>
    </row>
    <row r="6" spans="1:12">
      <c r="A6" s="348" t="s">
        <v>47</v>
      </c>
      <c r="B6" s="351">
        <f>Parameters!I27*'Animal Feed lit'!$B$22+'Animal Feed lit'!$B$23*2.25*Parameters!H27+Parameters!J27*'Animal Feed lit'!$D$24</f>
        <v>0.81046153846153846</v>
      </c>
      <c r="C6" s="350" t="s">
        <v>900</v>
      </c>
      <c r="D6" s="349">
        <f>Parameters!M27</f>
        <v>0.98</v>
      </c>
      <c r="E6" s="351">
        <f>0.78</f>
        <v>0.78</v>
      </c>
      <c r="F6" s="352"/>
      <c r="G6" s="352">
        <v>0.81</v>
      </c>
      <c r="H6" s="352">
        <v>0.78</v>
      </c>
      <c r="L6" s="58"/>
    </row>
    <row r="7" spans="1:12">
      <c r="A7" s="348" t="s">
        <v>472</v>
      </c>
      <c r="B7" s="351">
        <f>Parameters!I28*'Animal Feed lit'!$B$22+'Animal Feed lit'!$B$23*2.25*Parameters!H28+Parameters!J28*'Animal Feed lit'!$C$24</f>
        <v>0.694855</v>
      </c>
      <c r="C7" s="347" t="s">
        <v>901</v>
      </c>
      <c r="D7" s="349">
        <f>Parameters!M28</f>
        <v>0.48511044718727175</v>
      </c>
      <c r="E7" s="351"/>
      <c r="F7" s="351">
        <f>0.64</f>
        <v>0.64</v>
      </c>
      <c r="G7" s="351"/>
      <c r="H7" s="351"/>
      <c r="K7" s="59"/>
    </row>
    <row r="8" spans="1:12">
      <c r="A8" s="348" t="s">
        <v>97</v>
      </c>
      <c r="B8" s="351">
        <f>Parameters!I29*'Animal Feed lit'!$B$22+'Animal Feed lit'!$B$23*2.25*Parameters!H29+Parameters!J29*'Animal Feed lit'!$C$24</f>
        <v>0.66959999999999986</v>
      </c>
      <c r="C8" s="347" t="s">
        <v>901</v>
      </c>
      <c r="D8" s="349">
        <f>Parameters!M29</f>
        <v>0.50933786078098475</v>
      </c>
      <c r="E8" s="351">
        <f>0.74</f>
        <v>0.74</v>
      </c>
      <c r="F8" s="353">
        <f>0.7</f>
        <v>0.7</v>
      </c>
      <c r="G8" s="353"/>
      <c r="H8" s="353"/>
      <c r="K8" s="59"/>
      <c r="L8" s="60"/>
    </row>
    <row r="9" spans="1:12">
      <c r="A9" s="348" t="s">
        <v>730</v>
      </c>
      <c r="B9" s="351">
        <f>Parameters!I30*'Animal Feed lit'!$B$22+'Animal Feed lit'!$B$23*2.25*Parameters!H30+Parameters!J30*'Animal Feed lit'!$B$24</f>
        <v>0.85050000000000003</v>
      </c>
      <c r="C9" s="347" t="s">
        <v>955</v>
      </c>
      <c r="D9" s="349">
        <f>Parameters!M30</f>
        <v>0.92341659991782632</v>
      </c>
      <c r="E9" s="351">
        <f>0.67</f>
        <v>0.67</v>
      </c>
      <c r="F9" s="351">
        <f>0.85</f>
        <v>0.85</v>
      </c>
      <c r="G9" s="351">
        <v>0.73</v>
      </c>
      <c r="H9" s="351"/>
      <c r="K9" s="59"/>
    </row>
    <row r="10" spans="1:12">
      <c r="A10" s="348" t="s">
        <v>274</v>
      </c>
      <c r="B10" s="351">
        <f>Parameters!I31*'Animal Feed lit'!$B$22+'Animal Feed lit'!$B$23*2.25*Parameters!H31+Parameters!J31*'Animal Feed lit'!$B$24</f>
        <v>0.84540000000000004</v>
      </c>
      <c r="C10" s="347" t="s">
        <v>955</v>
      </c>
      <c r="D10" s="349">
        <f>Parameters!M31</f>
        <v>0.94</v>
      </c>
      <c r="E10" s="351">
        <f>0.89</f>
        <v>0.89</v>
      </c>
      <c r="F10" s="351">
        <f>0.9</f>
        <v>0.9</v>
      </c>
      <c r="G10" s="351">
        <v>0.89</v>
      </c>
      <c r="H10" s="351"/>
    </row>
    <row r="11" spans="1:12">
      <c r="A11" s="348" t="s">
        <v>275</v>
      </c>
      <c r="B11" s="351">
        <f>Parameters!I32*'Animal Feed lit'!$B$22+'Animal Feed lit'!$B$23*2.25*Parameters!H32+Parameters!J32*'Animal Feed lit'!$B$24</f>
        <v>0.71109999999999995</v>
      </c>
      <c r="C11" s="347" t="s">
        <v>900</v>
      </c>
      <c r="D11" s="349">
        <f>Parameters!M32</f>
        <v>0.98179823692937196</v>
      </c>
      <c r="E11" s="351">
        <f>0.72</f>
        <v>0.72</v>
      </c>
      <c r="F11" s="351"/>
      <c r="G11" s="351"/>
      <c r="H11" s="351"/>
    </row>
    <row r="12" spans="1:12" ht="24">
      <c r="A12" s="348" t="s">
        <v>731</v>
      </c>
      <c r="B12" s="351">
        <f>Parameters!I33*'Animal Feed lit'!$B$22+'Animal Feed lit'!$B$28*2.25*Parameters!H30+Parameters!J33*'Animal Feed lit'!$B$24</f>
        <v>0.72910000000000008</v>
      </c>
      <c r="C12" s="347" t="s">
        <v>955</v>
      </c>
      <c r="D12" s="349">
        <f>Parameters!M33</f>
        <v>0.79927679923149053</v>
      </c>
      <c r="E12" s="351"/>
      <c r="F12" s="351">
        <f>0.2</f>
        <v>0.2</v>
      </c>
      <c r="G12" s="351"/>
      <c r="H12" s="351"/>
    </row>
    <row r="13" spans="1:12">
      <c r="A13" s="348" t="s">
        <v>277</v>
      </c>
      <c r="B13" s="351" t="e">
        <f>Parameters!I34*'Animal Feed lit'!$B$22+'Animal Feed lit'!$B$28*2.25*Parameters!#REF!+Parameters!J34*'Animal Feed lit'!$D$24</f>
        <v>#REF!</v>
      </c>
      <c r="C13" s="347" t="s">
        <v>900</v>
      </c>
      <c r="D13" s="349">
        <f>Parameters!M34</f>
        <v>0.97735385922437001</v>
      </c>
      <c r="E13" s="351"/>
      <c r="F13" s="351"/>
      <c r="G13" s="351"/>
      <c r="H13" s="351"/>
    </row>
    <row r="14" spans="1:12">
      <c r="A14" s="348" t="s">
        <v>278</v>
      </c>
      <c r="B14" s="351">
        <f>Parameters!I35*'Animal Feed lit'!$B$22+'Animal Feed lit'!$B$23*2.25*Parameters!H35+Parameters!J35*'Animal Feed lit'!$B$24</f>
        <v>0.94639999999999991</v>
      </c>
      <c r="C14" s="347" t="s">
        <v>955</v>
      </c>
      <c r="D14" s="349">
        <f>Parameters!M35</f>
        <v>0.877478471550592</v>
      </c>
      <c r="E14" s="351"/>
      <c r="F14" s="351"/>
      <c r="G14" s="351"/>
      <c r="H14" s="351"/>
    </row>
    <row r="15" spans="1:12" ht="16" customHeight="1">
      <c r="A15" s="348" t="s">
        <v>417</v>
      </c>
      <c r="B15" s="351">
        <f>Parameters!I36*'Animal Feed lit'!$B$22+'Animal Feed lit'!$B$23*2.25*Parameters!H36+Parameters!J36*'Animal Feed lit'!$C$24</f>
        <v>0.56299999999999994</v>
      </c>
      <c r="C15" s="347" t="s">
        <v>901</v>
      </c>
      <c r="D15" s="349">
        <f>Parameters!M36</f>
        <v>0.56096498593100275</v>
      </c>
      <c r="E15" s="351"/>
      <c r="F15" s="351"/>
      <c r="G15" s="351"/>
      <c r="H15" s="351"/>
    </row>
    <row r="16" spans="1:12" s="1" customFormat="1">
      <c r="A16" s="348" t="s">
        <v>732</v>
      </c>
      <c r="B16" s="351">
        <f>Parameters!I37*'Animal Feed lit'!$B$22+'Animal Feed lit'!$B$23*2.25*Parameters!H37+Parameters!J37*'Animal Feed lit'!$B$24</f>
        <v>0.73629999999999995</v>
      </c>
      <c r="C16" s="347" t="s">
        <v>955</v>
      </c>
      <c r="D16" s="349">
        <f>Parameters!M37</f>
        <v>0.82380040804253563</v>
      </c>
      <c r="E16" s="351"/>
      <c r="F16" s="351"/>
      <c r="G16" s="351"/>
      <c r="H16" s="351"/>
    </row>
    <row r="17" spans="1:9" ht="17">
      <c r="A17" s="348" t="s">
        <v>733</v>
      </c>
      <c r="B17" s="351">
        <f>Parameters!I38*'Animal Feed lit'!$B$22+'Animal Feed lit'!$B$23*2.25*Parameters!H38+Parameters!J38*'Animal Feed lit'!$C$24</f>
        <v>0.62750000000000006</v>
      </c>
      <c r="C17" s="347" t="s">
        <v>955</v>
      </c>
      <c r="D17" s="349">
        <f>Parameters!M38</f>
        <v>0.90450759080277232</v>
      </c>
      <c r="E17" s="351"/>
      <c r="F17" s="351"/>
      <c r="G17" s="351"/>
      <c r="H17" s="351">
        <v>0.51</v>
      </c>
      <c r="I17" s="64"/>
    </row>
    <row r="18" spans="1:9">
      <c r="A18" s="348" t="s">
        <v>734</v>
      </c>
      <c r="B18" s="351">
        <f>Parameters!I39*'Animal Feed lit'!$B$22+'Animal Feed lit'!$B$23*2.25*Parameters!H39+Parameters!J39*'Animal Feed lit'!$B$24</f>
        <v>0.749</v>
      </c>
      <c r="C18" s="347" t="s">
        <v>955</v>
      </c>
      <c r="D18" s="349">
        <f>Parameters!M39</f>
        <v>0.73736998705248713</v>
      </c>
      <c r="E18" s="351"/>
      <c r="F18" s="351">
        <f>0.76</f>
        <v>0.76</v>
      </c>
      <c r="G18" s="351"/>
      <c r="H18" s="351"/>
    </row>
    <row r="19" spans="1:9" ht="24">
      <c r="A19" s="348" t="s">
        <v>735</v>
      </c>
      <c r="B19" s="351">
        <f>Parameters!I40*'Animal Feed lit'!$B$22+'Animal Feed lit'!$B$23*2.25*Parameters!H40+Parameters!J40*'Animal Feed lit'!$D$24</f>
        <v>0.92000000000000015</v>
      </c>
      <c r="C19" s="347" t="s">
        <v>900</v>
      </c>
      <c r="D19" s="349">
        <f>Parameters!M40</f>
        <v>0.99060618444367532</v>
      </c>
      <c r="E19" s="351"/>
      <c r="F19" s="351"/>
      <c r="G19" s="351"/>
      <c r="H19" s="351"/>
    </row>
    <row r="20" spans="1:9">
      <c r="A20" s="61"/>
      <c r="B20" s="62"/>
      <c r="C20" s="62"/>
      <c r="D20" s="346"/>
    </row>
    <row r="21" spans="1:9">
      <c r="A21" s="61"/>
      <c r="B21" s="62" t="s">
        <v>963</v>
      </c>
      <c r="C21" s="62" t="s">
        <v>965</v>
      </c>
      <c r="D21" s="346" t="s">
        <v>966</v>
      </c>
    </row>
    <row r="22" spans="1:9">
      <c r="A22" s="61" t="s">
        <v>959</v>
      </c>
      <c r="B22" s="62">
        <v>0.85</v>
      </c>
      <c r="C22" s="62"/>
      <c r="D22" s="346"/>
    </row>
    <row r="23" spans="1:9">
      <c r="A23" s="61" t="s">
        <v>960</v>
      </c>
      <c r="B23" s="62">
        <v>0.8</v>
      </c>
      <c r="C23" s="62"/>
      <c r="D23" s="346"/>
    </row>
    <row r="24" spans="1:9">
      <c r="A24" s="61" t="s">
        <v>961</v>
      </c>
      <c r="B24" s="62">
        <v>0.74</v>
      </c>
      <c r="C24" s="62">
        <v>0.6</v>
      </c>
      <c r="D24">
        <v>0.9</v>
      </c>
    </row>
    <row r="25" spans="1:9">
      <c r="A25" s="61"/>
      <c r="B25" s="358"/>
      <c r="C25" s="358"/>
      <c r="D25" s="346"/>
    </row>
    <row r="26" spans="1:9">
      <c r="A26" s="61"/>
      <c r="B26" s="358"/>
      <c r="C26" s="358"/>
      <c r="D26" s="346"/>
    </row>
    <row r="27" spans="1:9">
      <c r="A27" s="61"/>
      <c r="B27" s="62"/>
      <c r="C27" s="62"/>
      <c r="D27" s="346"/>
    </row>
    <row r="28" spans="1:9">
      <c r="A28" s="61"/>
      <c r="B28" s="62"/>
      <c r="C28" s="62"/>
      <c r="D28" s="346"/>
    </row>
    <row r="29" spans="1:9">
      <c r="A29" s="61"/>
      <c r="B29" s="62"/>
      <c r="C29" s="62"/>
      <c r="D29" s="346"/>
    </row>
    <row r="30" spans="1:9">
      <c r="A30" s="61"/>
      <c r="B30" s="62"/>
      <c r="C30" s="62"/>
      <c r="D30" s="346"/>
    </row>
    <row r="31" spans="1:9">
      <c r="A31" s="61"/>
      <c r="B31" s="62"/>
      <c r="C31" s="62"/>
      <c r="D31" s="346"/>
    </row>
    <row r="32" spans="1:9">
      <c r="A32" s="61"/>
      <c r="B32" s="62"/>
      <c r="C32" s="62"/>
      <c r="D32" s="346"/>
    </row>
    <row r="33" spans="1:4">
      <c r="A33" s="61"/>
      <c r="B33" s="62"/>
      <c r="C33" s="62"/>
      <c r="D33" s="346"/>
    </row>
    <row r="34" spans="1:4">
      <c r="A34" s="61"/>
      <c r="B34" s="62"/>
      <c r="C34" s="62"/>
      <c r="D34" s="346"/>
    </row>
    <row r="35" spans="1:4">
      <c r="A35" s="61"/>
      <c r="B35" s="62"/>
      <c r="C35" s="62"/>
      <c r="D35" s="346"/>
    </row>
    <row r="36" spans="1:4">
      <c r="A36" s="61"/>
      <c r="B36" s="62"/>
      <c r="C36" s="62"/>
      <c r="D36" s="346"/>
    </row>
  </sheetData>
  <mergeCells count="2">
    <mergeCell ref="B25:B26"/>
    <mergeCell ref="C25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631</v>
      </c>
    </row>
    <row r="2" spans="1:14">
      <c r="A2" t="s">
        <v>138</v>
      </c>
    </row>
    <row r="3" spans="1:14" s="57" customFormat="1">
      <c r="A3" s="57" t="s">
        <v>102</v>
      </c>
      <c r="B3" s="57" t="s">
        <v>560</v>
      </c>
      <c r="C3" s="57" t="s">
        <v>677</v>
      </c>
      <c r="D3" s="57" t="s">
        <v>53</v>
      </c>
      <c r="E3" s="57" t="s">
        <v>677</v>
      </c>
      <c r="F3" s="57" t="s">
        <v>139</v>
      </c>
      <c r="G3" s="57" t="s">
        <v>678</v>
      </c>
      <c r="H3" s="57" t="s">
        <v>679</v>
      </c>
      <c r="I3" s="57" t="s">
        <v>678</v>
      </c>
      <c r="J3" s="57" t="s">
        <v>140</v>
      </c>
      <c r="K3" s="57" t="s">
        <v>680</v>
      </c>
      <c r="L3" s="57" t="s">
        <v>682</v>
      </c>
    </row>
    <row r="4" spans="1:14">
      <c r="A4" t="s">
        <v>137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64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685</v>
      </c>
    </row>
    <row r="5" spans="1:14">
      <c r="A5" t="s">
        <v>629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64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685</v>
      </c>
      <c r="N5" t="s">
        <v>691</v>
      </c>
    </row>
    <row r="6" spans="1:14">
      <c r="A6" t="s">
        <v>136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64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685</v>
      </c>
    </row>
    <row r="7" spans="1:14">
      <c r="A7" t="s">
        <v>684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64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686</v>
      </c>
      <c r="N7" t="s">
        <v>701</v>
      </c>
    </row>
    <row r="8" spans="1:14">
      <c r="A8" t="s">
        <v>681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64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685</v>
      </c>
    </row>
    <row r="9" spans="1:14">
      <c r="A9" t="s">
        <v>683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64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685</v>
      </c>
    </row>
    <row r="10" spans="1:14" s="57" customFormat="1">
      <c r="A10" s="57" t="s">
        <v>103</v>
      </c>
    </row>
    <row r="11" spans="1:14">
      <c r="A11" t="s">
        <v>627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64">
        <f>F11/J11</f>
        <v>5.6505576208178435E-2</v>
      </c>
      <c r="J11">
        <v>134.5</v>
      </c>
      <c r="K11">
        <f>J11-B11-D11-F11-H11</f>
        <v>28.9</v>
      </c>
      <c r="M11" t="s">
        <v>687</v>
      </c>
    </row>
    <row r="12" spans="1:14">
      <c r="A12" t="s">
        <v>688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64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692</v>
      </c>
    </row>
    <row r="13" spans="1:14">
      <c r="A13" t="s">
        <v>689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64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690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64">
        <f>H14/J14</f>
        <v>0</v>
      </c>
      <c r="J14">
        <v>190</v>
      </c>
      <c r="K14">
        <f>J14-B14-D14-F14-H14</f>
        <v>138.9</v>
      </c>
      <c r="N14" t="s">
        <v>702</v>
      </c>
    </row>
    <row r="15" spans="1:14" s="57" customFormat="1">
      <c r="A15" s="57" t="s">
        <v>603</v>
      </c>
    </row>
    <row r="16" spans="1:14" s="6" customFormat="1"/>
    <row r="17" spans="1:14" s="6" customFormat="1">
      <c r="A17" s="6" t="s">
        <v>693</v>
      </c>
      <c r="N17" s="6" t="s">
        <v>694</v>
      </c>
    </row>
    <row r="18" spans="1:14">
      <c r="A18" t="s">
        <v>518</v>
      </c>
      <c r="N18" t="s">
        <v>695</v>
      </c>
    </row>
    <row r="19" spans="1:14">
      <c r="A19" t="s">
        <v>696</v>
      </c>
      <c r="N19" t="s">
        <v>697</v>
      </c>
    </row>
    <row r="20" spans="1:14" ht="34" customHeight="1">
      <c r="N20" t="s">
        <v>698</v>
      </c>
    </row>
    <row r="21" spans="1:14">
      <c r="A21" t="s">
        <v>700</v>
      </c>
      <c r="N21" t="s">
        <v>699</v>
      </c>
    </row>
    <row r="23" spans="1:14">
      <c r="A23" t="s">
        <v>672</v>
      </c>
    </row>
    <row r="24" spans="1:14">
      <c r="B24" t="s">
        <v>213</v>
      </c>
    </row>
    <row r="25" spans="1:14">
      <c r="A25" t="s">
        <v>670</v>
      </c>
      <c r="B25" t="s">
        <v>53</v>
      </c>
      <c r="C25" t="s">
        <v>52</v>
      </c>
      <c r="D25" t="s">
        <v>666</v>
      </c>
      <c r="E25" t="s">
        <v>671</v>
      </c>
    </row>
    <row r="26" spans="1:14">
      <c r="A26" t="s">
        <v>667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668</v>
      </c>
      <c r="B27">
        <v>11.9</v>
      </c>
      <c r="C27">
        <v>0.252</v>
      </c>
      <c r="D27">
        <v>1.3</v>
      </c>
    </row>
    <row r="28" spans="1:14">
      <c r="A28" t="s">
        <v>669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141</v>
      </c>
    </row>
    <row r="30" spans="1:14">
      <c r="A30" t="s">
        <v>628</v>
      </c>
      <c r="C30" t="s">
        <v>140</v>
      </c>
      <c r="D30" t="s">
        <v>628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137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142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143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7" t="s">
        <v>632</v>
      </c>
      <c r="B36" s="6"/>
      <c r="C36" s="6"/>
      <c r="D36" s="57" t="s">
        <v>630</v>
      </c>
      <c r="E36" s="57" t="s">
        <v>631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4" sqref="B4:D4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  <col min="4" max="4" width="13.33203125" customWidth="1"/>
  </cols>
  <sheetData>
    <row r="1" spans="1:7">
      <c r="A1" t="s">
        <v>899</v>
      </c>
      <c r="B1" s="359" t="s">
        <v>912</v>
      </c>
      <c r="C1" s="359"/>
      <c r="D1" s="359"/>
      <c r="E1" s="359" t="s">
        <v>913</v>
      </c>
      <c r="F1" s="359"/>
      <c r="G1" s="359"/>
    </row>
    <row r="2" spans="1:7">
      <c r="A2" s="57" t="s">
        <v>52</v>
      </c>
      <c r="B2" t="s">
        <v>901</v>
      </c>
      <c r="C2" t="s">
        <v>900</v>
      </c>
      <c r="D2" t="s">
        <v>907</v>
      </c>
      <c r="E2" t="s">
        <v>906</v>
      </c>
      <c r="F2" t="s">
        <v>905</v>
      </c>
      <c r="G2" t="s">
        <v>907</v>
      </c>
    </row>
    <row r="3" spans="1:7">
      <c r="A3" t="s">
        <v>902</v>
      </c>
      <c r="B3">
        <v>1.2E-2</v>
      </c>
      <c r="C3">
        <v>2.4E-2</v>
      </c>
      <c r="D3">
        <f>(C3+B3)/2</f>
        <v>1.8000000000000002E-2</v>
      </c>
    </row>
    <row r="4" spans="1:7">
      <c r="A4" t="s">
        <v>903</v>
      </c>
      <c r="B4">
        <v>1.7000000000000001E-2</v>
      </c>
      <c r="C4">
        <v>5.0999999999999997E-2</v>
      </c>
      <c r="D4">
        <f>(C4+B4)/2</f>
        <v>3.4000000000000002E-2</v>
      </c>
      <c r="E4">
        <f>B4-B3</f>
        <v>5.000000000000001E-3</v>
      </c>
      <c r="F4">
        <f>C4-C3</f>
        <v>2.6999999999999996E-2</v>
      </c>
      <c r="G4" s="59">
        <f>D4-D3</f>
        <v>1.6E-2</v>
      </c>
    </row>
    <row r="5" spans="1:7">
      <c r="A5" t="s">
        <v>904</v>
      </c>
      <c r="B5">
        <v>1.7999999999999999E-2</v>
      </c>
      <c r="C5">
        <v>5.0999999999999997E-2</v>
      </c>
      <c r="D5">
        <f>(C5+B5)/2</f>
        <v>3.4499999999999996E-2</v>
      </c>
      <c r="E5">
        <f>B5-B3</f>
        <v>5.9999999999999984E-3</v>
      </c>
      <c r="F5">
        <f>C5-C3</f>
        <v>2.6999999999999996E-2</v>
      </c>
      <c r="G5" s="59">
        <f>D5-D3</f>
        <v>1.6499999999999994E-2</v>
      </c>
    </row>
    <row r="6" spans="1:7">
      <c r="A6" s="57" t="s">
        <v>910</v>
      </c>
      <c r="D6">
        <f>(C6-B6)/2</f>
        <v>0</v>
      </c>
    </row>
    <row r="7" spans="1:7">
      <c r="A7" t="s">
        <v>902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903</v>
      </c>
      <c r="B8">
        <v>2.1999999999999999E-2</v>
      </c>
      <c r="C8">
        <v>0.39200000000000002</v>
      </c>
      <c r="D8">
        <f>(C8+B8)/2</f>
        <v>0.20700000000000002</v>
      </c>
      <c r="E8">
        <f>B8-B7</f>
        <v>1.6999999999999998E-2</v>
      </c>
      <c r="F8">
        <f>C8-C7</f>
        <v>0.255</v>
      </c>
      <c r="G8" s="59">
        <f>D8-D7</f>
        <v>0.13600000000000001</v>
      </c>
    </row>
    <row r="9" spans="1:7">
      <c r="A9" t="s">
        <v>904</v>
      </c>
      <c r="B9">
        <v>8.9999999999999993E-3</v>
      </c>
      <c r="C9">
        <v>0.19600000000000001</v>
      </c>
      <c r="D9">
        <f>(C9+B9)/2</f>
        <v>0.10250000000000001</v>
      </c>
      <c r="E9">
        <f>B9-B7</f>
        <v>3.9999999999999992E-3</v>
      </c>
      <c r="F9">
        <f>C9-C7</f>
        <v>5.8999999999999997E-2</v>
      </c>
      <c r="G9" s="59">
        <f>D9-D7</f>
        <v>3.15E-2</v>
      </c>
    </row>
    <row r="10" spans="1:7">
      <c r="A10" s="313" t="s">
        <v>908</v>
      </c>
      <c r="G10" s="59"/>
    </row>
    <row r="11" spans="1:7">
      <c r="A11" t="s">
        <v>902</v>
      </c>
      <c r="B11">
        <v>0</v>
      </c>
      <c r="C11">
        <v>6.9999999999999999E-4</v>
      </c>
      <c r="D11">
        <f>(C11+B11)/2</f>
        <v>3.5E-4</v>
      </c>
      <c r="G11" s="59"/>
    </row>
    <row r="12" spans="1:7">
      <c r="A12" t="s">
        <v>903</v>
      </c>
      <c r="B12">
        <v>7.3999999999999996E-2</v>
      </c>
      <c r="C12">
        <v>7.5999999999999998E-2</v>
      </c>
      <c r="D12">
        <f>(C12+B12)/2</f>
        <v>7.4999999999999997E-2</v>
      </c>
      <c r="E12">
        <f>B12-B11</f>
        <v>7.3999999999999996E-2</v>
      </c>
      <c r="F12">
        <f>C12-C11</f>
        <v>7.5299999999999992E-2</v>
      </c>
      <c r="G12" s="59">
        <f>D12-D11</f>
        <v>7.4649999999999994E-2</v>
      </c>
    </row>
    <row r="13" spans="1:7">
      <c r="A13" t="s">
        <v>904</v>
      </c>
      <c r="B13">
        <v>1.6E-2</v>
      </c>
      <c r="C13">
        <v>1.6E-2</v>
      </c>
      <c r="D13">
        <f>(C13+B13)/2</f>
        <v>1.6E-2</v>
      </c>
      <c r="E13">
        <f>B13-B11</f>
        <v>1.6E-2</v>
      </c>
      <c r="F13">
        <f>C13-C11</f>
        <v>1.5300000000000001E-2</v>
      </c>
      <c r="G13" s="59">
        <f>D13-D11</f>
        <v>1.5650000000000001E-2</v>
      </c>
    </row>
    <row r="14" spans="1:7">
      <c r="A14" s="313" t="s">
        <v>911</v>
      </c>
    </row>
    <row r="15" spans="1:7">
      <c r="A15" t="s">
        <v>902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903</v>
      </c>
      <c r="B16">
        <v>0.17199999999999999</v>
      </c>
      <c r="C16">
        <v>0.61699999999999999</v>
      </c>
      <c r="D16">
        <f>(C16+B16)/2</f>
        <v>0.39449999999999996</v>
      </c>
      <c r="E16">
        <f>B16-B15</f>
        <v>0.11199999999999999</v>
      </c>
      <c r="F16">
        <f>C16-C15</f>
        <v>0.22999999999999998</v>
      </c>
      <c r="G16" s="59">
        <f>D16-D15</f>
        <v>0.17099999999999996</v>
      </c>
    </row>
    <row r="17" spans="1:7">
      <c r="A17" t="s">
        <v>904</v>
      </c>
      <c r="B17">
        <v>0.127</v>
      </c>
      <c r="C17">
        <v>0.58799999999999997</v>
      </c>
      <c r="D17">
        <f>(C17+B17)/2</f>
        <v>0.35749999999999998</v>
      </c>
      <c r="E17">
        <f>B17-B15</f>
        <v>6.7000000000000004E-2</v>
      </c>
      <c r="F17">
        <f>C17-C15</f>
        <v>0.20099999999999996</v>
      </c>
      <c r="G17" s="59">
        <f>D17-D15</f>
        <v>0.13399999999999998</v>
      </c>
    </row>
    <row r="18" spans="1:7">
      <c r="A18" s="57" t="s">
        <v>909</v>
      </c>
    </row>
    <row r="19" spans="1:7">
      <c r="A19" t="s">
        <v>902</v>
      </c>
      <c r="B19">
        <f>B11+B15</f>
        <v>0.06</v>
      </c>
      <c r="C19">
        <f>C11+C15</f>
        <v>0.38769999999999999</v>
      </c>
      <c r="D19">
        <f>D11+D15</f>
        <v>0.22384999999999999</v>
      </c>
    </row>
    <row r="20" spans="1:7">
      <c r="A20" t="s">
        <v>903</v>
      </c>
      <c r="B20">
        <f t="shared" ref="B20:D21" si="0">B12+B16</f>
        <v>0.246</v>
      </c>
      <c r="C20">
        <f t="shared" si="0"/>
        <v>0.69299999999999995</v>
      </c>
      <c r="D20">
        <f t="shared" si="0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904</v>
      </c>
      <c r="B21">
        <f t="shared" si="0"/>
        <v>0.14300000000000002</v>
      </c>
      <c r="C21">
        <f t="shared" si="0"/>
        <v>0.60399999999999998</v>
      </c>
      <c r="D21">
        <f t="shared" si="0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7" t="s">
        <v>914</v>
      </c>
    </row>
    <row r="23" spans="1:7">
      <c r="A23" t="s">
        <v>902</v>
      </c>
      <c r="B23">
        <f>B19+B7</f>
        <v>6.5000000000000002E-2</v>
      </c>
      <c r="C23">
        <f>C19+C7</f>
        <v>0.52469999999999994</v>
      </c>
      <c r="D23">
        <f>D19+D7</f>
        <v>0.29485</v>
      </c>
    </row>
    <row r="24" spans="1:7">
      <c r="A24" t="s">
        <v>903</v>
      </c>
      <c r="B24">
        <f t="shared" ref="B24:D25" si="1">B20+B8</f>
        <v>0.26800000000000002</v>
      </c>
      <c r="C24">
        <v>1</v>
      </c>
      <c r="D24">
        <f t="shared" si="1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904</v>
      </c>
      <c r="B25">
        <f t="shared" si="1"/>
        <v>0.15200000000000002</v>
      </c>
      <c r="C25">
        <f t="shared" si="1"/>
        <v>0.8</v>
      </c>
      <c r="D25">
        <f t="shared" si="1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7" t="s">
        <v>666</v>
      </c>
    </row>
    <row r="28" spans="1:7">
      <c r="A28" t="s">
        <v>902</v>
      </c>
      <c r="B28">
        <v>0</v>
      </c>
      <c r="C28">
        <v>0</v>
      </c>
      <c r="D28">
        <v>0</v>
      </c>
      <c r="E28">
        <v>0</v>
      </c>
    </row>
    <row r="29" spans="1:7">
      <c r="A29" t="s">
        <v>903</v>
      </c>
      <c r="E29">
        <v>1.6E-2</v>
      </c>
    </row>
    <row r="30" spans="1:7">
      <c r="A30" t="s">
        <v>904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35" workbookViewId="0">
      <selection activeCell="E51" sqref="E51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7" customFormat="1">
      <c r="B1" s="57" t="s">
        <v>407</v>
      </c>
      <c r="C1" s="57" t="s">
        <v>14</v>
      </c>
      <c r="D1" s="57" t="s">
        <v>528</v>
      </c>
      <c r="E1" s="57" t="s">
        <v>539</v>
      </c>
      <c r="F1" s="57" t="s">
        <v>496</v>
      </c>
      <c r="G1" s="57" t="s">
        <v>799</v>
      </c>
      <c r="H1" s="57" t="s">
        <v>800</v>
      </c>
      <c r="I1" s="57" t="s">
        <v>2</v>
      </c>
      <c r="J1" s="57" t="s">
        <v>495</v>
      </c>
      <c r="P1" s="57">
        <v>0.453592</v>
      </c>
    </row>
    <row r="2" spans="1:16" s="57" customFormat="1" hidden="1">
      <c r="B2" s="57" t="s">
        <v>507</v>
      </c>
      <c r="D2"/>
      <c r="E2" t="s">
        <v>552</v>
      </c>
      <c r="G2"/>
      <c r="H2"/>
      <c r="L2" s="57" t="s">
        <v>133</v>
      </c>
      <c r="M2" s="57" t="s">
        <v>564</v>
      </c>
      <c r="O2"/>
      <c r="P2" s="57" t="s">
        <v>567</v>
      </c>
    </row>
    <row r="3" spans="1:16">
      <c r="A3" t="s">
        <v>646</v>
      </c>
      <c r="B3" t="str">
        <f>Parameters!A7</f>
        <v>Provision of diesel fuel</v>
      </c>
      <c r="C3" t="str">
        <f>Parameters!B7</f>
        <v>kgCO2e/L diesel</v>
      </c>
      <c r="D3" t="s">
        <v>529</v>
      </c>
      <c r="E3" t="s">
        <v>496</v>
      </c>
      <c r="F3">
        <v>0.45</v>
      </c>
      <c r="G3">
        <v>0.4</v>
      </c>
      <c r="H3">
        <v>0.5</v>
      </c>
      <c r="I3" t="s">
        <v>893</v>
      </c>
      <c r="L3" t="s">
        <v>560</v>
      </c>
      <c r="M3" t="s">
        <v>53</v>
      </c>
      <c r="N3" t="s">
        <v>561</v>
      </c>
      <c r="O3" t="s">
        <v>568</v>
      </c>
    </row>
    <row r="4" spans="1:16">
      <c r="A4" t="s">
        <v>646</v>
      </c>
      <c r="B4" t="s">
        <v>892</v>
      </c>
      <c r="C4" t="s">
        <v>393</v>
      </c>
      <c r="D4" t="s">
        <v>530</v>
      </c>
      <c r="E4" t="s">
        <v>496</v>
      </c>
      <c r="F4" s="65">
        <v>2.7204943424399999</v>
      </c>
      <c r="I4" s="65" t="s">
        <v>895</v>
      </c>
      <c r="K4" t="s">
        <v>562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646</v>
      </c>
      <c r="B5" s="6" t="s">
        <v>736</v>
      </c>
      <c r="C5" s="6" t="s">
        <v>596</v>
      </c>
      <c r="D5" s="6" t="s">
        <v>531</v>
      </c>
      <c r="E5" s="6" t="s">
        <v>391</v>
      </c>
      <c r="F5" s="214">
        <f>O5</f>
        <v>692.15220789071998</v>
      </c>
      <c r="G5" s="214">
        <f>O7</f>
        <v>537.18234233351995</v>
      </c>
      <c r="H5" s="214">
        <f>O6</f>
        <v>918.79198627000005</v>
      </c>
      <c r="I5" s="6" t="s">
        <v>896</v>
      </c>
      <c r="K5" s="6" t="s">
        <v>563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646</v>
      </c>
      <c r="B6" t="s">
        <v>508</v>
      </c>
      <c r="C6" t="s">
        <v>607</v>
      </c>
      <c r="D6" t="s">
        <v>852</v>
      </c>
      <c r="E6" t="s">
        <v>391</v>
      </c>
      <c r="F6">
        <v>8.85</v>
      </c>
      <c r="G6">
        <v>4.7</v>
      </c>
      <c r="H6">
        <v>13</v>
      </c>
      <c r="I6" t="s">
        <v>897</v>
      </c>
      <c r="J6" t="s">
        <v>894</v>
      </c>
      <c r="K6" t="s">
        <v>565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646</v>
      </c>
      <c r="B7" t="s">
        <v>526</v>
      </c>
      <c r="C7" t="s">
        <v>607</v>
      </c>
      <c r="D7" s="15" t="s">
        <v>790</v>
      </c>
      <c r="E7" t="s">
        <v>552</v>
      </c>
      <c r="F7">
        <v>5.4</v>
      </c>
      <c r="I7" t="s">
        <v>752</v>
      </c>
      <c r="J7" s="1"/>
      <c r="K7" t="s">
        <v>566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 hidden="1">
      <c r="A8" s="2" t="s">
        <v>646</v>
      </c>
      <c r="B8" s="2" t="s">
        <v>593</v>
      </c>
      <c r="C8" s="2" t="s">
        <v>594</v>
      </c>
      <c r="D8" s="2" t="s">
        <v>595</v>
      </c>
      <c r="E8" s="2" t="s">
        <v>552</v>
      </c>
      <c r="F8" s="288">
        <v>0.03</v>
      </c>
      <c r="G8" s="288">
        <v>0.03</v>
      </c>
      <c r="H8" s="288">
        <v>0.06</v>
      </c>
      <c r="I8" s="2" t="s">
        <v>786</v>
      </c>
    </row>
    <row r="9" spans="1:16">
      <c r="A9" t="s">
        <v>646</v>
      </c>
      <c r="B9" t="s">
        <v>582</v>
      </c>
      <c r="C9" s="6" t="s">
        <v>28</v>
      </c>
      <c r="D9" t="s">
        <v>850</v>
      </c>
      <c r="E9" t="s">
        <v>391</v>
      </c>
      <c r="F9">
        <v>1.8</v>
      </c>
      <c r="G9">
        <v>0.52</v>
      </c>
      <c r="H9">
        <v>3.09</v>
      </c>
      <c r="I9" s="6" t="s">
        <v>354</v>
      </c>
    </row>
    <row r="10" spans="1:16">
      <c r="A10" t="s">
        <v>646</v>
      </c>
      <c r="B10" t="s">
        <v>509</v>
      </c>
      <c r="C10" s="6" t="s">
        <v>28</v>
      </c>
      <c r="D10" t="s">
        <v>851</v>
      </c>
      <c r="E10" t="s">
        <v>391</v>
      </c>
      <c r="F10">
        <v>0.96</v>
      </c>
      <c r="G10">
        <v>0.38</v>
      </c>
      <c r="H10">
        <v>1.53</v>
      </c>
      <c r="I10" s="6" t="s">
        <v>299</v>
      </c>
    </row>
    <row r="11" spans="1:16">
      <c r="A11" t="s">
        <v>646</v>
      </c>
      <c r="B11" t="s">
        <v>511</v>
      </c>
      <c r="C11" t="s">
        <v>608</v>
      </c>
      <c r="D11" t="s">
        <v>532</v>
      </c>
      <c r="E11" t="s">
        <v>391</v>
      </c>
      <c r="F11">
        <v>970</v>
      </c>
      <c r="G11">
        <v>388</v>
      </c>
      <c r="H11">
        <v>1197</v>
      </c>
      <c r="I11" s="6" t="s">
        <v>299</v>
      </c>
    </row>
    <row r="12" spans="1:16" s="6" customFormat="1">
      <c r="A12" s="6" t="s">
        <v>103</v>
      </c>
      <c r="B12" s="6" t="s">
        <v>768</v>
      </c>
      <c r="C12" s="6" t="s">
        <v>436</v>
      </c>
      <c r="D12" s="6" t="s">
        <v>545</v>
      </c>
      <c r="E12" s="6" t="s">
        <v>391</v>
      </c>
      <c r="F12" s="6">
        <v>0.01</v>
      </c>
      <c r="G12" s="6">
        <v>2E-3</v>
      </c>
      <c r="H12" s="6">
        <v>0.05</v>
      </c>
      <c r="I12" s="6" t="s">
        <v>750</v>
      </c>
    </row>
    <row r="13" spans="1:16" s="6" customFormat="1">
      <c r="A13" s="6" t="s">
        <v>646</v>
      </c>
      <c r="B13" s="6" t="s">
        <v>915</v>
      </c>
      <c r="C13" s="6" t="s">
        <v>923</v>
      </c>
      <c r="D13" t="s">
        <v>928</v>
      </c>
      <c r="E13" t="s">
        <v>391</v>
      </c>
      <c r="F13">
        <f>N2O!D3</f>
        <v>1.8000000000000002E-2</v>
      </c>
      <c r="G13" s="6">
        <f>N2O!B3</f>
        <v>1.2E-2</v>
      </c>
      <c r="H13" s="6">
        <f>N2O!C3</f>
        <v>2.4E-2</v>
      </c>
      <c r="I13" s="6" t="s">
        <v>882</v>
      </c>
    </row>
    <row r="14" spans="1:16" s="6" customFormat="1">
      <c r="A14" s="6" t="s">
        <v>646</v>
      </c>
      <c r="B14" s="6" t="s">
        <v>916</v>
      </c>
      <c r="C14" s="6" t="s">
        <v>924</v>
      </c>
      <c r="D14" t="s">
        <v>918</v>
      </c>
      <c r="E14" t="s">
        <v>496</v>
      </c>
      <c r="F14">
        <v>0</v>
      </c>
      <c r="G14" s="6">
        <v>0</v>
      </c>
      <c r="H14" s="6">
        <v>0</v>
      </c>
      <c r="I14" s="6" t="s">
        <v>927</v>
      </c>
    </row>
    <row r="15" spans="1:16" s="6" customFormat="1">
      <c r="A15" s="6" t="s">
        <v>646</v>
      </c>
      <c r="B15" s="6" t="s">
        <v>917</v>
      </c>
      <c r="C15" s="6" t="s">
        <v>925</v>
      </c>
      <c r="D15" s="6" t="s">
        <v>919</v>
      </c>
      <c r="E15" t="s">
        <v>391</v>
      </c>
      <c r="F15" s="6">
        <f>N2O!D23</f>
        <v>0.29485</v>
      </c>
      <c r="G15" s="6">
        <f>N2O!B23</f>
        <v>6.5000000000000002E-2</v>
      </c>
      <c r="H15" s="6">
        <f>N2O!C23</f>
        <v>0.52469999999999994</v>
      </c>
      <c r="I15" s="6" t="s">
        <v>882</v>
      </c>
    </row>
    <row r="16" spans="1:16" s="57" customFormat="1">
      <c r="B16" s="57" t="s">
        <v>99</v>
      </c>
      <c r="C16" s="57" t="s">
        <v>14</v>
      </c>
      <c r="D16" s="57" t="s">
        <v>528</v>
      </c>
      <c r="E16" s="57" t="s">
        <v>539</v>
      </c>
      <c r="F16" s="57" t="s">
        <v>496</v>
      </c>
      <c r="G16" s="57" t="s">
        <v>799</v>
      </c>
      <c r="H16" s="57" t="s">
        <v>800</v>
      </c>
      <c r="I16" s="57" t="s">
        <v>306</v>
      </c>
    </row>
    <row r="17" spans="1:10">
      <c r="A17" t="s">
        <v>647</v>
      </c>
      <c r="B17" t="str">
        <f>'Landfill '!A3</f>
        <v xml:space="preserve">diesel use at landfill </v>
      </c>
      <c r="C17" t="str">
        <f>'Landfill '!B3</f>
        <v>L/t</v>
      </c>
      <c r="D17" t="s">
        <v>533</v>
      </c>
      <c r="E17" t="s">
        <v>391</v>
      </c>
      <c r="F17" s="65">
        <v>5.8295314000000005</v>
      </c>
      <c r="G17">
        <v>1</v>
      </c>
      <c r="H17">
        <v>6</v>
      </c>
      <c r="I17" t="s">
        <v>740</v>
      </c>
      <c r="J17" t="str">
        <f>'Landfill '!K3</f>
        <v>0.7 gal/1000lbs; high compared to 1–3 L diesel tonne–1 waste (Hunziker)</v>
      </c>
    </row>
    <row r="18" spans="1:10">
      <c r="A18" t="s">
        <v>647</v>
      </c>
      <c r="B18" t="str">
        <f>'Landfill '!A8</f>
        <v>Factor of oxidation</v>
      </c>
      <c r="C18" t="str">
        <f>'Landfill '!B8</f>
        <v>%</v>
      </c>
      <c r="D18" t="s">
        <v>747</v>
      </c>
      <c r="E18" t="s">
        <v>391</v>
      </c>
      <c r="F18">
        <v>0.35</v>
      </c>
      <c r="G18">
        <v>0.1</v>
      </c>
      <c r="H18">
        <v>0.55000000000000004</v>
      </c>
      <c r="I18" t="s">
        <v>740</v>
      </c>
      <c r="J18" t="s">
        <v>742</v>
      </c>
    </row>
    <row r="19" spans="1:10" s="6" customFormat="1" hidden="1">
      <c r="A19" s="6" t="s">
        <v>647</v>
      </c>
      <c r="B19" s="6" t="str">
        <f>'Landfill '!A9</f>
        <v>Gas Capture factor (GC)</v>
      </c>
      <c r="C19" s="6" t="str">
        <f>'Landfill '!B9</f>
        <v>%</v>
      </c>
      <c r="D19" s="6" t="s">
        <v>388</v>
      </c>
      <c r="E19" s="6" t="s">
        <v>391</v>
      </c>
      <c r="F19" s="6">
        <f>'Landfill '!E9</f>
        <v>1</v>
      </c>
      <c r="G19" s="6">
        <v>0.85</v>
      </c>
      <c r="H19" s="6">
        <v>0.9</v>
      </c>
      <c r="I19" t="s">
        <v>741</v>
      </c>
      <c r="J19" s="6" t="str">
        <f>'Landfill '!K9</f>
        <v>not used:85  % Landfills in NYS  with GC recovery</v>
      </c>
    </row>
    <row r="20" spans="1:10">
      <c r="A20" t="s">
        <v>647</v>
      </c>
      <c r="B20" t="str">
        <f>'Landfill '!A22</f>
        <v>Heat rate of LF to E conversion</v>
      </c>
      <c r="C20" t="str">
        <f>'Landfill '!B22</f>
        <v>btu/kwh</v>
      </c>
      <c r="D20" t="s">
        <v>535</v>
      </c>
      <c r="E20" t="s">
        <v>496</v>
      </c>
      <c r="F20">
        <v>11700</v>
      </c>
      <c r="G20">
        <v>8979</v>
      </c>
      <c r="H20">
        <v>13648</v>
      </c>
      <c r="I20" t="s">
        <v>740</v>
      </c>
      <c r="J20" t="s">
        <v>743</v>
      </c>
    </row>
    <row r="21" spans="1:10">
      <c r="A21" t="s">
        <v>647</v>
      </c>
      <c r="B21" t="s">
        <v>525</v>
      </c>
      <c r="C21" t="s">
        <v>22</v>
      </c>
      <c r="D21" t="s">
        <v>538</v>
      </c>
      <c r="E21" t="s">
        <v>391</v>
      </c>
      <c r="F21">
        <v>0.85</v>
      </c>
      <c r="G21">
        <v>0.8</v>
      </c>
      <c r="H21">
        <v>0.9</v>
      </c>
      <c r="I21" t="s">
        <v>740</v>
      </c>
      <c r="J21" t="s">
        <v>527</v>
      </c>
    </row>
    <row r="22" spans="1:10">
      <c r="A22" t="s">
        <v>647</v>
      </c>
      <c r="B22" t="s">
        <v>540</v>
      </c>
      <c r="C22" t="s">
        <v>22</v>
      </c>
      <c r="D22" t="s">
        <v>534</v>
      </c>
      <c r="E22" t="s">
        <v>391</v>
      </c>
      <c r="F22">
        <v>0.95</v>
      </c>
      <c r="G22">
        <v>0.85</v>
      </c>
      <c r="H22">
        <v>0.95</v>
      </c>
      <c r="I22" t="s">
        <v>400</v>
      </c>
      <c r="J22" t="s">
        <v>744</v>
      </c>
    </row>
    <row r="23" spans="1:10" s="6" customFormat="1">
      <c r="A23" t="s">
        <v>647</v>
      </c>
      <c r="B23" s="6" t="s">
        <v>80</v>
      </c>
      <c r="C23" s="6" t="str">
        <f>'Landfill '!B15</f>
        <v>fraction</v>
      </c>
      <c r="D23" t="s">
        <v>537</v>
      </c>
      <c r="E23" t="s">
        <v>391</v>
      </c>
      <c r="F23" s="6">
        <v>1</v>
      </c>
      <c r="G23">
        <v>0.7</v>
      </c>
      <c r="H23">
        <v>1</v>
      </c>
      <c r="I23" s="6" t="s">
        <v>536</v>
      </c>
      <c r="J23" s="233" t="s">
        <v>745</v>
      </c>
    </row>
    <row r="24" spans="1:10" s="6" customFormat="1">
      <c r="A24" t="s">
        <v>647</v>
      </c>
      <c r="B24" s="6" t="s">
        <v>235</v>
      </c>
      <c r="C24" s="6" t="s">
        <v>553</v>
      </c>
      <c r="D24" t="s">
        <v>235</v>
      </c>
      <c r="E24" t="s">
        <v>391</v>
      </c>
      <c r="F24" s="6">
        <v>0.14399999999999999</v>
      </c>
      <c r="G24" s="65">
        <v>9.6000000000000002E-2</v>
      </c>
      <c r="H24">
        <v>0.22900000000000001</v>
      </c>
      <c r="I24" s="6" t="s">
        <v>400</v>
      </c>
      <c r="J24" s="6" t="s">
        <v>746</v>
      </c>
    </row>
    <row r="25" spans="1:10" s="57" customFormat="1">
      <c r="B25" s="57" t="s">
        <v>504</v>
      </c>
      <c r="C25" s="57" t="s">
        <v>14</v>
      </c>
      <c r="D25" s="57" t="s">
        <v>528</v>
      </c>
      <c r="E25" s="57" t="s">
        <v>539</v>
      </c>
      <c r="F25" s="57" t="s">
        <v>496</v>
      </c>
      <c r="G25" s="57" t="s">
        <v>799</v>
      </c>
      <c r="H25" s="57" t="s">
        <v>800</v>
      </c>
      <c r="I25" s="57" t="s">
        <v>306</v>
      </c>
    </row>
    <row r="26" spans="1:10" s="6" customFormat="1">
      <c r="A26" s="6" t="s">
        <v>646</v>
      </c>
      <c r="B26" s="6" t="s">
        <v>650</v>
      </c>
      <c r="C26" s="6" t="s">
        <v>227</v>
      </c>
      <c r="D26" s="6" t="s">
        <v>712</v>
      </c>
      <c r="E26" s="6" t="s">
        <v>496</v>
      </c>
      <c r="F26" s="6">
        <v>2.65</v>
      </c>
      <c r="G26" s="6">
        <v>2.5</v>
      </c>
      <c r="H26" s="6">
        <v>3.3</v>
      </c>
      <c r="I26" s="6" t="s">
        <v>898</v>
      </c>
    </row>
    <row r="27" spans="1:10" s="6" customFormat="1">
      <c r="A27" s="6" t="s">
        <v>103</v>
      </c>
      <c r="B27" s="6" t="s">
        <v>759</v>
      </c>
      <c r="C27" s="6" t="s">
        <v>891</v>
      </c>
      <c r="D27" s="6" t="s">
        <v>760</v>
      </c>
      <c r="E27" s="6" t="s">
        <v>391</v>
      </c>
      <c r="F27" s="6">
        <v>0.9</v>
      </c>
      <c r="G27" s="6">
        <v>0.7</v>
      </c>
      <c r="H27" s="6">
        <v>1</v>
      </c>
      <c r="I27" s="6" t="s">
        <v>761</v>
      </c>
      <c r="J27" s="6" t="s">
        <v>583</v>
      </c>
    </row>
    <row r="28" spans="1:10" s="6" customFormat="1">
      <c r="A28" s="6" t="s">
        <v>103</v>
      </c>
      <c r="B28" s="6" t="s">
        <v>438</v>
      </c>
      <c r="C28" s="6" t="s">
        <v>801</v>
      </c>
      <c r="D28" s="6" t="s">
        <v>541</v>
      </c>
      <c r="E28" s="5" t="s">
        <v>496</v>
      </c>
      <c r="F28" s="5">
        <v>0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103</v>
      </c>
      <c r="B29" s="6" t="s">
        <v>708</v>
      </c>
      <c r="C29" s="6" t="s">
        <v>801</v>
      </c>
      <c r="D29" s="6" t="s">
        <v>709</v>
      </c>
      <c r="E29" s="6" t="s">
        <v>391</v>
      </c>
      <c r="F29" s="6">
        <v>0.05</v>
      </c>
      <c r="G29" s="6">
        <v>0.03</v>
      </c>
      <c r="H29" s="6">
        <v>0.16</v>
      </c>
      <c r="I29" s="6" t="s">
        <v>748</v>
      </c>
    </row>
    <row r="30" spans="1:10" s="6" customFormat="1">
      <c r="A30" s="6" t="s">
        <v>103</v>
      </c>
      <c r="B30" s="6" t="str">
        <f>AD!A25</f>
        <v>Methane incomplete combustion factor</v>
      </c>
      <c r="C30" s="6" t="str">
        <f>AD!B25</f>
        <v>% methane utilized</v>
      </c>
      <c r="D30" s="6" t="s">
        <v>762</v>
      </c>
      <c r="E30" s="6" t="s">
        <v>496</v>
      </c>
      <c r="F30" s="6">
        <f>AD!E25</f>
        <v>5.0000000000000001E-3</v>
      </c>
      <c r="I30" s="6" t="s">
        <v>749</v>
      </c>
      <c r="J30" s="6" t="str">
        <f>AD!J25</f>
        <v>Hildesheim, Gottingen, Celle</v>
      </c>
    </row>
    <row r="31" spans="1:10" s="6" customFormat="1">
      <c r="A31" s="6" t="s">
        <v>103</v>
      </c>
      <c r="B31" s="6" t="s">
        <v>771</v>
      </c>
      <c r="C31" s="6" t="s">
        <v>763</v>
      </c>
      <c r="D31" s="6" t="s">
        <v>764</v>
      </c>
      <c r="E31" s="6" t="s">
        <v>391</v>
      </c>
      <c r="F31" s="102">
        <v>4.19318820416827</v>
      </c>
      <c r="G31" s="83">
        <f>9.8*0.33</f>
        <v>3.2340000000000004</v>
      </c>
      <c r="H31" s="102">
        <f>9.8*0.45</f>
        <v>4.41</v>
      </c>
      <c r="I31" s="6" t="s">
        <v>752</v>
      </c>
      <c r="J31" s="281" t="s">
        <v>661</v>
      </c>
    </row>
    <row r="32" spans="1:10" s="6" customFormat="1">
      <c r="A32" s="6" t="s">
        <v>103</v>
      </c>
      <c r="B32" s="6" t="s">
        <v>422</v>
      </c>
      <c r="C32" s="6" t="str">
        <f>AD!B30</f>
        <v>MWh/t</v>
      </c>
      <c r="D32" s="6" t="s">
        <v>542</v>
      </c>
      <c r="E32" s="6" t="s">
        <v>391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103</v>
      </c>
      <c r="B33" s="6" t="s">
        <v>751</v>
      </c>
      <c r="C33" s="6" t="str">
        <f>AD!B36</f>
        <v>kgVS/t FW</v>
      </c>
      <c r="D33" s="6" t="s">
        <v>543</v>
      </c>
      <c r="E33" s="5" t="s">
        <v>496</v>
      </c>
      <c r="F33" s="5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103</v>
      </c>
      <c r="B34" s="6" t="s">
        <v>765</v>
      </c>
      <c r="C34" s="6" t="s">
        <v>802</v>
      </c>
      <c r="D34" s="6" t="s">
        <v>766</v>
      </c>
      <c r="E34" s="5" t="s">
        <v>496</v>
      </c>
      <c r="F34" s="5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103</v>
      </c>
      <c r="B35" s="6" t="s">
        <v>767</v>
      </c>
      <c r="C35" s="6" t="s">
        <v>753</v>
      </c>
      <c r="D35" s="6" t="s">
        <v>774</v>
      </c>
      <c r="E35" s="6" t="s">
        <v>391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750</v>
      </c>
      <c r="J35" s="6" t="str">
        <f>AD!I42</f>
        <v>assumes that N in is the same as N out adjusted for D losses</v>
      </c>
    </row>
    <row r="36" spans="1:10" s="6" customFormat="1">
      <c r="A36" s="6" t="s">
        <v>103</v>
      </c>
      <c r="B36" s="6" t="s">
        <v>772</v>
      </c>
      <c r="C36" s="6" t="str">
        <f>AD!B44</f>
        <v>Kg N2O-N/kg N</v>
      </c>
      <c r="D36" s="6" t="s">
        <v>775</v>
      </c>
      <c r="E36" s="6" t="s">
        <v>391</v>
      </c>
      <c r="F36" s="6">
        <v>0.26</v>
      </c>
      <c r="G36" s="6">
        <v>0.15</v>
      </c>
      <c r="H36" s="6">
        <v>0.45</v>
      </c>
      <c r="I36" s="6" t="s">
        <v>750</v>
      </c>
      <c r="J36" s="6">
        <f>AD!I43</f>
        <v>0</v>
      </c>
    </row>
    <row r="37" spans="1:10" s="6" customFormat="1">
      <c r="A37" s="6" t="s">
        <v>103</v>
      </c>
      <c r="B37" s="6" t="s">
        <v>768</v>
      </c>
      <c r="C37" s="6" t="s">
        <v>436</v>
      </c>
      <c r="D37" s="6" t="s">
        <v>545</v>
      </c>
      <c r="E37" s="6" t="s">
        <v>391</v>
      </c>
      <c r="F37" s="6">
        <v>0.01</v>
      </c>
      <c r="G37" s="6">
        <v>2E-3</v>
      </c>
      <c r="H37" s="6">
        <v>0.05</v>
      </c>
      <c r="I37" s="6" t="s">
        <v>750</v>
      </c>
    </row>
    <row r="38" spans="1:10" s="5" customFormat="1" hidden="1">
      <c r="A38" s="5" t="s">
        <v>103</v>
      </c>
      <c r="B38" s="5" t="s">
        <v>769</v>
      </c>
      <c r="C38" s="5" t="s">
        <v>12</v>
      </c>
      <c r="D38" s="5" t="s">
        <v>610</v>
      </c>
      <c r="E38" s="5" t="s">
        <v>496</v>
      </c>
      <c r="F38" s="5">
        <v>20</v>
      </c>
      <c r="G38" s="5">
        <v>10</v>
      </c>
      <c r="H38" s="5">
        <v>30</v>
      </c>
      <c r="I38" s="5" t="s">
        <v>752</v>
      </c>
    </row>
    <row r="39" spans="1:10" s="6" customFormat="1">
      <c r="A39" s="6" t="s">
        <v>646</v>
      </c>
      <c r="B39" s="6" t="s">
        <v>883</v>
      </c>
      <c r="C39" s="6" t="str">
        <f>'Land application'!B13</f>
        <v>Kg N2O-N/kg N</v>
      </c>
      <c r="D39" s="6" t="s">
        <v>544</v>
      </c>
      <c r="E39" s="6" t="s">
        <v>391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882</v>
      </c>
      <c r="J39" s="6" t="s">
        <v>884</v>
      </c>
    </row>
    <row r="40" spans="1:10" s="6" customFormat="1">
      <c r="A40" s="6" t="s">
        <v>103</v>
      </c>
      <c r="B40" s="6" t="s">
        <v>758</v>
      </c>
      <c r="C40" s="6" t="s">
        <v>754</v>
      </c>
      <c r="D40" s="6" t="s">
        <v>787</v>
      </c>
      <c r="E40" s="6" t="s">
        <v>391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927</v>
      </c>
      <c r="J40" s="6" t="s">
        <v>926</v>
      </c>
    </row>
    <row r="41" spans="1:10" s="6" customFormat="1">
      <c r="A41" s="6" t="s">
        <v>103</v>
      </c>
      <c r="B41" s="6" t="s">
        <v>804</v>
      </c>
      <c r="C41" s="6" t="s">
        <v>805</v>
      </c>
      <c r="D41" s="6" t="s">
        <v>788</v>
      </c>
      <c r="E41" s="6" t="s">
        <v>391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882</v>
      </c>
    </row>
    <row r="42" spans="1:10" s="6" customFormat="1" ht="16" customHeight="1">
      <c r="A42" s="6" t="s">
        <v>103</v>
      </c>
      <c r="B42" s="6" t="s">
        <v>773</v>
      </c>
      <c r="C42" s="6" t="s">
        <v>806</v>
      </c>
      <c r="D42" s="14" t="s">
        <v>757</v>
      </c>
      <c r="E42" s="6" t="s">
        <v>391</v>
      </c>
      <c r="F42" s="6">
        <v>0.65</v>
      </c>
      <c r="G42" s="6">
        <v>0.4</v>
      </c>
      <c r="H42" s="6">
        <v>1</v>
      </c>
      <c r="I42" s="6" t="s">
        <v>770</v>
      </c>
      <c r="J42" s="282" t="s">
        <v>844</v>
      </c>
    </row>
    <row r="43" spans="1:10" s="6" customFormat="1" ht="16" customHeight="1">
      <c r="A43" s="6" t="s">
        <v>646</v>
      </c>
      <c r="B43" s="6" t="s">
        <v>782</v>
      </c>
      <c r="C43" s="6" t="s">
        <v>783</v>
      </c>
      <c r="D43" s="14" t="s">
        <v>798</v>
      </c>
      <c r="E43" s="6" t="s">
        <v>391</v>
      </c>
      <c r="F43" s="6">
        <v>1</v>
      </c>
      <c r="G43" s="6">
        <v>0</v>
      </c>
      <c r="H43" s="6">
        <v>1</v>
      </c>
      <c r="I43" s="6" t="s">
        <v>841</v>
      </c>
      <c r="J43" s="282"/>
    </row>
    <row r="44" spans="1:10" s="6" customFormat="1" ht="16" customHeight="1">
      <c r="A44" s="6" t="s">
        <v>646</v>
      </c>
      <c r="B44" s="6" t="s">
        <v>776</v>
      </c>
      <c r="C44" s="6" t="s">
        <v>778</v>
      </c>
      <c r="D44" s="14" t="s">
        <v>780</v>
      </c>
      <c r="E44" s="6" t="s">
        <v>496</v>
      </c>
      <c r="F44" s="6">
        <v>1</v>
      </c>
      <c r="I44" s="6" t="s">
        <v>786</v>
      </c>
      <c r="J44" s="282"/>
    </row>
    <row r="45" spans="1:10" s="6" customFormat="1" ht="16" customHeight="1">
      <c r="A45" s="6" t="s">
        <v>646</v>
      </c>
      <c r="B45" s="6" t="s">
        <v>818</v>
      </c>
      <c r="C45" s="6" t="s">
        <v>784</v>
      </c>
      <c r="D45" s="14" t="s">
        <v>822</v>
      </c>
      <c r="E45" s="6" t="s">
        <v>496</v>
      </c>
      <c r="F45" s="287">
        <f>Parameters!G85</f>
        <v>0.56980056980056981</v>
      </c>
      <c r="G45" s="6">
        <v>0</v>
      </c>
      <c r="H45" s="6">
        <v>1</v>
      </c>
      <c r="I45" s="6" t="s">
        <v>785</v>
      </c>
      <c r="J45" s="282"/>
    </row>
    <row r="46" spans="1:10" s="6" customFormat="1" ht="16" customHeight="1">
      <c r="A46" s="6" t="s">
        <v>646</v>
      </c>
      <c r="B46" s="6" t="s">
        <v>777</v>
      </c>
      <c r="C46" s="6" t="s">
        <v>779</v>
      </c>
      <c r="D46" s="14" t="s">
        <v>781</v>
      </c>
      <c r="E46" s="6" t="s">
        <v>496</v>
      </c>
      <c r="F46" s="6">
        <v>1</v>
      </c>
      <c r="I46" s="6" t="s">
        <v>786</v>
      </c>
      <c r="J46" s="282"/>
    </row>
    <row r="47" spans="1:10" s="6" customFormat="1" ht="16" customHeight="1">
      <c r="A47" s="6" t="s">
        <v>646</v>
      </c>
      <c r="B47" s="6" t="s">
        <v>819</v>
      </c>
      <c r="C47" s="6" t="s">
        <v>789</v>
      </c>
      <c r="D47" s="14" t="s">
        <v>823</v>
      </c>
      <c r="E47" s="6" t="s">
        <v>496</v>
      </c>
      <c r="F47" s="287">
        <f>Parameters!G84</f>
        <v>0.29728725380899296</v>
      </c>
      <c r="G47" s="6">
        <v>0</v>
      </c>
      <c r="H47" s="6">
        <v>1</v>
      </c>
      <c r="I47" s="6" t="s">
        <v>785</v>
      </c>
      <c r="J47" s="282"/>
    </row>
    <row r="48" spans="1:10" s="6" customFormat="1">
      <c r="A48" s="6" t="s">
        <v>103</v>
      </c>
      <c r="B48" s="6" t="s">
        <v>501</v>
      </c>
      <c r="C48" s="6" t="s">
        <v>807</v>
      </c>
      <c r="D48" s="14" t="s">
        <v>609</v>
      </c>
      <c r="E48" s="6" t="s">
        <v>391</v>
      </c>
      <c r="F48" s="6">
        <v>0.1</v>
      </c>
      <c r="G48" s="6">
        <v>0.02</v>
      </c>
      <c r="H48" s="6">
        <v>0.16</v>
      </c>
      <c r="I48" s="6" t="s">
        <v>803</v>
      </c>
    </row>
    <row r="49" spans="1:10" s="57" customFormat="1">
      <c r="B49" s="57" t="s">
        <v>102</v>
      </c>
      <c r="C49" s="57" t="s">
        <v>14</v>
      </c>
      <c r="D49" s="57" t="s">
        <v>528</v>
      </c>
      <c r="E49" s="57" t="s">
        <v>539</v>
      </c>
      <c r="F49" s="57" t="s">
        <v>496</v>
      </c>
      <c r="G49" s="57" t="s">
        <v>799</v>
      </c>
      <c r="H49" s="57" t="s">
        <v>800</v>
      </c>
      <c r="I49" s="57" t="s">
        <v>306</v>
      </c>
    </row>
    <row r="50" spans="1:10">
      <c r="A50" t="s">
        <v>648</v>
      </c>
      <c r="B50" t="s">
        <v>885</v>
      </c>
      <c r="C50" t="str">
        <f>compost!B13</f>
        <v>L/t</v>
      </c>
      <c r="D50" s="15" t="s">
        <v>546</v>
      </c>
      <c r="E50" t="s">
        <v>391</v>
      </c>
      <c r="F50">
        <v>3</v>
      </c>
      <c r="G50">
        <v>0.13</v>
      </c>
      <c r="H50">
        <v>6</v>
      </c>
      <c r="I50" t="s">
        <v>299</v>
      </c>
      <c r="J50" t="s">
        <v>827</v>
      </c>
    </row>
    <row r="51" spans="1:10">
      <c r="A51" t="s">
        <v>648</v>
      </c>
      <c r="B51" t="s">
        <v>886</v>
      </c>
      <c r="C51" t="s">
        <v>520</v>
      </c>
      <c r="D51" t="s">
        <v>644</v>
      </c>
      <c r="E51" s="15" t="s">
        <v>391</v>
      </c>
      <c r="F51">
        <v>2.3E-2</v>
      </c>
      <c r="G51">
        <v>2.3E-2</v>
      </c>
      <c r="H51">
        <v>65</v>
      </c>
      <c r="I51" t="s">
        <v>299</v>
      </c>
      <c r="J51" t="s">
        <v>849</v>
      </c>
    </row>
    <row r="52" spans="1:10" ht="13" customHeight="1">
      <c r="A52" t="s">
        <v>648</v>
      </c>
      <c r="B52" t="s">
        <v>872</v>
      </c>
      <c r="C52" t="s">
        <v>808</v>
      </c>
      <c r="D52" t="s">
        <v>547</v>
      </c>
      <c r="E52" t="s">
        <v>391</v>
      </c>
      <c r="F52">
        <v>0.57999999999999996</v>
      </c>
      <c r="G52">
        <v>0.4</v>
      </c>
      <c r="H52">
        <v>0.83</v>
      </c>
      <c r="I52" t="s">
        <v>299</v>
      </c>
      <c r="J52" t="s">
        <v>724</v>
      </c>
    </row>
    <row r="53" spans="1:10">
      <c r="A53" t="s">
        <v>648</v>
      </c>
      <c r="B53" t="s">
        <v>873</v>
      </c>
      <c r="C53" t="s">
        <v>809</v>
      </c>
      <c r="D53" t="s">
        <v>548</v>
      </c>
      <c r="E53" s="2" t="s">
        <v>496</v>
      </c>
      <c r="F53" s="2">
        <v>0.02</v>
      </c>
      <c r="G53">
        <v>8.0000000000000002E-3</v>
      </c>
      <c r="H53">
        <v>3.5999999999999997E-2</v>
      </c>
      <c r="I53" t="s">
        <v>513</v>
      </c>
    </row>
    <row r="54" spans="1:10">
      <c r="A54" t="s">
        <v>648</v>
      </c>
      <c r="B54" t="s">
        <v>874</v>
      </c>
      <c r="C54" t="s">
        <v>875</v>
      </c>
      <c r="D54" t="s">
        <v>549</v>
      </c>
      <c r="E54" t="s">
        <v>391</v>
      </c>
      <c r="F54">
        <v>5.0000000000000001E-3</v>
      </c>
      <c r="G54">
        <v>1E-3</v>
      </c>
      <c r="H54">
        <v>1.7999999999999999E-2</v>
      </c>
      <c r="I54" t="s">
        <v>575</v>
      </c>
      <c r="J54" t="str">
        <f>compost!H20</f>
        <v xml:space="preserve">Boldrin, 2009 </v>
      </c>
    </row>
    <row r="55" spans="1:10">
      <c r="A55" t="s">
        <v>648</v>
      </c>
      <c r="B55" t="s">
        <v>887</v>
      </c>
      <c r="C55" t="s">
        <v>876</v>
      </c>
      <c r="D55" t="s">
        <v>835</v>
      </c>
      <c r="E55" t="s">
        <v>496</v>
      </c>
      <c r="F55">
        <v>0.5</v>
      </c>
      <c r="G55">
        <v>0</v>
      </c>
      <c r="H55">
        <v>0.9</v>
      </c>
      <c r="I55" t="s">
        <v>890</v>
      </c>
    </row>
    <row r="56" spans="1:10">
      <c r="A56" t="s">
        <v>648</v>
      </c>
      <c r="B56" t="s">
        <v>888</v>
      </c>
      <c r="C56" t="s">
        <v>522</v>
      </c>
      <c r="D56" t="s">
        <v>604</v>
      </c>
      <c r="E56" t="s">
        <v>391</v>
      </c>
      <c r="F56">
        <v>0.43</v>
      </c>
      <c r="G56">
        <v>0.23</v>
      </c>
      <c r="H56">
        <v>0.56999999999999995</v>
      </c>
      <c r="I56" t="s">
        <v>828</v>
      </c>
    </row>
    <row r="57" spans="1:10">
      <c r="A57" t="s">
        <v>648</v>
      </c>
      <c r="B57" t="s">
        <v>810</v>
      </c>
      <c r="C57" t="s">
        <v>877</v>
      </c>
      <c r="D57" t="s">
        <v>550</v>
      </c>
      <c r="E57" t="s">
        <v>496</v>
      </c>
      <c r="F57">
        <v>0.6</v>
      </c>
      <c r="I57" t="s">
        <v>299</v>
      </c>
      <c r="J57" t="s">
        <v>812</v>
      </c>
    </row>
    <row r="58" spans="1:10">
      <c r="A58" t="s">
        <v>648</v>
      </c>
      <c r="B58" t="s">
        <v>974</v>
      </c>
      <c r="C58" t="s">
        <v>975</v>
      </c>
      <c r="D58" t="s">
        <v>978</v>
      </c>
      <c r="E58" t="s">
        <v>391</v>
      </c>
      <c r="F58">
        <v>1</v>
      </c>
      <c r="G58">
        <v>0.2</v>
      </c>
      <c r="H58">
        <v>1</v>
      </c>
      <c r="I58" t="s">
        <v>299</v>
      </c>
    </row>
    <row r="59" spans="1:10" s="2" customFormat="1" hidden="1">
      <c r="A59" s="2" t="s">
        <v>648</v>
      </c>
      <c r="B59" s="2" t="s">
        <v>519</v>
      </c>
      <c r="C59" s="2" t="s">
        <v>12</v>
      </c>
      <c r="D59" s="5" t="s">
        <v>551</v>
      </c>
      <c r="E59" s="2" t="s">
        <v>391</v>
      </c>
      <c r="F59" s="2">
        <v>20</v>
      </c>
      <c r="G59" s="2">
        <v>10</v>
      </c>
      <c r="H59" s="2">
        <v>30</v>
      </c>
      <c r="J59" s="2" t="s">
        <v>388</v>
      </c>
    </row>
    <row r="60" spans="1:10">
      <c r="A60" t="s">
        <v>648</v>
      </c>
      <c r="B60" t="s">
        <v>838</v>
      </c>
      <c r="C60" t="s">
        <v>839</v>
      </c>
      <c r="D60" t="s">
        <v>840</v>
      </c>
      <c r="E60" t="s">
        <v>391</v>
      </c>
      <c r="F60">
        <v>0.2</v>
      </c>
      <c r="G60">
        <v>0.2</v>
      </c>
      <c r="H60">
        <v>0.4</v>
      </c>
      <c r="I60" t="s">
        <v>299</v>
      </c>
    </row>
    <row r="61" spans="1:10">
      <c r="A61" t="s">
        <v>648</v>
      </c>
      <c r="B61" t="s">
        <v>889</v>
      </c>
      <c r="C61" t="s">
        <v>577</v>
      </c>
      <c r="D61" t="s">
        <v>579</v>
      </c>
      <c r="E61" t="s">
        <v>391</v>
      </c>
      <c r="F61">
        <f>N2O!D4</f>
        <v>3.4000000000000002E-2</v>
      </c>
      <c r="G61">
        <v>1.7000000000000001E-2</v>
      </c>
      <c r="H61">
        <v>5.0999999999999997E-2</v>
      </c>
      <c r="I61" t="s">
        <v>882</v>
      </c>
    </row>
    <row r="62" spans="1:10" s="15" customFormat="1">
      <c r="A62" s="15" t="s">
        <v>648</v>
      </c>
      <c r="B62" s="15" t="s">
        <v>921</v>
      </c>
      <c r="C62" s="15" t="s">
        <v>842</v>
      </c>
      <c r="D62" s="14" t="s">
        <v>920</v>
      </c>
      <c r="E62" s="15" t="s">
        <v>391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922</v>
      </c>
    </row>
    <row r="63" spans="1:10" s="15" customFormat="1">
      <c r="A63" s="15" t="s">
        <v>648</v>
      </c>
      <c r="B63" s="15" t="s">
        <v>837</v>
      </c>
      <c r="C63" s="15" t="s">
        <v>842</v>
      </c>
      <c r="D63" s="15" t="s">
        <v>576</v>
      </c>
      <c r="E63" s="15" t="s">
        <v>391</v>
      </c>
      <c r="F63" s="15">
        <f>N2O!E29</f>
        <v>1.6E-2</v>
      </c>
      <c r="G63" s="15">
        <v>0</v>
      </c>
      <c r="H63" s="15">
        <v>0.2</v>
      </c>
      <c r="I63" t="s">
        <v>969</v>
      </c>
      <c r="J63" s="15" t="s">
        <v>843</v>
      </c>
    </row>
    <row r="64" spans="1:10">
      <c r="A64" t="s">
        <v>648</v>
      </c>
      <c r="B64" t="s">
        <v>516</v>
      </c>
      <c r="C64" t="s">
        <v>517</v>
      </c>
      <c r="D64" s="15" t="s">
        <v>573</v>
      </c>
      <c r="E64" t="s">
        <v>391</v>
      </c>
      <c r="F64">
        <v>0.1</v>
      </c>
      <c r="G64">
        <v>0.02</v>
      </c>
      <c r="H64">
        <v>0.14000000000000001</v>
      </c>
      <c r="I64" t="s">
        <v>897</v>
      </c>
      <c r="J64" t="s">
        <v>725</v>
      </c>
    </row>
    <row r="65" spans="1:9">
      <c r="A65" t="s">
        <v>648</v>
      </c>
      <c r="B65" t="s">
        <v>979</v>
      </c>
      <c r="C65" t="s">
        <v>976</v>
      </c>
      <c r="D65" s="15" t="s">
        <v>977</v>
      </c>
      <c r="E65" t="s">
        <v>496</v>
      </c>
      <c r="F65" s="2">
        <v>1</v>
      </c>
      <c r="G65">
        <v>0</v>
      </c>
      <c r="H65">
        <v>1</v>
      </c>
    </row>
    <row r="66" spans="1:9">
      <c r="A66" t="s">
        <v>648</v>
      </c>
    </row>
    <row r="67" spans="1:9" s="57" customFormat="1">
      <c r="B67" s="57" t="s">
        <v>100</v>
      </c>
      <c r="C67" s="57" t="s">
        <v>14</v>
      </c>
      <c r="D67" s="57" t="s">
        <v>528</v>
      </c>
      <c r="E67" s="57" t="s">
        <v>539</v>
      </c>
      <c r="F67" s="57" t="s">
        <v>496</v>
      </c>
      <c r="G67" s="57" t="s">
        <v>799</v>
      </c>
      <c r="H67" s="57" t="s">
        <v>800</v>
      </c>
    </row>
    <row r="68" spans="1:9">
      <c r="A68" t="s">
        <v>649</v>
      </c>
      <c r="B68" t="s">
        <v>970</v>
      </c>
      <c r="C68" t="s">
        <v>454</v>
      </c>
      <c r="D68" t="s">
        <v>639</v>
      </c>
      <c r="E68" t="s">
        <v>391</v>
      </c>
      <c r="F68">
        <v>0.1</v>
      </c>
      <c r="G68">
        <v>0.05</v>
      </c>
      <c r="H68">
        <v>0.5</v>
      </c>
      <c r="I68" t="s">
        <v>415</v>
      </c>
    </row>
    <row r="69" spans="1:9">
      <c r="B69" t="s">
        <v>972</v>
      </c>
      <c r="C69" t="s">
        <v>971</v>
      </c>
      <c r="E69" t="s">
        <v>496</v>
      </c>
      <c r="I69" t="s">
        <v>973</v>
      </c>
    </row>
    <row r="70" spans="1:9" s="57" customFormat="1">
      <c r="B70" s="5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3" customWidth="1"/>
    <col min="4" max="4" width="9.83203125" style="113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2</v>
      </c>
      <c r="K1" s="42" t="s">
        <v>5</v>
      </c>
      <c r="S1" s="26">
        <v>3.7854100000000002</v>
      </c>
      <c r="T1" s="105" t="s">
        <v>211</v>
      </c>
    </row>
    <row r="2" spans="1:28" s="36" customFormat="1">
      <c r="A2" s="41" t="s">
        <v>210</v>
      </c>
      <c r="C2" s="192">
        <f>C4+C5</f>
        <v>18.482496322776335</v>
      </c>
      <c r="D2" s="193"/>
      <c r="G2" s="53"/>
      <c r="K2" s="232" t="s">
        <v>570</v>
      </c>
    </row>
    <row r="3" spans="1:28" s="46" customFormat="1">
      <c r="A3" s="110" t="s">
        <v>226</v>
      </c>
      <c r="B3" s="99" t="s">
        <v>227</v>
      </c>
      <c r="C3" s="194">
        <f>E3*G3</f>
        <v>0</v>
      </c>
      <c r="D3" s="195"/>
      <c r="E3" s="207">
        <f>GlobalFactorsADsensitivity.csv!F17</f>
        <v>5.8295314000000005</v>
      </c>
      <c r="F3" s="112"/>
      <c r="G3" s="206"/>
      <c r="H3" s="99" t="s">
        <v>245</v>
      </c>
      <c r="I3" s="279" t="s">
        <v>739</v>
      </c>
      <c r="J3" s="231" t="s">
        <v>497</v>
      </c>
      <c r="K3" s="99" t="s">
        <v>228</v>
      </c>
    </row>
    <row r="4" spans="1:28">
      <c r="A4" s="105" t="s">
        <v>347</v>
      </c>
      <c r="B4" s="99" t="s">
        <v>397</v>
      </c>
      <c r="C4" s="196">
        <f>E3*G4</f>
        <v>15.859207192776333</v>
      </c>
      <c r="G4" s="178">
        <f>GlobalFactorsADsensitivity.csv!F4</f>
        <v>2.7204943424399999</v>
      </c>
      <c r="H4" s="105"/>
      <c r="I4" s="105"/>
      <c r="K4" s="99"/>
      <c r="M4" s="105"/>
      <c r="Q4" s="113"/>
    </row>
    <row r="5" spans="1:28">
      <c r="A5" s="105" t="s">
        <v>232</v>
      </c>
      <c r="B5" s="105" t="s">
        <v>28</v>
      </c>
      <c r="C5" s="196">
        <f>G5*E3</f>
        <v>2.6232891300000003</v>
      </c>
      <c r="G5" s="179">
        <f>GlobalFactorsADsensitivity.csv!F3</f>
        <v>0.45</v>
      </c>
      <c r="H5" s="105" t="s">
        <v>233</v>
      </c>
      <c r="I5" s="105"/>
      <c r="K5" s="26" t="s">
        <v>234</v>
      </c>
    </row>
    <row r="6" spans="1:28" s="36" customFormat="1">
      <c r="A6" s="41" t="s">
        <v>212</v>
      </c>
      <c r="B6" s="41"/>
      <c r="C6" s="192"/>
      <c r="D6" s="193"/>
    </row>
    <row r="7" spans="1:28" hidden="1">
      <c r="A7" s="26" t="s">
        <v>96</v>
      </c>
      <c r="F7" s="184">
        <v>0.14399999999999999</v>
      </c>
      <c r="H7" s="105"/>
      <c r="I7" s="105" t="s">
        <v>399</v>
      </c>
      <c r="K7" s="105" t="s">
        <v>400</v>
      </c>
    </row>
    <row r="8" spans="1:28">
      <c r="A8" s="26" t="s">
        <v>95</v>
      </c>
      <c r="B8" s="189" t="s">
        <v>22</v>
      </c>
      <c r="E8" s="35">
        <f>GlobalFactorsADsensitivity.csv!F18</f>
        <v>0.35</v>
      </c>
      <c r="F8" s="184"/>
      <c r="H8" s="108" t="s">
        <v>401</v>
      </c>
      <c r="I8" s="108"/>
      <c r="K8" s="26" t="s">
        <v>402</v>
      </c>
    </row>
    <row r="9" spans="1:28">
      <c r="A9" s="105" t="s">
        <v>386</v>
      </c>
      <c r="B9" s="189" t="s">
        <v>22</v>
      </c>
      <c r="E9" s="35">
        <v>1</v>
      </c>
      <c r="F9" s="184"/>
      <c r="H9" s="108" t="s">
        <v>112</v>
      </c>
      <c r="I9" s="108" t="s">
        <v>403</v>
      </c>
      <c r="K9" s="189" t="s">
        <v>431</v>
      </c>
    </row>
    <row r="10" spans="1:28">
      <c r="A10" s="105" t="s">
        <v>385</v>
      </c>
      <c r="B10" s="189" t="s">
        <v>22</v>
      </c>
      <c r="E10" s="35">
        <f>GlobalFactorsADsensitivity.csv!F21</f>
        <v>0.85</v>
      </c>
      <c r="F10" s="184"/>
      <c r="H10" s="105" t="s">
        <v>112</v>
      </c>
      <c r="I10" s="105" t="s">
        <v>405</v>
      </c>
      <c r="K10" s="177" t="s">
        <v>404</v>
      </c>
      <c r="Y10" s="37" t="e">
        <f>#REF!*44/12</f>
        <v>#REF!</v>
      </c>
      <c r="Z10" s="34" t="s">
        <v>78</v>
      </c>
      <c r="AB10" s="34" t="s">
        <v>77</v>
      </c>
    </row>
    <row r="11" spans="1:28">
      <c r="A11" s="26" t="s">
        <v>146</v>
      </c>
      <c r="F11" s="185">
        <f>Parameters!E26</f>
        <v>334.11111111111109</v>
      </c>
    </row>
    <row r="12" spans="1:28">
      <c r="A12" s="26" t="s">
        <v>120</v>
      </c>
      <c r="F12" s="184">
        <f>Parameters!D26</f>
        <v>0.27</v>
      </c>
    </row>
    <row r="13" spans="1:28">
      <c r="A13" s="26" t="s">
        <v>76</v>
      </c>
      <c r="B13" s="26" t="s">
        <v>130</v>
      </c>
      <c r="F13" s="186">
        <f>Parameters!E26*Parameters!D26</f>
        <v>90.21</v>
      </c>
      <c r="K13" s="26" t="s">
        <v>122</v>
      </c>
    </row>
    <row r="14" spans="1:28" s="48" customFormat="1">
      <c r="A14" s="47" t="s">
        <v>124</v>
      </c>
      <c r="B14" s="48" t="s">
        <v>131</v>
      </c>
      <c r="C14" s="197">
        <f>F13*D16*Parameters!C19*Parameters!C6</f>
        <v>633.28567808985076</v>
      </c>
      <c r="D14" s="198"/>
      <c r="H14" s="48" t="s">
        <v>113</v>
      </c>
      <c r="K14" s="48" t="s">
        <v>676</v>
      </c>
    </row>
    <row r="15" spans="1:28">
      <c r="A15" s="26" t="s">
        <v>80</v>
      </c>
      <c r="B15" s="26" t="s">
        <v>125</v>
      </c>
      <c r="G15" s="35">
        <f>GlobalFactorsADsensitivity.csv!F23</f>
        <v>1</v>
      </c>
      <c r="Q15" s="105"/>
    </row>
    <row r="16" spans="1:28" ht="15" customHeight="1">
      <c r="A16" s="26" t="s">
        <v>123</v>
      </c>
      <c r="B16" s="26" t="s">
        <v>125</v>
      </c>
      <c r="D16" s="196">
        <f>E87</f>
        <v>0.37420720881899283</v>
      </c>
      <c r="K16" s="26" t="s">
        <v>121</v>
      </c>
      <c r="Q16" s="105"/>
    </row>
    <row r="17" spans="1:25" ht="15" customHeight="1">
      <c r="A17" s="105" t="s">
        <v>241</v>
      </c>
      <c r="B17" s="105" t="s">
        <v>55</v>
      </c>
      <c r="C17" s="196">
        <f>D16*F13*G15*Parameters!C19*Parameters!C6</f>
        <v>633.28567808985076</v>
      </c>
      <c r="Q17" s="105"/>
    </row>
    <row r="18" spans="1:25" s="36" customFormat="1">
      <c r="A18" s="41" t="s">
        <v>132</v>
      </c>
      <c r="B18" s="36" t="s">
        <v>28</v>
      </c>
      <c r="C18" s="192">
        <f>D23*Parameters!C14/1000</f>
        <v>56.745745492744724</v>
      </c>
      <c r="D18" s="193"/>
      <c r="G18" s="36">
        <f>Parameters!C14</f>
        <v>692.15220789071998</v>
      </c>
      <c r="V18" s="36" t="s">
        <v>79</v>
      </c>
      <c r="W18" s="36" t="s">
        <v>74</v>
      </c>
    </row>
    <row r="19" spans="1:25">
      <c r="A19" s="105" t="s">
        <v>242</v>
      </c>
      <c r="B19" s="26" t="s">
        <v>125</v>
      </c>
      <c r="D19" s="199">
        <f>F87*E10</f>
        <v>0.30109508457674078</v>
      </c>
      <c r="K19" s="105" t="s">
        <v>406</v>
      </c>
      <c r="Q19" s="105"/>
    </row>
    <row r="20" spans="1:25">
      <c r="A20" s="26" t="s">
        <v>128</v>
      </c>
      <c r="B20" s="26" t="s">
        <v>21</v>
      </c>
      <c r="D20" s="199">
        <f>F13*D19</f>
        <v>27.161787579667784</v>
      </c>
      <c r="G20" s="179">
        <f>Parameters!C20</f>
        <v>35315</v>
      </c>
      <c r="H20" s="105" t="s">
        <v>246</v>
      </c>
      <c r="I20" s="105"/>
      <c r="K20" s="105" t="s">
        <v>243</v>
      </c>
    </row>
    <row r="21" spans="1:25">
      <c r="A21" s="233" t="s">
        <v>523</v>
      </c>
      <c r="B21" s="233" t="s">
        <v>22</v>
      </c>
      <c r="D21" s="199"/>
      <c r="G21" s="179"/>
      <c r="H21" s="105"/>
      <c r="I21" s="105"/>
      <c r="K21" s="233" t="s">
        <v>524</v>
      </c>
    </row>
    <row r="22" spans="1:25">
      <c r="A22" s="189" t="s">
        <v>424</v>
      </c>
      <c r="B22" s="189" t="s">
        <v>425</v>
      </c>
      <c r="D22" s="199"/>
      <c r="E22" s="179">
        <f>GlobalFactorsADsensitivity.csv!F20</f>
        <v>11700</v>
      </c>
      <c r="F22" s="179"/>
      <c r="G22" s="233"/>
      <c r="H22" s="233" t="s">
        <v>503</v>
      </c>
      <c r="I22" s="105"/>
      <c r="K22" s="233" t="s">
        <v>502</v>
      </c>
    </row>
    <row r="23" spans="1:25">
      <c r="A23" s="26" t="s">
        <v>13</v>
      </c>
      <c r="B23" s="26" t="s">
        <v>129</v>
      </c>
      <c r="D23" s="196">
        <f>D20*G20/E22</f>
        <v>81.984489604783562</v>
      </c>
      <c r="I23" s="105"/>
      <c r="K23" s="233" t="s">
        <v>244</v>
      </c>
    </row>
    <row r="24" spans="1:25" s="120" customFormat="1">
      <c r="A24" s="120" t="s">
        <v>73</v>
      </c>
      <c r="B24" s="120" t="s">
        <v>28</v>
      </c>
      <c r="C24" s="200">
        <f>D28*-44/12</f>
        <v>-84.900355102569847</v>
      </c>
      <c r="D24" s="200">
        <f>F25*G24</f>
        <v>0</v>
      </c>
      <c r="K24" s="120" t="s">
        <v>214</v>
      </c>
      <c r="X24" s="120" t="e">
        <f>#REF!*1.1</f>
        <v>#REF!</v>
      </c>
      <c r="Y24" s="120" t="s">
        <v>55</v>
      </c>
    </row>
    <row r="25" spans="1:25" s="110" customFormat="1">
      <c r="A25" s="110" t="s">
        <v>247</v>
      </c>
      <c r="B25" s="110" t="s">
        <v>213</v>
      </c>
      <c r="C25" s="194"/>
      <c r="D25" s="194"/>
      <c r="F25" s="202">
        <f>Parameters!K26</f>
        <v>145.62668113648343</v>
      </c>
      <c r="J25" s="110" t="s">
        <v>557</v>
      </c>
      <c r="K25" s="110" t="s">
        <v>555</v>
      </c>
    </row>
    <row r="26" spans="1:25" s="110" customFormat="1">
      <c r="A26" s="110" t="s">
        <v>419</v>
      </c>
      <c r="B26" s="110" t="s">
        <v>22</v>
      </c>
      <c r="C26" s="194"/>
      <c r="D26" s="194"/>
      <c r="F26" s="188">
        <f>Parameters!M26</f>
        <v>0.84099999999999997</v>
      </c>
      <c r="J26" s="110" t="s">
        <v>557</v>
      </c>
      <c r="K26" s="110" t="s">
        <v>554</v>
      </c>
    </row>
    <row r="27" spans="1:25" s="41" customFormat="1">
      <c r="A27" s="41" t="s">
        <v>558</v>
      </c>
      <c r="C27" s="192"/>
      <c r="D27" s="192"/>
      <c r="E27" s="241"/>
      <c r="F27" s="242"/>
      <c r="J27" s="41" t="s">
        <v>556</v>
      </c>
      <c r="K27" s="41" t="s">
        <v>388</v>
      </c>
    </row>
    <row r="28" spans="1:25" s="46" customFormat="1">
      <c r="A28" s="110" t="s">
        <v>298</v>
      </c>
      <c r="B28" s="187" t="s">
        <v>360</v>
      </c>
      <c r="C28" s="195"/>
      <c r="D28" s="194">
        <f>F25*(1-F26)</f>
        <v>23.154642300700868</v>
      </c>
      <c r="F28" s="156"/>
      <c r="G28" s="240"/>
      <c r="H28" s="239"/>
      <c r="I28" s="239"/>
      <c r="K28" s="110" t="s">
        <v>581</v>
      </c>
    </row>
    <row r="29" spans="1:25">
      <c r="A29" s="233" t="s">
        <v>501</v>
      </c>
      <c r="B29" s="233" t="s">
        <v>559</v>
      </c>
      <c r="G29" s="178"/>
      <c r="H29" s="244">
        <f>D28/0.3/1000</f>
        <v>7.7182141002336224E-2</v>
      </c>
      <c r="I29" s="261"/>
      <c r="J29" s="28"/>
      <c r="K29" s="233" t="s">
        <v>673</v>
      </c>
    </row>
    <row r="31" spans="1:25">
      <c r="A31" s="41" t="s">
        <v>387</v>
      </c>
      <c r="B31" s="41" t="s">
        <v>387</v>
      </c>
      <c r="C31" s="192">
        <f>SUM(C14,C18,C24,C2)</f>
        <v>623.61356480280199</v>
      </c>
      <c r="K31" s="105"/>
    </row>
    <row r="32" spans="1:25">
      <c r="C32" s="113">
        <v>3</v>
      </c>
    </row>
    <row r="34" spans="1:23">
      <c r="A34" s="38" t="s">
        <v>93</v>
      </c>
      <c r="H34" s="234" t="s">
        <v>464</v>
      </c>
      <c r="L34" s="36" t="s">
        <v>94</v>
      </c>
      <c r="M34" s="118"/>
      <c r="N34" s="36"/>
      <c r="O34" s="36"/>
      <c r="P34" s="117" t="s">
        <v>240</v>
      </c>
      <c r="Q34" s="36"/>
      <c r="R34" s="36"/>
      <c r="S34" s="36"/>
      <c r="T34" s="36"/>
      <c r="W34" s="105" t="s">
        <v>237</v>
      </c>
    </row>
    <row r="35" spans="1:23" ht="16">
      <c r="B35" s="105" t="s">
        <v>239</v>
      </c>
      <c r="C35" s="201"/>
      <c r="D35" s="113" t="s">
        <v>82</v>
      </c>
      <c r="K35" s="119" t="s">
        <v>92</v>
      </c>
      <c r="L35" s="119"/>
      <c r="M35" s="36"/>
      <c r="N35" s="117" t="s">
        <v>236</v>
      </c>
      <c r="O35" s="36" t="s">
        <v>90</v>
      </c>
      <c r="P35" s="36"/>
      <c r="Q35" s="36"/>
      <c r="R35" s="36"/>
      <c r="S35" s="36"/>
    </row>
    <row r="36" spans="1:23">
      <c r="A36" s="26" t="s">
        <v>89</v>
      </c>
      <c r="B36" s="105" t="s">
        <v>219</v>
      </c>
      <c r="C36" s="201" t="s">
        <v>91</v>
      </c>
      <c r="D36" s="262" t="s">
        <v>674</v>
      </c>
      <c r="E36" s="105" t="s">
        <v>221</v>
      </c>
      <c r="F36" s="105" t="s">
        <v>220</v>
      </c>
      <c r="G36" s="36" t="s">
        <v>88</v>
      </c>
      <c r="H36" s="36"/>
      <c r="I36" s="36" t="s">
        <v>87</v>
      </c>
      <c r="J36" s="36" t="s">
        <v>86</v>
      </c>
      <c r="K36" s="36" t="s">
        <v>85</v>
      </c>
      <c r="L36" s="36" t="s">
        <v>84</v>
      </c>
      <c r="M36" s="36" t="s">
        <v>83</v>
      </c>
      <c r="N36" s="36" t="s">
        <v>82</v>
      </c>
      <c r="O36" s="36" t="s">
        <v>81</v>
      </c>
    </row>
    <row r="37" spans="1:23">
      <c r="A37" s="26">
        <v>1</v>
      </c>
      <c r="B37" s="26">
        <f t="shared" ref="B37:B68" si="0">$F$7*EXP(-$F$7*A37)</f>
        <v>0.12468783572052551</v>
      </c>
      <c r="C37" s="113">
        <v>0.1</v>
      </c>
      <c r="D37" s="113">
        <v>0</v>
      </c>
      <c r="E37" s="280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3">
        <v>0.1</v>
      </c>
      <c r="D38" s="113">
        <v>0</v>
      </c>
      <c r="E38" s="280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3">
        <v>0.2</v>
      </c>
      <c r="D39" s="113">
        <v>0.5</v>
      </c>
      <c r="E39" s="280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62">
        <v>0.2</v>
      </c>
      <c r="D40" s="113">
        <v>0.5</v>
      </c>
      <c r="E40" s="280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62">
        <v>0.2</v>
      </c>
      <c r="D41" s="113">
        <v>0.5</v>
      </c>
      <c r="E41" s="280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62">
        <v>0.2</v>
      </c>
      <c r="D42" s="113">
        <v>0.75</v>
      </c>
      <c r="E42" s="280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62">
        <v>0.2</v>
      </c>
      <c r="D43" s="113">
        <v>0.75</v>
      </c>
      <c r="E43" s="280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62">
        <v>0.2</v>
      </c>
      <c r="D44" s="113">
        <v>0.75</v>
      </c>
      <c r="E44" s="280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62">
        <v>0.2</v>
      </c>
      <c r="D45" s="113">
        <v>0.75</v>
      </c>
      <c r="E45" s="280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3">
        <v>0.35</v>
      </c>
      <c r="D46" s="113">
        <v>0.75</v>
      </c>
      <c r="E46" s="280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62">
        <v>0.35</v>
      </c>
      <c r="D47" s="113">
        <v>0.75</v>
      </c>
      <c r="E47" s="280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62">
        <v>0.35</v>
      </c>
      <c r="D48" s="113">
        <v>0.75</v>
      </c>
      <c r="E48" s="280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62">
        <v>0.35</v>
      </c>
      <c r="D49" s="113">
        <v>0.75</v>
      </c>
      <c r="E49" s="280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62">
        <v>0.35</v>
      </c>
      <c r="D50" s="113">
        <v>0.75</v>
      </c>
      <c r="E50" s="280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62">
        <v>0.35</v>
      </c>
      <c r="D51" s="113">
        <v>0.75</v>
      </c>
      <c r="E51" s="280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62">
        <v>0.35</v>
      </c>
      <c r="D52" s="113">
        <f>GlobalFactorsADsensitivity.csv!F22</f>
        <v>0.95</v>
      </c>
      <c r="E52" s="280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62">
        <v>0.35</v>
      </c>
      <c r="D53" s="113">
        <v>0.95</v>
      </c>
      <c r="E53" s="280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62">
        <v>0.35</v>
      </c>
      <c r="D54" s="113">
        <v>0.95</v>
      </c>
      <c r="E54" s="280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62">
        <v>0.35</v>
      </c>
      <c r="D55" s="113">
        <v>0.95</v>
      </c>
      <c r="E55" s="280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62">
        <v>0.35</v>
      </c>
      <c r="D56" s="113">
        <v>0.95</v>
      </c>
      <c r="E56" s="280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62">
        <v>0.35</v>
      </c>
      <c r="D57" s="113">
        <v>0.95</v>
      </c>
      <c r="E57" s="280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62">
        <v>0.35</v>
      </c>
      <c r="D58" s="113">
        <v>0.95</v>
      </c>
      <c r="E58" s="280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62">
        <v>0.35</v>
      </c>
      <c r="D59" s="113">
        <v>0.95</v>
      </c>
      <c r="E59" s="280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62">
        <v>0.35</v>
      </c>
      <c r="D60" s="113">
        <v>0.95</v>
      </c>
      <c r="E60" s="280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62">
        <v>0.35</v>
      </c>
      <c r="D61" s="113">
        <v>0.95</v>
      </c>
      <c r="E61" s="280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62">
        <v>0.35</v>
      </c>
      <c r="D62" s="113">
        <v>0.95</v>
      </c>
      <c r="E62" s="280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62">
        <v>0.35</v>
      </c>
      <c r="D63" s="113">
        <v>0.95</v>
      </c>
      <c r="E63" s="280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62">
        <v>0.35</v>
      </c>
      <c r="D64" s="113">
        <v>0.95</v>
      </c>
      <c r="E64" s="280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62">
        <v>0.35</v>
      </c>
      <c r="D65" s="113">
        <v>0.95</v>
      </c>
      <c r="E65" s="280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62">
        <v>0.35</v>
      </c>
      <c r="D66" s="113">
        <v>0.95</v>
      </c>
      <c r="E66" s="280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62">
        <v>0.35</v>
      </c>
      <c r="D67" s="113">
        <v>0.95</v>
      </c>
      <c r="E67" s="280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62">
        <v>0.35</v>
      </c>
      <c r="D68" s="113">
        <v>0.95</v>
      </c>
      <c r="E68" s="280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62">
        <v>0.35</v>
      </c>
      <c r="D69" s="113">
        <v>0.95</v>
      </c>
      <c r="E69" s="280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62">
        <v>0.35</v>
      </c>
      <c r="D70" s="113">
        <v>0.95</v>
      </c>
      <c r="E70" s="280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62">
        <v>0.35</v>
      </c>
      <c r="D71" s="113">
        <v>0.95</v>
      </c>
      <c r="E71" s="280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62">
        <v>0.35</v>
      </c>
      <c r="D72" s="113">
        <v>0.95</v>
      </c>
      <c r="E72" s="280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62">
        <v>0.35</v>
      </c>
      <c r="D73" s="113">
        <v>0.95</v>
      </c>
      <c r="E73" s="280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62">
        <v>0.35</v>
      </c>
      <c r="D74" s="113">
        <v>0.95</v>
      </c>
      <c r="E74" s="280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62">
        <v>0.35</v>
      </c>
      <c r="D75" s="113">
        <v>0.95</v>
      </c>
      <c r="E75" s="280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62">
        <v>0.35</v>
      </c>
      <c r="D76" s="113">
        <v>0.95</v>
      </c>
      <c r="E76" s="280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62">
        <v>0.35</v>
      </c>
      <c r="D77" s="113">
        <v>0.95</v>
      </c>
      <c r="E77" s="280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62">
        <v>0.35</v>
      </c>
      <c r="D78" s="113">
        <v>0.95</v>
      </c>
      <c r="E78" s="280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62">
        <v>0.35</v>
      </c>
      <c r="D79" s="113">
        <v>0.95</v>
      </c>
      <c r="E79" s="280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62">
        <v>0.35</v>
      </c>
      <c r="D80" s="113">
        <v>0.95</v>
      </c>
      <c r="E80" s="280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62">
        <v>0.35</v>
      </c>
      <c r="D81" s="113">
        <v>0.95</v>
      </c>
      <c r="E81" s="280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62">
        <v>0.35</v>
      </c>
      <c r="D82" s="113">
        <v>0.95</v>
      </c>
      <c r="E82" s="280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62">
        <v>0.35</v>
      </c>
      <c r="D83" s="113">
        <v>0.95</v>
      </c>
      <c r="E83" s="280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62">
        <v>0.35</v>
      </c>
      <c r="D84" s="113">
        <v>0.95</v>
      </c>
      <c r="E84" s="280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62">
        <v>0.35</v>
      </c>
      <c r="D85" s="113">
        <v>0.95</v>
      </c>
      <c r="E85" s="280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62">
        <v>0.35</v>
      </c>
      <c r="D86" s="113">
        <v>0.95</v>
      </c>
      <c r="E86" s="280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62">
        <v>0.35</v>
      </c>
      <c r="E87" s="208">
        <f>SUM(E37:E86)</f>
        <v>0.37420720881899283</v>
      </c>
      <c r="F87" s="109">
        <f>SUM(F37:F86)</f>
        <v>0.35422951126675384</v>
      </c>
      <c r="G87" s="109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63" t="s">
        <v>675</v>
      </c>
      <c r="B88" s="105"/>
      <c r="Z88" s="35" t="e">
        <f>SUM(AA38:AA87)</f>
        <v>#REF!</v>
      </c>
      <c r="AA88" s="109">
        <f>SUM(AB38:AB87)</f>
        <v>4.0471997078720931E-5</v>
      </c>
      <c r="AB88" s="109" t="e">
        <f>SUM(AC38:AC87)</f>
        <v>#REF!</v>
      </c>
      <c r="AC88" s="26" t="e">
        <f>Z88+AA88+AB88</f>
        <v>#REF!</v>
      </c>
    </row>
    <row r="89" spans="1:30">
      <c r="A89" s="26" t="s">
        <v>75</v>
      </c>
    </row>
    <row r="90" spans="1:30">
      <c r="A90" s="105" t="s">
        <v>238</v>
      </c>
      <c r="AD90" s="26" t="s">
        <v>69</v>
      </c>
    </row>
    <row r="91" spans="1:30">
      <c r="A91" s="26" t="s">
        <v>72</v>
      </c>
      <c r="B91" s="34" t="s">
        <v>71</v>
      </c>
      <c r="D91" s="113" t="s">
        <v>62</v>
      </c>
    </row>
    <row r="92" spans="1:30">
      <c r="A92" s="105" t="s">
        <v>215</v>
      </c>
      <c r="B92" s="106">
        <f>D20</f>
        <v>27.161787579667784</v>
      </c>
      <c r="C92" s="113" t="s">
        <v>70</v>
      </c>
      <c r="D92" s="113" t="s">
        <v>62</v>
      </c>
    </row>
    <row r="93" spans="1:30">
      <c r="A93" s="26" t="s">
        <v>68</v>
      </c>
      <c r="B93" s="26">
        <v>35315</v>
      </c>
      <c r="C93" s="113" t="s">
        <v>67</v>
      </c>
    </row>
    <row r="94" spans="1:30">
      <c r="A94" s="33" t="s">
        <v>66</v>
      </c>
      <c r="B94" s="26">
        <v>11700</v>
      </c>
      <c r="C94" s="113" t="s">
        <v>65</v>
      </c>
      <c r="D94" s="113" t="s">
        <v>58</v>
      </c>
      <c r="H94" s="32"/>
      <c r="I94" s="32"/>
      <c r="K94" s="105">
        <v>3412</v>
      </c>
      <c r="L94" s="105" t="s">
        <v>216</v>
      </c>
      <c r="M94" s="107">
        <f>K94/B94</f>
        <v>0.29162393162393163</v>
      </c>
      <c r="N94" s="105" t="s">
        <v>218</v>
      </c>
    </row>
    <row r="95" spans="1:30">
      <c r="A95" s="26" t="s">
        <v>64</v>
      </c>
      <c r="B95" s="26">
        <v>1</v>
      </c>
      <c r="C95" s="113" t="s">
        <v>63</v>
      </c>
      <c r="K95" s="105" t="s">
        <v>217</v>
      </c>
    </row>
    <row r="96" spans="1:30">
      <c r="B96" s="26">
        <f>B92*B93/B94*B95</f>
        <v>81.984489604783562</v>
      </c>
      <c r="C96" s="113" t="s">
        <v>61</v>
      </c>
    </row>
    <row r="97" spans="1:15">
      <c r="A97" s="26" t="s">
        <v>60</v>
      </c>
      <c r="B97" s="26">
        <f>-D100/1000</f>
        <v>-0.53737674279288006</v>
      </c>
      <c r="C97" s="113" t="s">
        <v>59</v>
      </c>
      <c r="D97" s="113" t="s">
        <v>54</v>
      </c>
      <c r="E97" s="26" t="s">
        <v>53</v>
      </c>
    </row>
    <row r="98" spans="1:15">
      <c r="B98" s="30">
        <f>B96*B97</f>
        <v>-44.056557983355326</v>
      </c>
      <c r="C98" s="113" t="s">
        <v>57</v>
      </c>
      <c r="D98" s="113">
        <v>1253.77</v>
      </c>
      <c r="E98" s="26">
        <v>36.83</v>
      </c>
    </row>
    <row r="99" spans="1:15">
      <c r="B99" s="31"/>
      <c r="G99" s="26" t="s">
        <v>52</v>
      </c>
    </row>
    <row r="100" spans="1:15">
      <c r="A100" s="26" t="s">
        <v>56</v>
      </c>
      <c r="B100" s="30" t="e">
        <f>#REF!+B98</f>
        <v>#REF!</v>
      </c>
      <c r="C100" s="113" t="s">
        <v>55</v>
      </c>
      <c r="D100" s="113">
        <v>537.37674279288001</v>
      </c>
      <c r="E100" s="27" t="s">
        <v>51</v>
      </c>
      <c r="F100" s="27"/>
      <c r="G100" s="26">
        <v>13.67</v>
      </c>
    </row>
    <row r="102" spans="1:15">
      <c r="A102" s="26" t="s">
        <v>301</v>
      </c>
      <c r="B102" s="26" t="s">
        <v>302</v>
      </c>
      <c r="C102" s="113" t="s">
        <v>303</v>
      </c>
      <c r="D102" s="113" t="s">
        <v>304</v>
      </c>
      <c r="E102" s="26" t="s">
        <v>305</v>
      </c>
      <c r="G102" s="26" t="s">
        <v>306</v>
      </c>
    </row>
    <row r="103" spans="1:15">
      <c r="A103" s="26" t="s">
        <v>307</v>
      </c>
      <c r="B103" s="26" t="s">
        <v>302</v>
      </c>
      <c r="C103" s="113" t="s">
        <v>308</v>
      </c>
      <c r="D103" s="113" t="s">
        <v>309</v>
      </c>
      <c r="E103" s="26" t="s">
        <v>310</v>
      </c>
      <c r="G103" s="26" t="s">
        <v>311</v>
      </c>
      <c r="H103" s="26" t="s">
        <v>312</v>
      </c>
      <c r="J103" s="26" t="s">
        <v>313</v>
      </c>
      <c r="K103" s="26" t="s">
        <v>308</v>
      </c>
      <c r="L103" s="26" t="s">
        <v>314</v>
      </c>
      <c r="M103" s="26" t="s">
        <v>315</v>
      </c>
      <c r="N103" s="26" t="s">
        <v>316</v>
      </c>
      <c r="O103" s="26">
        <v>-2009</v>
      </c>
    </row>
    <row r="104" spans="1:15">
      <c r="A104" s="26" t="s">
        <v>317</v>
      </c>
      <c r="B104" s="26" t="s">
        <v>302</v>
      </c>
      <c r="C104" s="113" t="s">
        <v>308</v>
      </c>
      <c r="D104" s="113" t="s">
        <v>309</v>
      </c>
      <c r="E104" s="26">
        <v>2.7</v>
      </c>
      <c r="G104" s="26" t="s">
        <v>311</v>
      </c>
      <c r="H104" s="26" t="s">
        <v>312</v>
      </c>
      <c r="J104" s="26" t="s">
        <v>313</v>
      </c>
      <c r="K104" s="26" t="s">
        <v>308</v>
      </c>
      <c r="L104" s="26" t="s">
        <v>314</v>
      </c>
      <c r="M104" s="26" t="s">
        <v>315</v>
      </c>
      <c r="N104" s="26" t="s">
        <v>316</v>
      </c>
      <c r="O104" s="26">
        <v>-2009</v>
      </c>
    </row>
    <row r="105" spans="1:15">
      <c r="A105" s="26" t="s">
        <v>307</v>
      </c>
      <c r="B105" s="26" t="s">
        <v>302</v>
      </c>
      <c r="C105" s="113" t="s">
        <v>318</v>
      </c>
      <c r="D105" s="113" t="s">
        <v>319</v>
      </c>
      <c r="E105" s="26" t="s">
        <v>311</v>
      </c>
      <c r="G105" s="26" t="s">
        <v>312</v>
      </c>
      <c r="H105" s="26" t="s">
        <v>320</v>
      </c>
      <c r="J105" s="26" t="s">
        <v>314</v>
      </c>
      <c r="K105" s="26" t="s">
        <v>315</v>
      </c>
      <c r="L105" s="26" t="s">
        <v>316</v>
      </c>
      <c r="M105" s="26">
        <v>-2009</v>
      </c>
    </row>
    <row r="106" spans="1:15">
      <c r="A106" s="26" t="s">
        <v>321</v>
      </c>
      <c r="B106" s="26" t="s">
        <v>302</v>
      </c>
      <c r="C106" s="113" t="s">
        <v>50</v>
      </c>
      <c r="D106" s="113" t="s">
        <v>322</v>
      </c>
      <c r="E106" s="26" t="s">
        <v>323</v>
      </c>
      <c r="G106" s="26" t="s">
        <v>311</v>
      </c>
      <c r="H106" s="26" t="s">
        <v>312</v>
      </c>
      <c r="J106" s="26" t="s">
        <v>311</v>
      </c>
      <c r="K106" s="26" t="s">
        <v>324</v>
      </c>
      <c r="L106" s="26" t="s">
        <v>325</v>
      </c>
      <c r="M106" s="26">
        <v>10</v>
      </c>
    </row>
    <row r="107" spans="1:15">
      <c r="A107" s="26" t="s">
        <v>321</v>
      </c>
      <c r="B107" s="26" t="s">
        <v>302</v>
      </c>
      <c r="C107" s="113" t="s">
        <v>326</v>
      </c>
      <c r="D107" s="113" t="s">
        <v>322</v>
      </c>
      <c r="E107" s="26" t="s">
        <v>327</v>
      </c>
      <c r="G107" s="26" t="s">
        <v>311</v>
      </c>
      <c r="H107" s="26" t="s">
        <v>312</v>
      </c>
      <c r="J107" s="26" t="s">
        <v>311</v>
      </c>
      <c r="K107" s="26" t="s">
        <v>328</v>
      </c>
      <c r="L107" s="26" t="s">
        <v>325</v>
      </c>
      <c r="M107" s="26">
        <v>10</v>
      </c>
    </row>
    <row r="108" spans="1:15">
      <c r="A108" s="26" t="s">
        <v>321</v>
      </c>
      <c r="B108" s="26" t="s">
        <v>302</v>
      </c>
      <c r="C108" s="113" t="s">
        <v>329</v>
      </c>
      <c r="D108" s="113" t="s">
        <v>322</v>
      </c>
      <c r="E108" s="26" t="s">
        <v>330</v>
      </c>
      <c r="G108" s="26" t="s">
        <v>311</v>
      </c>
      <c r="H108" s="26" t="s">
        <v>312</v>
      </c>
      <c r="J108" s="26" t="s">
        <v>311</v>
      </c>
      <c r="K108" s="26" t="s">
        <v>331</v>
      </c>
      <c r="L108" s="26" t="s">
        <v>325</v>
      </c>
      <c r="M108" s="26">
        <v>10</v>
      </c>
    </row>
    <row r="109" spans="1:15">
      <c r="A109" s="26" t="s">
        <v>321</v>
      </c>
      <c r="B109" s="26" t="s">
        <v>302</v>
      </c>
      <c r="C109" s="113" t="s">
        <v>332</v>
      </c>
      <c r="D109" s="113" t="s">
        <v>333</v>
      </c>
      <c r="E109" s="26" t="s">
        <v>311</v>
      </c>
      <c r="G109" s="26" t="s">
        <v>312</v>
      </c>
      <c r="H109" s="26" t="s">
        <v>334</v>
      </c>
      <c r="J109" s="26" t="s">
        <v>332</v>
      </c>
      <c r="K109" s="26" t="s">
        <v>335</v>
      </c>
      <c r="L109" s="26" t="s">
        <v>336</v>
      </c>
      <c r="M109" s="26" t="s">
        <v>337</v>
      </c>
      <c r="N109" s="26" t="s">
        <v>338</v>
      </c>
      <c r="O109" s="26" t="s">
        <v>339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>
      <selection activeCell="C10" sqref="C1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420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195</v>
      </c>
      <c r="B3" t="s">
        <v>4</v>
      </c>
      <c r="F3" s="10">
        <v>0.107</v>
      </c>
      <c r="G3" s="1" t="s">
        <v>7</v>
      </c>
      <c r="H3" s="6" t="s">
        <v>164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106</v>
      </c>
    </row>
    <row r="7" spans="1:20" hidden="1">
      <c r="A7" t="s">
        <v>114</v>
      </c>
      <c r="H7" t="s">
        <v>205</v>
      </c>
    </row>
    <row r="8" spans="1:20" hidden="1">
      <c r="A8" t="s">
        <v>115</v>
      </c>
      <c r="B8" s="98"/>
      <c r="H8" t="s">
        <v>206</v>
      </c>
    </row>
    <row r="9" spans="1:20" hidden="1">
      <c r="A9" t="s">
        <v>116</v>
      </c>
      <c r="H9" t="s">
        <v>117</v>
      </c>
    </row>
    <row r="10" spans="1:20" s="44" customFormat="1">
      <c r="A10" s="44" t="s">
        <v>616</v>
      </c>
      <c r="B10" s="44" t="s">
        <v>615</v>
      </c>
      <c r="C10" s="247">
        <f>D13*(GlobalFactorsADsensitivity.csv!F4+GlobalFactorsADsensitivity.csv!F3)</f>
        <v>8.4018100074660005</v>
      </c>
    </row>
    <row r="11" spans="1:20">
      <c r="A11" t="s">
        <v>611</v>
      </c>
      <c r="B11" t="s">
        <v>520</v>
      </c>
      <c r="E11">
        <v>10.6</v>
      </c>
    </row>
    <row r="12" spans="1:20">
      <c r="A12" t="s">
        <v>614</v>
      </c>
      <c r="B12" t="s">
        <v>612</v>
      </c>
      <c r="E12">
        <v>0.25</v>
      </c>
      <c r="J12" t="s">
        <v>626</v>
      </c>
    </row>
    <row r="13" spans="1:20">
      <c r="A13" t="s">
        <v>613</v>
      </c>
      <c r="B13" t="s">
        <v>227</v>
      </c>
      <c r="D13">
        <f>E11*E12</f>
        <v>2.65</v>
      </c>
      <c r="J13" t="s">
        <v>641</v>
      </c>
    </row>
    <row r="14" spans="1:20" s="13" customFormat="1">
      <c r="A14" s="13" t="s">
        <v>8</v>
      </c>
      <c r="C14" s="39">
        <f>C24+C26+C31</f>
        <v>-210.84181237948536</v>
      </c>
    </row>
    <row r="15" spans="1:20">
      <c r="A15" s="15" t="s">
        <v>165</v>
      </c>
      <c r="B15" s="15" t="s">
        <v>21</v>
      </c>
      <c r="C15" s="2"/>
      <c r="D15" s="2"/>
      <c r="F15" s="258">
        <f>Parameters!E26*Parameters!B26</f>
        <v>100.23333333333332</v>
      </c>
      <c r="G15" s="93"/>
      <c r="I15" s="5"/>
    </row>
    <row r="16" spans="1:20" s="15" customFormat="1">
      <c r="A16" s="15" t="s">
        <v>710</v>
      </c>
      <c r="B16" s="15" t="s">
        <v>657</v>
      </c>
      <c r="E16" s="265">
        <f>GlobalFactorsADsensitivity.csv!F27</f>
        <v>0.9</v>
      </c>
      <c r="F16" s="258"/>
      <c r="I16" s="14" t="s">
        <v>658</v>
      </c>
      <c r="J16" s="15" t="s">
        <v>659</v>
      </c>
    </row>
    <row r="17" spans="1:12" s="15" customFormat="1">
      <c r="A17" s="15" t="s">
        <v>653</v>
      </c>
      <c r="B17" s="15" t="s">
        <v>21</v>
      </c>
      <c r="D17" s="272">
        <f>F15*E16</f>
        <v>90.21</v>
      </c>
      <c r="H17" s="15" t="s">
        <v>654</v>
      </c>
      <c r="I17" s="14"/>
    </row>
    <row r="18" spans="1:12" s="250" customFormat="1" ht="14" customHeight="1">
      <c r="A18" s="254" t="s">
        <v>438</v>
      </c>
      <c r="B18" s="254" t="s">
        <v>439</v>
      </c>
      <c r="C18" s="255"/>
      <c r="D18" s="256"/>
      <c r="E18" s="250">
        <f>GlobalFactorsADsensitivity.csv!F28</f>
        <v>0</v>
      </c>
      <c r="H18" s="250" t="s">
        <v>10</v>
      </c>
      <c r="I18" s="250" t="s">
        <v>421</v>
      </c>
      <c r="J18" s="250" t="s">
        <v>17</v>
      </c>
    </row>
    <row r="19" spans="1:12" s="15" customFormat="1">
      <c r="A19" s="15" t="s">
        <v>655</v>
      </c>
      <c r="B19" s="15" t="s">
        <v>130</v>
      </c>
      <c r="D19" s="266">
        <f>D17*E19</f>
        <v>4.5104999999999995</v>
      </c>
      <c r="E19" s="265">
        <f>GlobalFactorsADsensitivity.csv!F29</f>
        <v>0.05</v>
      </c>
      <c r="F19" s="258"/>
      <c r="H19" s="15" t="s">
        <v>654</v>
      </c>
      <c r="I19" s="14"/>
    </row>
    <row r="20" spans="1:12" s="15" customFormat="1">
      <c r="A20" s="15" t="s">
        <v>655</v>
      </c>
      <c r="B20" s="15" t="s">
        <v>353</v>
      </c>
      <c r="C20" s="259"/>
      <c r="D20" s="259">
        <f>D19*Parameters!C19</f>
        <v>3.0220349999999998</v>
      </c>
      <c r="F20" s="258"/>
      <c r="G20" s="265"/>
      <c r="I20" s="14"/>
    </row>
    <row r="21" spans="1:12" s="15" customFormat="1">
      <c r="A21" s="15" t="s">
        <v>713</v>
      </c>
      <c r="B21" s="15" t="s">
        <v>21</v>
      </c>
      <c r="D21" s="266">
        <f>D17*E18</f>
        <v>0</v>
      </c>
      <c r="E21" s="283">
        <f>GlobalFactorsADsensitivity.csv!F28</f>
        <v>0</v>
      </c>
      <c r="F21" s="258"/>
      <c r="H21" s="15" t="s">
        <v>654</v>
      </c>
      <c r="I21" s="14"/>
      <c r="J21" s="15" t="s">
        <v>714</v>
      </c>
    </row>
    <row r="22" spans="1:12" s="15" customFormat="1">
      <c r="A22" s="15" t="s">
        <v>713</v>
      </c>
      <c r="B22" s="15" t="s">
        <v>353</v>
      </c>
      <c r="D22" s="266">
        <f>D21*Parameters!C19</f>
        <v>0</v>
      </c>
      <c r="F22" s="258"/>
      <c r="G22" s="265"/>
      <c r="I22" s="14"/>
      <c r="J22" s="15" t="s">
        <v>715</v>
      </c>
    </row>
    <row r="23" spans="1:12" s="15" customFormat="1">
      <c r="A23" s="15" t="s">
        <v>711</v>
      </c>
      <c r="B23" s="15" t="s">
        <v>130</v>
      </c>
      <c r="D23" s="267">
        <f>D17-D21-D19</f>
        <v>85.6995</v>
      </c>
      <c r="F23" s="258"/>
      <c r="G23" s="265"/>
      <c r="H23" s="15" t="s">
        <v>654</v>
      </c>
      <c r="I23" s="14"/>
    </row>
    <row r="24" spans="1:12" s="6" customFormat="1" ht="14" customHeight="1">
      <c r="A24" s="14" t="s">
        <v>656</v>
      </c>
      <c r="B24" s="14" t="s">
        <v>28</v>
      </c>
      <c r="C24" s="9">
        <f>D22*Parameters!C6</f>
        <v>0</v>
      </c>
      <c r="D24" s="214"/>
    </row>
    <row r="25" spans="1:12" s="6" customFormat="1" ht="14" customHeight="1">
      <c r="A25" s="209" t="s">
        <v>440</v>
      </c>
      <c r="B25" s="14" t="s">
        <v>439</v>
      </c>
      <c r="C25" s="83"/>
      <c r="D25" s="214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09" t="s">
        <v>194</v>
      </c>
      <c r="B26" s="14" t="s">
        <v>28</v>
      </c>
      <c r="C26" s="21">
        <f>D26*Parameters!C19*Parameters!C6</f>
        <v>8.038613100000001</v>
      </c>
      <c r="D26" s="215">
        <f>D23*E25</f>
        <v>0.42849750000000003</v>
      </c>
    </row>
    <row r="27" spans="1:12" s="250" customFormat="1">
      <c r="A27" s="254" t="s">
        <v>166</v>
      </c>
      <c r="B27" s="254" t="s">
        <v>791</v>
      </c>
      <c r="D27" s="257"/>
      <c r="E27" s="257">
        <f>GlobalFactorsADsensitivity.csv!F31</f>
        <v>4.19318820416827</v>
      </c>
      <c r="G27" s="257"/>
      <c r="H27" s="250" t="s">
        <v>16</v>
      </c>
      <c r="I27" s="250" t="s">
        <v>569</v>
      </c>
      <c r="J27" s="250" t="s">
        <v>660</v>
      </c>
    </row>
    <row r="28" spans="1:12">
      <c r="A28" s="209" t="s">
        <v>13</v>
      </c>
      <c r="B28" s="209" t="s">
        <v>35</v>
      </c>
      <c r="D28" s="104">
        <f>E27*D23/1000</f>
        <v>0.35935413250311865</v>
      </c>
      <c r="F28" s="85">
        <f>0.02*K28/0.6</f>
        <v>1.1771566666666669</v>
      </c>
      <c r="G28" s="85">
        <f>0.04*K28/0.6</f>
        <v>2.3543133333333337</v>
      </c>
      <c r="J28" s="80" t="s">
        <v>634</v>
      </c>
      <c r="K28">
        <v>35.314700000000002</v>
      </c>
      <c r="L28" t="s">
        <v>633</v>
      </c>
    </row>
    <row r="29" spans="1:12">
      <c r="A29" s="209" t="s">
        <v>422</v>
      </c>
      <c r="B29" s="14" t="s">
        <v>441</v>
      </c>
      <c r="D29" s="104"/>
      <c r="E29" s="10">
        <f>GlobalFactorsADsensitivity.csv!F32</f>
        <v>0.12</v>
      </c>
      <c r="G29" s="4"/>
      <c r="H29" t="s">
        <v>31</v>
      </c>
      <c r="I29" t="s">
        <v>423</v>
      </c>
      <c r="J29" t="s">
        <v>422</v>
      </c>
    </row>
    <row r="30" spans="1:12">
      <c r="A30" t="s">
        <v>192</v>
      </c>
      <c r="B30" t="s">
        <v>35</v>
      </c>
      <c r="D30" s="25">
        <f>D28*(1-0.12)</f>
        <v>0.31623163660274439</v>
      </c>
    </row>
    <row r="31" spans="1:12">
      <c r="A31" s="3" t="s">
        <v>33</v>
      </c>
      <c r="B31" s="16" t="s">
        <v>28</v>
      </c>
      <c r="C31" s="216">
        <f>D30*-G31</f>
        <v>-218.88042547948535</v>
      </c>
      <c r="G31" s="249">
        <f>GlobalFactorsADsensitivity.csv!F5</f>
        <v>692.15220789071998</v>
      </c>
      <c r="H31" t="s">
        <v>32</v>
      </c>
    </row>
    <row r="32" spans="1:12">
      <c r="A32" s="3" t="s">
        <v>457</v>
      </c>
      <c r="B32" s="16" t="s">
        <v>28</v>
      </c>
      <c r="G32" s="24"/>
    </row>
    <row r="33" spans="1:10" s="12" customFormat="1">
      <c r="A33" s="13" t="s">
        <v>34</v>
      </c>
      <c r="C33" s="101">
        <f>C39+D40</f>
        <v>151.25158857142856</v>
      </c>
    </row>
    <row r="34" spans="1:10" s="6" customFormat="1">
      <c r="A34" s="82" t="s">
        <v>428</v>
      </c>
      <c r="C34" s="83"/>
      <c r="F34" s="204">
        <f>Parameters!D26</f>
        <v>0.27</v>
      </c>
    </row>
    <row r="35" spans="1:10" s="6" customFormat="1">
      <c r="A35" s="45" t="s">
        <v>427</v>
      </c>
      <c r="B35" s="6" t="s">
        <v>22</v>
      </c>
      <c r="C35" s="83"/>
      <c r="E35" s="10">
        <f>GlobalFactorsADsensitivity.csv!F33</f>
        <v>0.55000000000000004</v>
      </c>
      <c r="F35" s="203"/>
      <c r="H35" s="6" t="s">
        <v>10</v>
      </c>
      <c r="I35" s="6" t="s">
        <v>426</v>
      </c>
      <c r="J35" s="6" t="s">
        <v>167</v>
      </c>
    </row>
    <row r="36" spans="1:10" s="6" customFormat="1">
      <c r="A36" s="45" t="s">
        <v>168</v>
      </c>
      <c r="B36" s="6" t="s">
        <v>170</v>
      </c>
      <c r="D36" s="205">
        <f>F34*1000*(1-E35)</f>
        <v>121.49999999999999</v>
      </c>
    </row>
    <row r="37" spans="1:10" s="250" customFormat="1">
      <c r="A37" s="252" t="s">
        <v>433</v>
      </c>
      <c r="B37" s="250" t="s">
        <v>429</v>
      </c>
      <c r="D37" s="251"/>
      <c r="E37" s="250">
        <f>GlobalFactorsADsensitivity.csv!F34</f>
        <v>5.3999999999999999E-2</v>
      </c>
      <c r="H37" s="250" t="s">
        <v>10</v>
      </c>
      <c r="I37" s="253" t="s">
        <v>461</v>
      </c>
    </row>
    <row r="38" spans="1:10">
      <c r="A38" t="s">
        <v>456</v>
      </c>
      <c r="B38" t="s">
        <v>429</v>
      </c>
      <c r="D38" s="84">
        <f>D36*E37</f>
        <v>6.5609999999999991</v>
      </c>
    </row>
    <row r="39" spans="1:10">
      <c r="A39" t="s">
        <v>432</v>
      </c>
      <c r="B39" t="s">
        <v>28</v>
      </c>
      <c r="C39" s="81">
        <f>D38*Parameters!C19*Parameters!C6</f>
        <v>123.08435999999999</v>
      </c>
      <c r="D39" s="65">
        <f>D38*Parameters!C19</f>
        <v>4.3958699999999995</v>
      </c>
      <c r="F39" s="4"/>
      <c r="G39" s="4"/>
    </row>
    <row r="40" spans="1:10">
      <c r="A40" t="s">
        <v>169</v>
      </c>
      <c r="B40" t="s">
        <v>28</v>
      </c>
      <c r="D40" s="81">
        <f>D42+D45</f>
        <v>28.167228571428574</v>
      </c>
      <c r="F40" s="4"/>
      <c r="G40" s="4"/>
    </row>
    <row r="41" spans="1:10">
      <c r="A41" t="s">
        <v>119</v>
      </c>
      <c r="B41" t="s">
        <v>171</v>
      </c>
      <c r="C41" s="5"/>
      <c r="F41" s="284">
        <f>Parameters!F26</f>
        <v>8900</v>
      </c>
      <c r="G41" s="4"/>
    </row>
    <row r="42" spans="1:10">
      <c r="A42" t="s">
        <v>434</v>
      </c>
      <c r="B42" t="s">
        <v>28</v>
      </c>
      <c r="D42" s="9">
        <f>F41/1000*Parameters!C$16*Parameters!$C$5*E42</f>
        <v>18.53107142857143</v>
      </c>
      <c r="E42" s="10">
        <f>GlobalFactorsADsensitivity.csv!F30</f>
        <v>5.0000000000000001E-3</v>
      </c>
      <c r="G42" s="4"/>
      <c r="H42" t="s">
        <v>40</v>
      </c>
      <c r="I42" s="2" t="s">
        <v>41</v>
      </c>
    </row>
    <row r="43" spans="1:10">
      <c r="A43" t="s">
        <v>446</v>
      </c>
      <c r="B43" t="s">
        <v>437</v>
      </c>
      <c r="D43" s="9"/>
      <c r="E43" s="10">
        <f>GlobalFactorsADsensitivity.csv!F36</f>
        <v>0.26</v>
      </c>
      <c r="G43" s="6"/>
      <c r="H43" t="s">
        <v>203</v>
      </c>
      <c r="I43" s="2"/>
    </row>
    <row r="44" spans="1:10">
      <c r="A44" t="s">
        <v>449</v>
      </c>
      <c r="B44" t="s">
        <v>436</v>
      </c>
      <c r="E44" s="10">
        <f>GlobalFactorsADsensitivity.csv!F37</f>
        <v>0.01</v>
      </c>
      <c r="G44" s="6"/>
      <c r="H44" t="s">
        <v>196</v>
      </c>
      <c r="I44" s="2" t="s">
        <v>42</v>
      </c>
    </row>
    <row r="45" spans="1:10">
      <c r="A45" t="s">
        <v>435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459</v>
      </c>
      <c r="B46" s="3" t="s">
        <v>28</v>
      </c>
      <c r="D46" s="20"/>
    </row>
    <row r="47" spans="1:10" s="12" customFormat="1">
      <c r="A47" s="13" t="s">
        <v>36</v>
      </c>
      <c r="C47" s="101">
        <f>C51+C54+C59</f>
        <v>-7.7868581351785755</v>
      </c>
    </row>
    <row r="48" spans="1:10" s="6" customFormat="1" hidden="1">
      <c r="A48" s="45" t="s">
        <v>587</v>
      </c>
      <c r="B48" s="6" t="s">
        <v>584</v>
      </c>
      <c r="G48" s="235">
        <f>GlobalFactorsADsensitivity.csv!F8</f>
        <v>0.03</v>
      </c>
      <c r="H48" s="6" t="s">
        <v>786</v>
      </c>
      <c r="J48" s="6" t="s">
        <v>935</v>
      </c>
    </row>
    <row r="49" spans="1:11" s="6" customFormat="1" hidden="1">
      <c r="A49" s="45" t="s">
        <v>588</v>
      </c>
      <c r="B49" s="6" t="s">
        <v>12</v>
      </c>
      <c r="E49" s="212">
        <f>GlobalFactorsADsensitivity.csv!F38</f>
        <v>20</v>
      </c>
      <c r="G49" s="10"/>
    </row>
    <row r="50" spans="1:11" s="6" customFormat="1" hidden="1">
      <c r="A50" s="45" t="s">
        <v>590</v>
      </c>
      <c r="B50" s="6" t="s">
        <v>591</v>
      </c>
      <c r="D50" s="6">
        <f>E49*G48</f>
        <v>0.6</v>
      </c>
      <c r="E50" s="212"/>
      <c r="G50" s="10"/>
    </row>
    <row r="51" spans="1:11" s="250" customFormat="1" hidden="1">
      <c r="A51" s="250" t="s">
        <v>447</v>
      </c>
      <c r="B51" s="250" t="s">
        <v>28</v>
      </c>
      <c r="C51" s="251"/>
      <c r="H51" s="250" t="s">
        <v>43</v>
      </c>
      <c r="I51" s="250" t="s">
        <v>448</v>
      </c>
      <c r="J51" s="250" t="s">
        <v>935</v>
      </c>
    </row>
    <row r="52" spans="1:11">
      <c r="A52" t="s">
        <v>45</v>
      </c>
      <c r="B52" t="s">
        <v>49</v>
      </c>
      <c r="D52" s="86">
        <f>F41/1000*(1-E42-E43-E52)</f>
        <v>6.3635000000000002</v>
      </c>
      <c r="E52" s="10">
        <v>0.02</v>
      </c>
      <c r="G52" s="4"/>
      <c r="H52" t="s">
        <v>199</v>
      </c>
      <c r="J52" t="s">
        <v>197</v>
      </c>
    </row>
    <row r="53" spans="1:11">
      <c r="A53" t="s">
        <v>938</v>
      </c>
      <c r="B53" t="s">
        <v>931</v>
      </c>
      <c r="D53" s="315">
        <f>D52*E53</f>
        <v>-3.499925000000001E-2</v>
      </c>
      <c r="E53" s="10">
        <f>(GlobalFactorsADsensitivity.csv!F39-GlobalFactorsADsensitivity.csv!F13)</f>
        <v>-5.5000000000000014E-3</v>
      </c>
      <c r="G53" s="4"/>
      <c r="H53" t="s">
        <v>932</v>
      </c>
    </row>
    <row r="54" spans="1:11">
      <c r="A54" t="s">
        <v>444</v>
      </c>
      <c r="B54" t="s">
        <v>930</v>
      </c>
      <c r="C54" s="9">
        <f>D53*Parameters!C5*Parameters!C16</f>
        <v>-14.574687678571433</v>
      </c>
    </row>
    <row r="55" spans="1:11">
      <c r="A55" t="s">
        <v>936</v>
      </c>
      <c r="B55" t="s">
        <v>437</v>
      </c>
      <c r="D55" s="9">
        <f>D52*E55</f>
        <v>0.47726249999999998</v>
      </c>
      <c r="E55" s="10">
        <f>(GlobalFactorsADsensitivity.csv!F40-GlobalFactorsADsensitivity.csv!F14)</f>
        <v>7.4999999999999997E-2</v>
      </c>
      <c r="H55" t="s">
        <v>933</v>
      </c>
    </row>
    <row r="56" spans="1:11">
      <c r="A56" t="s">
        <v>793</v>
      </c>
      <c r="B56" t="s">
        <v>436</v>
      </c>
      <c r="C56" s="285">
        <f>D55*E56*Parameters!C16*Parameters!C5</f>
        <v>1.9874574107142857</v>
      </c>
      <c r="E56">
        <f>GlobalFactorsADsensitivity.csv!F12</f>
        <v>0.01</v>
      </c>
      <c r="H56" t="s">
        <v>443</v>
      </c>
    </row>
    <row r="57" spans="1:11">
      <c r="A57" t="s">
        <v>937</v>
      </c>
      <c r="B57" t="s">
        <v>934</v>
      </c>
      <c r="D57" s="18">
        <f>D52*E57</f>
        <v>1.152748025</v>
      </c>
      <c r="E57">
        <f>(GlobalFactorsADsensitivity.csv!F41-GlobalFactorsADsensitivity.csv!F15)</f>
        <v>0.18114999999999998</v>
      </c>
      <c r="H57" t="s">
        <v>933</v>
      </c>
    </row>
    <row r="58" spans="1:11">
      <c r="A58" t="s">
        <v>794</v>
      </c>
      <c r="B58" t="s">
        <v>792</v>
      </c>
      <c r="C58" s="9">
        <f>D57*E56*Parameters!C16*Parameters!C5</f>
        <v>4.8003721326785715</v>
      </c>
    </row>
    <row r="59" spans="1:11">
      <c r="A59" t="s">
        <v>435</v>
      </c>
      <c r="B59" t="s">
        <v>28</v>
      </c>
      <c r="C59" s="18">
        <f>C56+C58</f>
        <v>6.7878295433928573</v>
      </c>
    </row>
    <row r="60" spans="1:11" s="13" customFormat="1">
      <c r="A60" s="13" t="s">
        <v>202</v>
      </c>
      <c r="C60" s="39">
        <f>C74</f>
        <v>-24.668256335668925</v>
      </c>
      <c r="D60" s="101"/>
    </row>
    <row r="61" spans="1:11" s="110" customFormat="1" ht="14">
      <c r="A61" s="110" t="s">
        <v>247</v>
      </c>
      <c r="B61" s="110" t="s">
        <v>28</v>
      </c>
      <c r="C61" s="194"/>
      <c r="D61" s="194"/>
      <c r="F61" s="202">
        <f>(Parameters!H26*Parameters!J57+Parameters!J55*Parameters!I26+Parameters!J26*Parameters!J56)*Parameters!B26*1000</f>
        <v>145.62668113648343</v>
      </c>
      <c r="H61" s="110" t="s">
        <v>416</v>
      </c>
      <c r="I61" s="110" t="s">
        <v>452</v>
      </c>
      <c r="J61" s="110" t="s">
        <v>451</v>
      </c>
    </row>
    <row r="62" spans="1:11" s="110" customFormat="1" ht="14" hidden="1">
      <c r="A62" s="110" t="s">
        <v>462</v>
      </c>
      <c r="B62" s="110" t="s">
        <v>454</v>
      </c>
      <c r="C62" s="194"/>
      <c r="D62" s="194"/>
      <c r="F62" s="188">
        <f>Parameters!M26</f>
        <v>0.84099999999999997</v>
      </c>
      <c r="I62" s="110">
        <f>+-3%</f>
        <v>-0.03</v>
      </c>
    </row>
    <row r="63" spans="1:11" s="46" customFormat="1" hidden="1">
      <c r="A63" s="110" t="s">
        <v>651</v>
      </c>
      <c r="B63" s="210" t="s">
        <v>453</v>
      </c>
      <c r="C63" s="260"/>
      <c r="D63" s="245">
        <f>F61*(1-F62)</f>
        <v>23.154642300700868</v>
      </c>
      <c r="F63" s="156">
        <f>D63/F61</f>
        <v>0.15900000000000003</v>
      </c>
      <c r="J63" s="231" t="s">
        <v>601</v>
      </c>
      <c r="K63" s="175"/>
    </row>
    <row r="64" spans="1:11" s="46" customFormat="1">
      <c r="A64" s="110" t="s">
        <v>717</v>
      </c>
      <c r="B64" s="210"/>
      <c r="C64" s="260"/>
      <c r="D64" s="245"/>
      <c r="F64" s="156"/>
      <c r="G64" s="46">
        <v>0.6</v>
      </c>
      <c r="J64" s="231"/>
      <c r="K64" s="175"/>
    </row>
    <row r="65" spans="1:11" s="46" customFormat="1">
      <c r="A65" s="110" t="s">
        <v>718</v>
      </c>
      <c r="B65" s="231" t="s">
        <v>716</v>
      </c>
      <c r="C65" s="260"/>
      <c r="D65" s="245">
        <f>D17/G64</f>
        <v>150.35</v>
      </c>
      <c r="F65" s="156"/>
      <c r="J65" s="231"/>
      <c r="K65" s="175"/>
    </row>
    <row r="66" spans="1:11" s="46" customFormat="1">
      <c r="A66" s="110" t="s">
        <v>653</v>
      </c>
      <c r="B66" s="231" t="s">
        <v>716</v>
      </c>
      <c r="C66" s="260"/>
      <c r="D66" s="245">
        <f>D65*G64</f>
        <v>90.21</v>
      </c>
      <c r="F66" s="156"/>
      <c r="J66" s="231"/>
      <c r="K66" s="175"/>
    </row>
    <row r="67" spans="1:11" s="46" customFormat="1">
      <c r="A67" s="110" t="s">
        <v>719</v>
      </c>
      <c r="B67" s="231" t="s">
        <v>716</v>
      </c>
      <c r="C67" s="260"/>
      <c r="D67" s="245">
        <f>D65*(1-G64)</f>
        <v>60.14</v>
      </c>
      <c r="F67" s="156"/>
      <c r="J67" s="231"/>
      <c r="K67" s="175"/>
    </row>
    <row r="68" spans="1:11" s="269" customFormat="1">
      <c r="A68" s="268" t="s">
        <v>720</v>
      </c>
      <c r="B68" s="269" t="s">
        <v>721</v>
      </c>
      <c r="D68" s="270">
        <f>D66*Parameters!C19*F68</f>
        <v>45.330525000000002</v>
      </c>
      <c r="F68" s="15">
        <f>1/Parameters!C18</f>
        <v>0.75</v>
      </c>
      <c r="G68" s="15" t="s">
        <v>703</v>
      </c>
    </row>
    <row r="69" spans="1:11" s="15" customFormat="1">
      <c r="A69" s="268" t="s">
        <v>662</v>
      </c>
      <c r="B69" s="15" t="s">
        <v>707</v>
      </c>
      <c r="D69" s="222">
        <f>D67*Parameters!C21*AD!F69</f>
        <v>29.50687090909091</v>
      </c>
      <c r="F69" s="15">
        <f>1/Parameters!C17</f>
        <v>0.27272727272727276</v>
      </c>
      <c r="G69" s="15" t="s">
        <v>704</v>
      </c>
    </row>
    <row r="70" spans="1:11" s="15" customFormat="1">
      <c r="A70" s="268" t="s">
        <v>705</v>
      </c>
      <c r="B70" s="15" t="s">
        <v>706</v>
      </c>
      <c r="D70" s="222">
        <f>D39/Parameters!C18</f>
        <v>3.2969024999999998</v>
      </c>
    </row>
    <row r="71" spans="1:11" s="15" customFormat="1">
      <c r="A71" s="268" t="s">
        <v>755</v>
      </c>
      <c r="B71" s="15" t="s">
        <v>756</v>
      </c>
      <c r="D71" s="266">
        <f>D26*Parameters!C19*F68</f>
        <v>0.21531999374999999</v>
      </c>
      <c r="G71" s="266"/>
    </row>
    <row r="72" spans="1:11" s="15" customFormat="1">
      <c r="A72" s="268" t="s">
        <v>597</v>
      </c>
      <c r="B72" s="15" t="s">
        <v>598</v>
      </c>
      <c r="D72" s="266">
        <f>F61-D68-D69-D70-D71</f>
        <v>67.277062733642524</v>
      </c>
      <c r="G72" s="266"/>
    </row>
    <row r="73" spans="1:11">
      <c r="A73" s="110" t="s">
        <v>664</v>
      </c>
      <c r="B73" s="15" t="s">
        <v>665</v>
      </c>
      <c r="D73" s="80">
        <f>D72*F73</f>
        <v>6.7277062733642525</v>
      </c>
      <c r="F73" s="10">
        <f>0.1</f>
        <v>0.1</v>
      </c>
      <c r="G73" s="52"/>
      <c r="I73" t="s">
        <v>600</v>
      </c>
      <c r="J73" t="s">
        <v>652</v>
      </c>
    </row>
    <row r="74" spans="1:11" s="15" customFormat="1">
      <c r="A74" s="268" t="s">
        <v>664</v>
      </c>
      <c r="B74" s="15" t="s">
        <v>28</v>
      </c>
      <c r="C74" s="266">
        <f>D73*-Parameters!C17</f>
        <v>-24.668256335668925</v>
      </c>
      <c r="E74" s="271">
        <f>D73/F61</f>
        <v>4.6198308035729725E-2</v>
      </c>
    </row>
    <row r="75" spans="1:11" s="43" customFormat="1">
      <c r="A75" s="44" t="s">
        <v>162</v>
      </c>
      <c r="C75" s="169">
        <f>C14+C33+C47+C60+C10</f>
        <v>-83.643528271438313</v>
      </c>
    </row>
    <row r="76" spans="1:11" s="44" customFormat="1">
      <c r="A76" s="44" t="s">
        <v>105</v>
      </c>
    </row>
    <row r="77" spans="1:11">
      <c r="A77" t="s">
        <v>45</v>
      </c>
      <c r="C77" s="85"/>
      <c r="D77" s="87">
        <f>D52*(1-GlobalFactorsADsensitivity.csv!F39-GlobalFactorsADsensitivity.csv!F40-GlobalFactorsADsensitivity.csv!F41)</f>
        <v>2.7776677500000009</v>
      </c>
    </row>
    <row r="78" spans="1:11" s="6" customFormat="1">
      <c r="A78" s="6" t="s">
        <v>175</v>
      </c>
      <c r="B78" s="6" t="s">
        <v>46</v>
      </c>
      <c r="D78" s="18">
        <f>D77*E78</f>
        <v>1.8054840375000005</v>
      </c>
      <c r="E78" s="10">
        <f>GlobalFactorsADsensitivity.csv!F42</f>
        <v>0.65</v>
      </c>
      <c r="H78" s="88">
        <f>-'[2]Fertilizer literature'!I1</f>
        <v>0</v>
      </c>
    </row>
    <row r="79" spans="1:11">
      <c r="A79" t="s">
        <v>173</v>
      </c>
      <c r="B79" t="s">
        <v>174</v>
      </c>
      <c r="C79" s="18">
        <f>G79*D78</f>
        <v>-15.978533731875004</v>
      </c>
      <c r="G79" s="4">
        <f>-GlobalFactorsADsensitivity.csv!F6</f>
        <v>-8.85</v>
      </c>
      <c r="I79" t="s">
        <v>200</v>
      </c>
    </row>
    <row r="80" spans="1:11">
      <c r="A80" t="s">
        <v>820</v>
      </c>
      <c r="D80" s="18">
        <f>F80*G80</f>
        <v>0.98104793756967668</v>
      </c>
      <c r="F80" s="286">
        <f>Parameters!N26/1000</f>
        <v>3.3</v>
      </c>
      <c r="G80" s="80">
        <f>GlobalFactorsADsensitivity.csv!F47</f>
        <v>0.29728725380899296</v>
      </c>
    </row>
    <row r="81" spans="1:8">
      <c r="A81" t="s">
        <v>727</v>
      </c>
      <c r="B81" t="s">
        <v>796</v>
      </c>
      <c r="C81" s="285">
        <f>D80*G81</f>
        <v>-1.765886287625418</v>
      </c>
      <c r="F81" s="80"/>
      <c r="G81">
        <f>-GlobalFactorsADsensitivity.csv!F9</f>
        <v>-1.8</v>
      </c>
    </row>
    <row r="82" spans="1:8">
      <c r="A82" t="s">
        <v>821</v>
      </c>
      <c r="D82" s="285">
        <f>F82*G82</f>
        <v>1.0826210826210827</v>
      </c>
      <c r="F82">
        <f>Parameters!O26/1000</f>
        <v>1.9</v>
      </c>
      <c r="G82" s="80">
        <f>GlobalFactorsADsensitivity.csv!F45</f>
        <v>0.56980056980056981</v>
      </c>
    </row>
    <row r="83" spans="1:8">
      <c r="A83" t="s">
        <v>795</v>
      </c>
      <c r="B83" t="s">
        <v>797</v>
      </c>
      <c r="C83" s="285">
        <f>D82*G83</f>
        <v>-1.0393162393162394</v>
      </c>
      <c r="F83" s="80"/>
      <c r="G83">
        <f>-GlobalFactorsADsensitivity.csv!F10</f>
        <v>-0.96</v>
      </c>
    </row>
    <row r="84" spans="1:8" s="3" customFormat="1">
      <c r="A84" s="3" t="s">
        <v>458</v>
      </c>
      <c r="B84" s="3" t="s">
        <v>28</v>
      </c>
      <c r="C84" s="20">
        <f>C83+C81+C79</f>
        <v>-18.78373625881666</v>
      </c>
      <c r="D84" s="217"/>
    </row>
    <row r="85" spans="1:8" s="6" customFormat="1">
      <c r="A85" s="82" t="s">
        <v>460</v>
      </c>
      <c r="C85" s="218">
        <f>C75+C84</f>
        <v>-102.42726453025497</v>
      </c>
      <c r="D85" s="7"/>
    </row>
    <row r="86" spans="1:8" s="6" customFormat="1">
      <c r="A86" s="82"/>
      <c r="C86" s="102"/>
    </row>
    <row r="87" spans="1:8" s="6" customFormat="1">
      <c r="A87" s="82"/>
      <c r="C87" s="102"/>
    </row>
    <row r="88" spans="1:8">
      <c r="C88" s="80"/>
    </row>
    <row r="89" spans="1:8">
      <c r="A89" s="7"/>
      <c r="C89" s="80"/>
      <c r="E89" s="7"/>
    </row>
    <row r="90" spans="1:8">
      <c r="A90" s="7" t="s">
        <v>204</v>
      </c>
      <c r="H90" s="98"/>
    </row>
    <row r="91" spans="1:8">
      <c r="A91" s="7"/>
    </row>
    <row r="96" spans="1:8" ht="16">
      <c r="F96" s="70"/>
      <c r="G96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505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1" t="s">
        <v>1</v>
      </c>
      <c r="B4" s="72" t="s">
        <v>4</v>
      </c>
      <c r="C4" s="73"/>
      <c r="D4" s="73"/>
      <c r="E4" s="74" t="s">
        <v>20</v>
      </c>
      <c r="F4" s="75">
        <v>1.31</v>
      </c>
      <c r="G4" s="76" t="s">
        <v>135</v>
      </c>
      <c r="H4" s="76" t="s">
        <v>163</v>
      </c>
      <c r="I4" s="51" t="s">
        <v>79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46" t="e">
        <f>C10+C12</f>
        <v>#REF!</v>
      </c>
    </row>
    <row r="8" spans="1:20" s="6" customFormat="1">
      <c r="A8" s="45" t="s">
        <v>592</v>
      </c>
      <c r="B8" s="6" t="s">
        <v>584</v>
      </c>
      <c r="C8" s="211"/>
      <c r="E8" s="214">
        <f>GlobalFactorsADsensitivity.csv!F8</f>
        <v>0.03</v>
      </c>
    </row>
    <row r="9" spans="1:20" s="6" customFormat="1">
      <c r="A9" s="45" t="s">
        <v>588</v>
      </c>
      <c r="B9" s="6" t="s">
        <v>12</v>
      </c>
      <c r="C9" s="211"/>
      <c r="E9" s="5" t="e">
        <f>GlobalFactorsADsensitivity.csv!#REF!</f>
        <v>#REF!</v>
      </c>
    </row>
    <row r="10" spans="1:20">
      <c r="A10" t="s">
        <v>44</v>
      </c>
      <c r="B10" t="s">
        <v>28</v>
      </c>
      <c r="C10" s="9" t="e">
        <f>E9*E8*(GlobalFactorsADsensitivity.csv!F3+GlobalFactorsADsensitivity.csv!F4)</f>
        <v>#REF!</v>
      </c>
      <c r="G10" s="219" t="s">
        <v>463</v>
      </c>
      <c r="H10" t="s">
        <v>43</v>
      </c>
    </row>
    <row r="11" spans="1:20">
      <c r="A11" t="s">
        <v>178</v>
      </c>
      <c r="B11" t="s">
        <v>49</v>
      </c>
      <c r="D11" s="86"/>
      <c r="F11" s="8">
        <f>Parameters!G43</f>
        <v>56</v>
      </c>
      <c r="H11" t="s">
        <v>172</v>
      </c>
    </row>
    <row r="12" spans="1:20">
      <c r="A12" t="s">
        <v>169</v>
      </c>
      <c r="B12" t="s">
        <v>28</v>
      </c>
      <c r="C12" s="18">
        <f>D14+D17</f>
        <v>0.33814000000000005</v>
      </c>
    </row>
    <row r="13" spans="1:20">
      <c r="A13" t="s">
        <v>444</v>
      </c>
      <c r="B13" t="s">
        <v>436</v>
      </c>
      <c r="C13" s="18"/>
      <c r="E13" s="4">
        <v>1.2500000000000001E-2</v>
      </c>
      <c r="H13" t="s">
        <v>198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449</v>
      </c>
      <c r="B15" t="s">
        <v>436</v>
      </c>
      <c r="D15" s="9"/>
      <c r="E15" s="4">
        <v>0.01</v>
      </c>
      <c r="H15" t="s">
        <v>443</v>
      </c>
    </row>
    <row r="16" spans="1:20">
      <c r="A16" t="s">
        <v>445</v>
      </c>
      <c r="B16" t="s">
        <v>437</v>
      </c>
      <c r="D16" s="9"/>
      <c r="E16" s="10">
        <v>0.2</v>
      </c>
      <c r="H16" t="s">
        <v>442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202</v>
      </c>
      <c r="D18" s="101"/>
    </row>
    <row r="19" spans="1:11" s="110" customFormat="1" ht="14">
      <c r="A19" s="110" t="s">
        <v>247</v>
      </c>
      <c r="B19" s="110" t="s">
        <v>455</v>
      </c>
      <c r="C19" s="194"/>
      <c r="D19" s="194"/>
      <c r="F19" s="202" t="e">
        <f>Parameters!#REF!</f>
        <v>#REF!</v>
      </c>
      <c r="H19" s="110" t="s">
        <v>416</v>
      </c>
      <c r="I19" s="110" t="s">
        <v>452</v>
      </c>
      <c r="J19" s="110" t="s">
        <v>451</v>
      </c>
    </row>
    <row r="20" spans="1:11" s="110" customFormat="1" ht="14">
      <c r="A20" s="110" t="s">
        <v>501</v>
      </c>
      <c r="C20" s="194"/>
      <c r="D20" s="194"/>
      <c r="E20" s="110">
        <v>1</v>
      </c>
      <c r="F20" s="202"/>
    </row>
    <row r="21" spans="1:11" s="110" customFormat="1" ht="14">
      <c r="A21" s="110" t="s">
        <v>462</v>
      </c>
      <c r="B21" s="110" t="s">
        <v>454</v>
      </c>
      <c r="C21" s="194"/>
      <c r="D21" s="194"/>
      <c r="F21" s="188">
        <f>Parameters!M26</f>
        <v>0.84099999999999997</v>
      </c>
      <c r="I21" s="110">
        <f>+-3%</f>
        <v>-0.03</v>
      </c>
    </row>
    <row r="22" spans="1:11" s="46" customFormat="1" ht="14">
      <c r="A22" s="110" t="s">
        <v>298</v>
      </c>
      <c r="B22" s="210" t="s">
        <v>453</v>
      </c>
      <c r="D22" s="194" t="e">
        <f>F19*(1-F21)</f>
        <v>#REF!</v>
      </c>
      <c r="F22" s="156"/>
      <c r="J22" s="187" t="s">
        <v>415</v>
      </c>
      <c r="K22" s="175"/>
    </row>
    <row r="23" spans="1:11">
      <c r="A23" s="110" t="s">
        <v>599</v>
      </c>
      <c r="C23" s="213" t="e">
        <f>-D23*Parameters!C17</f>
        <v>#REF!</v>
      </c>
      <c r="D23" s="80" t="e">
        <f>D22*(F23)</f>
        <v>#REF!</v>
      </c>
      <c r="E23">
        <v>1</v>
      </c>
      <c r="F23" s="10">
        <f>GlobalFactorsADsensitivity.csv!F64</f>
        <v>0.1</v>
      </c>
      <c r="G23" s="52" t="e">
        <f>D23/F19</f>
        <v>#REF!</v>
      </c>
      <c r="H23" t="s">
        <v>606</v>
      </c>
      <c r="I23" t="s">
        <v>600</v>
      </c>
      <c r="J23" t="s">
        <v>602</v>
      </c>
    </row>
    <row r="24" spans="1:11" s="43" customFormat="1">
      <c r="A24" s="44" t="s">
        <v>162</v>
      </c>
      <c r="C24" s="169" t="e">
        <f>C23+C7</f>
        <v>#REF!</v>
      </c>
    </row>
    <row r="25" spans="1:11" s="44" customFormat="1">
      <c r="A25" s="44" t="s">
        <v>105</v>
      </c>
      <c r="C25" s="221" t="e">
        <f>D29+D30</f>
        <v>#REF!</v>
      </c>
    </row>
    <row r="26" spans="1:11" s="44" customFormat="1">
      <c r="A26" s="82" t="s">
        <v>199</v>
      </c>
      <c r="B26" s="82" t="s">
        <v>22</v>
      </c>
      <c r="C26" s="220"/>
      <c r="D26" s="82"/>
      <c r="E26" s="82"/>
      <c r="F26" s="10">
        <v>0.02</v>
      </c>
      <c r="G26" s="4"/>
      <c r="H26" t="s">
        <v>199</v>
      </c>
      <c r="I26"/>
      <c r="J26"/>
    </row>
    <row r="27" spans="1:11">
      <c r="A27" t="s">
        <v>45</v>
      </c>
      <c r="B27" t="s">
        <v>373</v>
      </c>
      <c r="C27" s="85"/>
      <c r="D27" s="87">
        <f>F11-F11*E13-F11*E16-F11*F26</f>
        <v>42.98</v>
      </c>
      <c r="F27">
        <v>0.02</v>
      </c>
    </row>
    <row r="28" spans="1:11">
      <c r="A28" t="s">
        <v>175</v>
      </c>
      <c r="B28" t="s">
        <v>46</v>
      </c>
      <c r="D28" s="9">
        <f>D27*F28</f>
        <v>232.09199999999998</v>
      </c>
      <c r="F28" s="4">
        <f>GlobalFactorsADsensitivity.csv!F7</f>
        <v>5.4</v>
      </c>
      <c r="G28" s="88"/>
      <c r="H28" t="s">
        <v>176</v>
      </c>
    </row>
    <row r="29" spans="1:11">
      <c r="A29" t="s">
        <v>366</v>
      </c>
      <c r="B29" t="s">
        <v>174</v>
      </c>
      <c r="D29" s="9">
        <f>F29*D28/1000</f>
        <v>-1.5782255999999997</v>
      </c>
      <c r="F29" s="4">
        <v>-6.8</v>
      </c>
      <c r="G29" t="s">
        <v>371</v>
      </c>
      <c r="H29" t="s">
        <v>177</v>
      </c>
    </row>
    <row r="30" spans="1:11">
      <c r="A30" t="s">
        <v>300</v>
      </c>
      <c r="B30" t="s">
        <v>174</v>
      </c>
      <c r="D30" s="9" t="e">
        <f>F30*D28/1000</f>
        <v>#REF!</v>
      </c>
      <c r="F30" s="10" t="e">
        <f>AD!#REF!</f>
        <v>#REF!</v>
      </c>
      <c r="G30" t="s">
        <v>370</v>
      </c>
      <c r="H30" t="s">
        <v>201</v>
      </c>
    </row>
    <row r="31" spans="1:11">
      <c r="A31" t="s">
        <v>367</v>
      </c>
      <c r="B31" t="s">
        <v>368</v>
      </c>
      <c r="D31" s="9">
        <f>F31*D28/1000</f>
        <v>0.46418399999999999</v>
      </c>
      <c r="F31" s="10">
        <v>2</v>
      </c>
      <c r="G31" t="s">
        <v>464</v>
      </c>
    </row>
    <row r="32" spans="1:11">
      <c r="A32" t="s">
        <v>365</v>
      </c>
      <c r="D32" s="9"/>
      <c r="F32" s="4">
        <v>0.75</v>
      </c>
      <c r="G32" t="s">
        <v>464</v>
      </c>
    </row>
    <row r="33" spans="1:3" s="43" customFormat="1">
      <c r="A33" s="44" t="s">
        <v>162</v>
      </c>
      <c r="C33" s="89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0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107</v>
      </c>
      <c r="E1" s="42" t="s">
        <v>506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42" customFormat="1" ht="45">
      <c r="B2" s="42" t="s">
        <v>14</v>
      </c>
      <c r="C2" s="42" t="s">
        <v>24</v>
      </c>
      <c r="D2" s="42" t="s">
        <v>107</v>
      </c>
      <c r="E2" s="42" t="s">
        <v>108</v>
      </c>
      <c r="F2" s="42" t="s">
        <v>109</v>
      </c>
      <c r="H2" s="42" t="s">
        <v>2</v>
      </c>
      <c r="I2" s="42" t="s">
        <v>391</v>
      </c>
      <c r="J2" s="42" t="s">
        <v>5</v>
      </c>
    </row>
    <row r="3" spans="1:20" s="12" customFormat="1" hidden="1">
      <c r="A3" s="13" t="s">
        <v>207</v>
      </c>
      <c r="C3" s="11">
        <f>C7</f>
        <v>4.28</v>
      </c>
      <c r="D3" s="11"/>
      <c r="E3" s="11"/>
    </row>
    <row r="4" spans="1:20" hidden="1">
      <c r="A4" t="s">
        <v>195</v>
      </c>
      <c r="B4" t="s">
        <v>4</v>
      </c>
      <c r="F4" s="10">
        <v>0.107</v>
      </c>
      <c r="G4" s="10"/>
      <c r="H4" s="1" t="s">
        <v>7</v>
      </c>
      <c r="I4" s="1"/>
      <c r="J4" s="6" t="s">
        <v>164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208</v>
      </c>
      <c r="J6" t="s">
        <v>209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106</v>
      </c>
    </row>
    <row r="9" spans="1:20" hidden="1">
      <c r="A9" t="s">
        <v>114</v>
      </c>
      <c r="F9">
        <f>118*0.021*16/12</f>
        <v>3.3040000000000003</v>
      </c>
      <c r="J9" t="s">
        <v>205</v>
      </c>
    </row>
    <row r="10" spans="1:20" hidden="1">
      <c r="A10" t="s">
        <v>115</v>
      </c>
      <c r="J10" t="s">
        <v>206</v>
      </c>
    </row>
    <row r="11" spans="1:20" hidden="1">
      <c r="A11" t="s">
        <v>116</v>
      </c>
      <c r="J11" t="s">
        <v>117</v>
      </c>
    </row>
    <row r="12" spans="1:20" s="13" customFormat="1">
      <c r="A12" s="13" t="s">
        <v>341</v>
      </c>
      <c r="C12" s="39">
        <f>C14+C15</f>
        <v>9.5274025281014865</v>
      </c>
    </row>
    <row r="13" spans="1:20" s="45" customFormat="1">
      <c r="A13" s="45" t="s">
        <v>351</v>
      </c>
      <c r="B13" s="45" t="s">
        <v>227</v>
      </c>
      <c r="C13" s="103"/>
      <c r="E13" s="236">
        <v>3</v>
      </c>
      <c r="F13" s="295"/>
      <c r="H13" s="45" t="s">
        <v>299</v>
      </c>
      <c r="I13" s="45">
        <f>GlobalFactorsADsensitivity.csv!G50</f>
        <v>0.13</v>
      </c>
      <c r="J13" s="176" t="s">
        <v>642</v>
      </c>
    </row>
    <row r="14" spans="1:20" s="45" customFormat="1">
      <c r="A14" s="45" t="s">
        <v>352</v>
      </c>
      <c r="B14" s="45" t="s">
        <v>28</v>
      </c>
      <c r="C14" s="160">
        <f>E13*F14</f>
        <v>9.5114830273200006</v>
      </c>
      <c r="F14" s="295">
        <f>'Landfill '!G4+'Landfill '!G5</f>
        <v>3.1704943424400001</v>
      </c>
      <c r="H14" s="45" t="s">
        <v>340</v>
      </c>
      <c r="J14" s="45" t="s">
        <v>350</v>
      </c>
    </row>
    <row r="15" spans="1:20" s="45" customFormat="1">
      <c r="A15" s="45" t="s">
        <v>643</v>
      </c>
      <c r="B15" s="45" t="s">
        <v>28</v>
      </c>
      <c r="C15" s="160">
        <f>E15/1000*Parameters!C14</f>
        <v>1.5919500781486559E-2</v>
      </c>
      <c r="E15" s="45">
        <f>GlobalFactorsADsensitivity.csv!F51</f>
        <v>2.3E-2</v>
      </c>
      <c r="F15" s="295"/>
      <c r="H15" s="45" t="s">
        <v>645</v>
      </c>
    </row>
    <row r="16" spans="1:20" s="13" customFormat="1">
      <c r="A16" s="13" t="s">
        <v>866</v>
      </c>
      <c r="C16" s="39">
        <f>C22+C26+C30</f>
        <v>89.472838163220715</v>
      </c>
      <c r="F16" s="296"/>
    </row>
    <row r="17" spans="1:10">
      <c r="A17" s="15" t="s">
        <v>247</v>
      </c>
      <c r="B17" s="15" t="s">
        <v>213</v>
      </c>
      <c r="C17" s="2"/>
      <c r="D17" s="2"/>
      <c r="F17" s="297">
        <f>AD!F61</f>
        <v>145.62668113648343</v>
      </c>
      <c r="I17" t="s">
        <v>342</v>
      </c>
      <c r="J17" s="5"/>
    </row>
    <row r="18" spans="1:10">
      <c r="A18" s="15" t="s">
        <v>465</v>
      </c>
      <c r="B18" s="15" t="s">
        <v>358</v>
      </c>
      <c r="C18" s="2"/>
      <c r="D18" s="266">
        <f>F17*E18</f>
        <v>84.463475059160388</v>
      </c>
      <c r="E18" s="4">
        <f>GlobalFactorsADsensitivity.csv!F52</f>
        <v>0.57999999999999996</v>
      </c>
      <c r="F18" s="298"/>
      <c r="H18" t="s">
        <v>299</v>
      </c>
      <c r="I18">
        <f>GlobalFactorsADsensitivity.csv!G52</f>
        <v>0.4</v>
      </c>
      <c r="J18" s="6" t="s">
        <v>723</v>
      </c>
    </row>
    <row r="19" spans="1:10">
      <c r="A19" s="15" t="s">
        <v>571</v>
      </c>
      <c r="B19" s="15" t="s">
        <v>514</v>
      </c>
      <c r="C19" s="2"/>
      <c r="D19" s="163"/>
      <c r="E19" s="4">
        <f>GlobalFactorsADsensitivity.csv!F53</f>
        <v>0.02</v>
      </c>
      <c r="F19" s="298"/>
      <c r="J19" s="6"/>
    </row>
    <row r="20" spans="1:10">
      <c r="A20" s="15" t="s">
        <v>343</v>
      </c>
      <c r="B20" s="15" t="s">
        <v>467</v>
      </c>
      <c r="C20" s="2"/>
      <c r="D20" s="222">
        <f>D18*E19</f>
        <v>1.6892695011832077</v>
      </c>
      <c r="F20" s="298"/>
      <c r="H20" s="6" t="s">
        <v>354</v>
      </c>
      <c r="I20" s="6"/>
      <c r="J20" s="5" t="s">
        <v>636</v>
      </c>
    </row>
    <row r="21" spans="1:10">
      <c r="A21" s="15" t="s">
        <v>343</v>
      </c>
      <c r="B21" s="15" t="s">
        <v>353</v>
      </c>
      <c r="C21" s="2"/>
      <c r="D21" s="273">
        <f>D20*Parameters!C18</f>
        <v>2.2523593349109436</v>
      </c>
      <c r="E21" s="6"/>
      <c r="F21" s="298"/>
    </row>
    <row r="22" spans="1:10" s="6" customFormat="1">
      <c r="A22" s="14" t="s">
        <v>572</v>
      </c>
      <c r="B22" s="14" t="s">
        <v>28</v>
      </c>
      <c r="C22" s="267">
        <f>D21*Parameters!C6</f>
        <v>63.066061377506422</v>
      </c>
      <c r="D22" s="5"/>
      <c r="E22" s="5"/>
      <c r="F22" s="295"/>
      <c r="J22" s="14" t="s">
        <v>471</v>
      </c>
    </row>
    <row r="23" spans="1:10">
      <c r="A23" t="s">
        <v>119</v>
      </c>
      <c r="B23" t="s">
        <v>858</v>
      </c>
      <c r="D23" s="162"/>
      <c r="F23" s="297">
        <f>Parameters!F26/1000</f>
        <v>8.9</v>
      </c>
    </row>
    <row r="24" spans="1:10">
      <c r="A24" s="14" t="s">
        <v>521</v>
      </c>
      <c r="B24" s="14" t="s">
        <v>829</v>
      </c>
      <c r="D24" s="294">
        <f>F23*E24</f>
        <v>3.827</v>
      </c>
      <c r="E24">
        <f>GlobalFactorsADsensitivity.csv!F56</f>
        <v>0.43</v>
      </c>
      <c r="F24" s="297">
        <f>F23*E24</f>
        <v>3.827</v>
      </c>
    </row>
    <row r="25" spans="1:10" s="15" customFormat="1">
      <c r="A25" s="14" t="s">
        <v>830</v>
      </c>
      <c r="B25" s="14" t="s">
        <v>853</v>
      </c>
      <c r="D25" s="266">
        <f>F23*E25</f>
        <v>4.4500000000000005E-2</v>
      </c>
      <c r="E25" s="289">
        <f>GlobalFactorsADsensitivity.csv!F54</f>
        <v>5.0000000000000001E-3</v>
      </c>
      <c r="F25" s="299"/>
      <c r="H25" s="15" t="s">
        <v>299</v>
      </c>
      <c r="I25" s="15" t="s">
        <v>580</v>
      </c>
      <c r="J25" s="15" t="s">
        <v>355</v>
      </c>
    </row>
    <row r="26" spans="1:10" s="15" customFormat="1">
      <c r="A26" s="15" t="s">
        <v>831</v>
      </c>
      <c r="B26" s="15" t="s">
        <v>356</v>
      </c>
      <c r="C26" s="266">
        <f>D26*Parameters!C5</f>
        <v>18.53107142857143</v>
      </c>
      <c r="D26" s="222">
        <f>D25*Parameters!C16</f>
        <v>6.9928571428571437E-2</v>
      </c>
      <c r="F26" s="299"/>
      <c r="J26" s="14"/>
    </row>
    <row r="27" spans="1:10" s="15" customFormat="1">
      <c r="A27" s="15" t="s">
        <v>834</v>
      </c>
      <c r="C27" s="266"/>
      <c r="D27" s="290">
        <f>(F23*E24-F23*E25)</f>
        <v>3.7824999999999998</v>
      </c>
      <c r="F27" s="299"/>
      <c r="J27" s="14"/>
    </row>
    <row r="28" spans="1:10" s="15" customFormat="1">
      <c r="A28" s="14" t="s">
        <v>854</v>
      </c>
      <c r="B28" s="14" t="s">
        <v>832</v>
      </c>
      <c r="D28" s="291">
        <f>D27*E28</f>
        <v>1.8912499999999999</v>
      </c>
      <c r="E28" s="15">
        <f>GlobalFactorsADsensitivity.csv!F55</f>
        <v>0.5</v>
      </c>
      <c r="F28" s="299"/>
      <c r="H28" s="15" t="s">
        <v>833</v>
      </c>
    </row>
    <row r="29" spans="1:10">
      <c r="A29" s="14" t="s">
        <v>855</v>
      </c>
      <c r="B29" s="14" t="s">
        <v>856</v>
      </c>
      <c r="D29" s="292">
        <f>D28*GlobalFactorsADsensitivity.csv!F37</f>
        <v>1.8912499999999999E-2</v>
      </c>
      <c r="F29" s="298"/>
    </row>
    <row r="30" spans="1:10" s="15" customFormat="1">
      <c r="A30" s="14" t="s">
        <v>435</v>
      </c>
      <c r="B30" s="14" t="s">
        <v>28</v>
      </c>
      <c r="C30" s="291">
        <f>D29*Parameters!C16*Parameters!C5</f>
        <v>7.8757053571428566</v>
      </c>
      <c r="F30" s="297"/>
    </row>
    <row r="31" spans="1:10" s="309" customFormat="1">
      <c r="A31" s="309" t="s">
        <v>341</v>
      </c>
      <c r="C31" s="310">
        <f>C12+C16</f>
        <v>99.000240691322205</v>
      </c>
      <c r="F31" s="311"/>
    </row>
    <row r="32" spans="1:10" s="44" customFormat="1">
      <c r="A32" s="158" t="s">
        <v>857</v>
      </c>
      <c r="B32" s="158"/>
      <c r="C32" s="170">
        <f>C39+C40+C41</f>
        <v>-15.567210000000001</v>
      </c>
      <c r="D32" s="159"/>
      <c r="E32" s="157"/>
      <c r="F32" s="300"/>
      <c r="J32" s="159"/>
    </row>
    <row r="33" spans="1:10" s="5" customFormat="1" hidden="1">
      <c r="A33" s="5" t="s">
        <v>587</v>
      </c>
      <c r="B33" s="5" t="s">
        <v>584</v>
      </c>
      <c r="F33" s="301"/>
      <c r="G33" s="293">
        <f>GlobalFactorsADsensitivity.csv!F8</f>
        <v>0.03</v>
      </c>
      <c r="H33" s="5" t="s">
        <v>836</v>
      </c>
      <c r="I33" s="5" t="s">
        <v>589</v>
      </c>
      <c r="J33" s="5" t="s">
        <v>388</v>
      </c>
    </row>
    <row r="34" spans="1:10" s="5" customFormat="1" hidden="1">
      <c r="A34" s="5" t="s">
        <v>588</v>
      </c>
      <c r="B34" s="5" t="s">
        <v>12</v>
      </c>
      <c r="E34" s="212">
        <f>GlobalFactorsADsensitivity.csv!F59</f>
        <v>20</v>
      </c>
      <c r="F34" s="301"/>
      <c r="G34" s="212"/>
      <c r="J34" s="5" t="s">
        <v>388</v>
      </c>
    </row>
    <row r="35" spans="1:10" s="5" customFormat="1" hidden="1">
      <c r="A35" s="5" t="s">
        <v>590</v>
      </c>
      <c r="B35" s="5" t="s">
        <v>591</v>
      </c>
      <c r="D35" s="5">
        <f>E34*G33</f>
        <v>0.6</v>
      </c>
      <c r="E35" s="212"/>
      <c r="F35" s="301"/>
      <c r="J35" s="5" t="s">
        <v>388</v>
      </c>
    </row>
    <row r="36" spans="1:10" s="45" customFormat="1">
      <c r="A36" s="14" t="s">
        <v>605</v>
      </c>
      <c r="B36" s="14"/>
      <c r="C36" s="5"/>
      <c r="E36" s="295">
        <f>GlobalFactorsADsensitivity.csv!F60</f>
        <v>0.2</v>
      </c>
      <c r="J36" s="167"/>
    </row>
    <row r="37" spans="1:10" s="45" customFormat="1">
      <c r="A37" s="14" t="s">
        <v>845</v>
      </c>
      <c r="B37" s="14"/>
      <c r="C37" s="5"/>
      <c r="D37" s="103">
        <f>(F23-D24)</f>
        <v>5.0730000000000004</v>
      </c>
      <c r="E37" s="166"/>
      <c r="F37" s="295"/>
      <c r="J37" s="167"/>
    </row>
    <row r="38" spans="1:10" s="45" customFormat="1">
      <c r="A38" s="14" t="s">
        <v>372</v>
      </c>
      <c r="B38" s="19" t="s">
        <v>360</v>
      </c>
      <c r="C38" s="5"/>
      <c r="D38" s="267">
        <f>D37*E36</f>
        <v>1.0146000000000002</v>
      </c>
      <c r="E38" s="223"/>
      <c r="F38" s="295"/>
      <c r="J38" s="167"/>
    </row>
    <row r="39" spans="1:10" s="82" customFormat="1">
      <c r="A39" s="14" t="s">
        <v>364</v>
      </c>
      <c r="B39" s="82" t="s">
        <v>28</v>
      </c>
      <c r="C39" s="168">
        <f>D38*G39</f>
        <v>-8.9792100000000019</v>
      </c>
      <c r="D39" s="164"/>
      <c r="E39" s="165"/>
      <c r="F39" s="302"/>
      <c r="G39" s="82">
        <f>-GlobalFactorsADsensitivity.csv!F6</f>
        <v>-8.85</v>
      </c>
      <c r="H39" s="82" t="s">
        <v>371</v>
      </c>
      <c r="J39" s="164"/>
    </row>
    <row r="40" spans="1:10">
      <c r="A40" t="s">
        <v>727</v>
      </c>
      <c r="B40" t="s">
        <v>374</v>
      </c>
      <c r="C40" s="80">
        <f>F40*G40</f>
        <v>-3.42</v>
      </c>
      <c r="E40">
        <f>GlobalFactorsADsensitivity.csv!F46</f>
        <v>1</v>
      </c>
      <c r="F40" s="303">
        <f>Parameters!O26/1000</f>
        <v>1.9</v>
      </c>
      <c r="G40">
        <f>-GlobalFactorsADsensitivity.csv!F9</f>
        <v>-1.8</v>
      </c>
      <c r="H40" t="s">
        <v>383</v>
      </c>
    </row>
    <row r="41" spans="1:10">
      <c r="A41" s="14" t="s">
        <v>795</v>
      </c>
      <c r="B41" t="s">
        <v>374</v>
      </c>
      <c r="C41" s="80">
        <f>F41*E41*G41</f>
        <v>-3.1679999999999997</v>
      </c>
      <c r="E41">
        <f>GlobalFactorsADsensitivity.csv!F44</f>
        <v>1</v>
      </c>
      <c r="F41" s="303">
        <f>Parameters!N26/1000</f>
        <v>3.3</v>
      </c>
      <c r="G41">
        <f>-GlobalFactorsADsensitivity.csv!F10</f>
        <v>-0.96</v>
      </c>
    </row>
    <row r="42" spans="1:10" s="305" customFormat="1">
      <c r="A42" s="304" t="s">
        <v>867</v>
      </c>
      <c r="C42" s="306">
        <f>C32+C16+C12</f>
        <v>83.433030691322202</v>
      </c>
      <c r="F42" s="307"/>
    </row>
    <row r="43" spans="1:10" s="183" customFormat="1">
      <c r="A43" s="158" t="s">
        <v>868</v>
      </c>
      <c r="C43" s="169">
        <f>C46+C48+C50+C51</f>
        <v>50.601721947857143</v>
      </c>
    </row>
    <row r="44" spans="1:10" s="45" customFormat="1">
      <c r="A44" s="14" t="s">
        <v>45</v>
      </c>
      <c r="B44" s="14" t="s">
        <v>373</v>
      </c>
      <c r="C44" s="5"/>
      <c r="D44" s="161">
        <f>F23*(1-E24)</f>
        <v>5.0730000000000004</v>
      </c>
      <c r="E44" s="236"/>
      <c r="H44" s="45" t="s">
        <v>470</v>
      </c>
      <c r="J44" s="167" t="s">
        <v>369</v>
      </c>
    </row>
    <row r="45" spans="1:10">
      <c r="A45" s="14" t="s">
        <v>939</v>
      </c>
      <c r="B45" t="s">
        <v>22</v>
      </c>
      <c r="E45" s="4">
        <f>(GlobalFactorsADsensitivity.csv!F61-GlobalFactorsADsensitivity.csv!F13)</f>
        <v>1.6E-2</v>
      </c>
      <c r="H45" t="s">
        <v>299</v>
      </c>
      <c r="J45" s="7" t="s">
        <v>469</v>
      </c>
    </row>
    <row r="46" spans="1:10">
      <c r="A46" s="14" t="s">
        <v>468</v>
      </c>
      <c r="B46" t="s">
        <v>28</v>
      </c>
      <c r="C46" s="243">
        <f>D46*Parameters!C16*Parameters!C5</f>
        <v>33.800674285714287</v>
      </c>
      <c r="D46" s="80">
        <f>D44*E45</f>
        <v>8.1168000000000004E-2</v>
      </c>
    </row>
    <row r="47" spans="1:10">
      <c r="A47" s="14" t="s">
        <v>940</v>
      </c>
      <c r="B47" t="s">
        <v>22</v>
      </c>
      <c r="C47" s="243"/>
      <c r="D47" s="80"/>
      <c r="E47">
        <f>(GlobalFactorsADsensitivity.csv!F62-GlobalFactorsADsensitivity.csv!F15)</f>
        <v>0.38164999999999999</v>
      </c>
    </row>
    <row r="48" spans="1:10">
      <c r="A48" s="14" t="s">
        <v>846</v>
      </c>
      <c r="B48" t="s">
        <v>832</v>
      </c>
      <c r="C48" s="243">
        <f>D48*GlobalFactorsADsensitivity.csv!F37*Parameters!C5*Parameters!C16</f>
        <v>8.0625170882142854</v>
      </c>
      <c r="D48" s="80">
        <f>D44*E47</f>
        <v>1.9361104500000001</v>
      </c>
    </row>
    <row r="49" spans="1:10">
      <c r="A49" s="14" t="s">
        <v>941</v>
      </c>
      <c r="C49" s="243"/>
      <c r="D49" s="80"/>
      <c r="E49">
        <f>(GlobalFactorsADsensitivity.csv!F63-GlobalFactorsADsensitivity.csv!F14)</f>
        <v>1.6E-2</v>
      </c>
    </row>
    <row r="50" spans="1:10">
      <c r="A50" s="14" t="s">
        <v>847</v>
      </c>
      <c r="B50" t="s">
        <v>832</v>
      </c>
      <c r="C50" s="80">
        <f>D50*Parameters!C16*Parameters!C5*GlobalFactorsADsensitivity.csv!F37</f>
        <v>0.33800674285714288</v>
      </c>
      <c r="D50" s="80">
        <f>E49*D44</f>
        <v>8.1168000000000004E-2</v>
      </c>
      <c r="J50" t="s">
        <v>578</v>
      </c>
    </row>
    <row r="51" spans="1:10">
      <c r="A51" s="14" t="s">
        <v>848</v>
      </c>
      <c r="C51" s="80">
        <f>C48+C50</f>
        <v>8.4005238310714283</v>
      </c>
    </row>
    <row r="52" spans="1:10" s="44" customFormat="1">
      <c r="A52" s="158" t="s">
        <v>345</v>
      </c>
      <c r="B52" s="158"/>
      <c r="C52" s="169">
        <f>C61+C62+C63</f>
        <v>-9.0438139349999993</v>
      </c>
      <c r="D52" s="159"/>
      <c r="E52" s="157"/>
      <c r="J52" s="159"/>
    </row>
    <row r="53" spans="1:10">
      <c r="A53" s="14" t="s">
        <v>375</v>
      </c>
      <c r="B53" t="s">
        <v>376</v>
      </c>
      <c r="C53" s="80"/>
      <c r="D53">
        <f>1000*(1-E53)</f>
        <v>400</v>
      </c>
      <c r="E53" s="4">
        <f>GlobalFactorsADsensitivity.csv!F57</f>
        <v>0.6</v>
      </c>
      <c r="H53" t="s">
        <v>811</v>
      </c>
      <c r="I53" t="s">
        <v>812</v>
      </c>
      <c r="J53" s="7"/>
    </row>
    <row r="54" spans="1:10" s="6" customFormat="1" hidden="1">
      <c r="A54" s="45" t="s">
        <v>587</v>
      </c>
      <c r="B54" s="6" t="s">
        <v>584</v>
      </c>
      <c r="G54" s="235">
        <f>GlobalFactorsADsensitivity.csv!F8</f>
        <v>0.03</v>
      </c>
      <c r="H54" s="6" t="s">
        <v>585</v>
      </c>
      <c r="I54" s="6" t="s">
        <v>589</v>
      </c>
      <c r="J54" s="6" t="s">
        <v>586</v>
      </c>
    </row>
    <row r="55" spans="1:10" s="6" customFormat="1" hidden="1">
      <c r="A55" s="45" t="s">
        <v>588</v>
      </c>
      <c r="B55" s="6" t="s">
        <v>12</v>
      </c>
      <c r="E55" s="212">
        <f>GlobalFactorsADsensitivity.csv!F59</f>
        <v>20</v>
      </c>
      <c r="G55" s="10"/>
    </row>
    <row r="56" spans="1:10" s="6" customFormat="1" hidden="1">
      <c r="A56" s="45" t="s">
        <v>590</v>
      </c>
      <c r="B56" s="6" t="s">
        <v>591</v>
      </c>
      <c r="D56" s="6">
        <f>E55*G54</f>
        <v>0.6</v>
      </c>
      <c r="E56" s="212"/>
      <c r="G56" s="10"/>
    </row>
    <row r="57" spans="1:10" s="250" customFormat="1" hidden="1">
      <c r="A57" s="250" t="s">
        <v>447</v>
      </c>
      <c r="B57" s="250" t="s">
        <v>28</v>
      </c>
      <c r="C57" s="251">
        <f>E55*G54*(GlobalFactorsADsensitivity.csv!F3+GlobalFactorsADsensitivity.csv!F4)</f>
        <v>1.902296605464</v>
      </c>
      <c r="H57" s="250" t="s">
        <v>43</v>
      </c>
      <c r="I57" s="250" t="s">
        <v>448</v>
      </c>
    </row>
    <row r="58" spans="1:10" s="45" customFormat="1">
      <c r="A58" s="14" t="s">
        <v>605</v>
      </c>
      <c r="B58" s="14"/>
      <c r="C58" s="5"/>
      <c r="E58" s="166"/>
      <c r="F58" s="45">
        <f>GlobalFactorsADsensitivity.csv!F60</f>
        <v>0.2</v>
      </c>
      <c r="J58" s="167"/>
    </row>
    <row r="59" spans="1:10" s="45" customFormat="1">
      <c r="A59" s="14" t="s">
        <v>845</v>
      </c>
      <c r="B59" s="14"/>
      <c r="C59" s="5"/>
      <c r="D59" s="103">
        <f>D44*(1-GlobalFactorsADsensitivity.csv!F63-GlobalFactorsADsensitivity.csv!F62-GlobalFactorsADsensitivity.csv!F61)</f>
        <v>1.3874655</v>
      </c>
      <c r="E59" s="166"/>
      <c r="J59" s="167"/>
    </row>
    <row r="60" spans="1:10" s="14" customFormat="1">
      <c r="A60" s="14" t="s">
        <v>372</v>
      </c>
      <c r="B60" s="14" t="s">
        <v>360</v>
      </c>
      <c r="D60" s="267">
        <f>D59*F58</f>
        <v>0.27749309999999999</v>
      </c>
      <c r="E60" s="316"/>
      <c r="J60" s="167"/>
    </row>
    <row r="61" spans="1:10" s="14" customFormat="1">
      <c r="A61" s="14" t="s">
        <v>364</v>
      </c>
      <c r="B61" s="14" t="s">
        <v>28</v>
      </c>
      <c r="C61" s="267">
        <f>D60*G61</f>
        <v>-2.4558139349999997</v>
      </c>
      <c r="E61" s="317"/>
      <c r="G61" s="14">
        <f>-GlobalFactorsADsensitivity.csv!F6</f>
        <v>-8.85</v>
      </c>
      <c r="H61" s="14" t="s">
        <v>371</v>
      </c>
    </row>
    <row r="62" spans="1:10" s="15" customFormat="1">
      <c r="A62" s="15" t="s">
        <v>727</v>
      </c>
      <c r="B62" s="15" t="s">
        <v>374</v>
      </c>
      <c r="C62" s="290">
        <f>C40</f>
        <v>-3.42</v>
      </c>
      <c r="F62" s="15">
        <f>Parameters!O26/1000</f>
        <v>1.9</v>
      </c>
      <c r="G62" s="15">
        <f>-GlobalFactorsADsensitivity.csv!F9</f>
        <v>-1.8</v>
      </c>
      <c r="H62" s="15" t="s">
        <v>383</v>
      </c>
    </row>
    <row r="63" spans="1:10" s="15" customFormat="1">
      <c r="A63" s="14" t="s">
        <v>390</v>
      </c>
      <c r="B63" s="15" t="s">
        <v>374</v>
      </c>
      <c r="C63" s="290">
        <f>C41</f>
        <v>-3.1679999999999997</v>
      </c>
      <c r="F63" s="15">
        <f>Parameters!N26/1000</f>
        <v>3.3</v>
      </c>
      <c r="G63" s="15">
        <f>G41</f>
        <v>-0.96</v>
      </c>
    </row>
    <row r="64" spans="1:10" s="13" customFormat="1">
      <c r="A64" s="13" t="s">
        <v>344</v>
      </c>
      <c r="C64" s="39">
        <f>C69</f>
        <v>-22.426508895018447</v>
      </c>
    </row>
    <row r="65" spans="1:11" s="6" customFormat="1">
      <c r="A65" s="14" t="s">
        <v>359</v>
      </c>
      <c r="B65" s="14" t="s">
        <v>360</v>
      </c>
      <c r="D65" s="104">
        <f>F17*(1-E18)</f>
        <v>61.163206077323046</v>
      </c>
      <c r="J65" s="6" t="s">
        <v>389</v>
      </c>
      <c r="K65" s="102"/>
    </row>
    <row r="66" spans="1:11" s="6" customFormat="1">
      <c r="A66" s="14" t="s">
        <v>361</v>
      </c>
      <c r="B66" s="14" t="s">
        <v>362</v>
      </c>
      <c r="D66" s="104">
        <f>D65*F66</f>
        <v>6.1163206077323053</v>
      </c>
      <c r="E66" s="102"/>
      <c r="F66" s="6">
        <v>0.1</v>
      </c>
      <c r="J66" s="6" t="s">
        <v>388</v>
      </c>
      <c r="K66" s="102"/>
    </row>
    <row r="67" spans="1:11" s="6" customFormat="1" hidden="1">
      <c r="A67" s="14" t="s">
        <v>515</v>
      </c>
      <c r="B67" s="14" t="s">
        <v>213</v>
      </c>
      <c r="C67" s="80"/>
      <c r="D67" s="104">
        <f>F17-D18</f>
        <v>61.163206077323039</v>
      </c>
      <c r="E67" s="102"/>
      <c r="F67" s="102"/>
      <c r="J67" s="6" t="s">
        <v>726</v>
      </c>
      <c r="K67" s="102"/>
    </row>
    <row r="68" spans="1:11" s="6" customFormat="1">
      <c r="A68" s="14" t="s">
        <v>381</v>
      </c>
      <c r="B68" s="14" t="s">
        <v>665</v>
      </c>
      <c r="C68" s="80"/>
      <c r="D68" s="104">
        <f>D67*F68</f>
        <v>6.1163206077323045</v>
      </c>
      <c r="E68" s="102"/>
      <c r="F68" s="237">
        <f>GlobalFactorsADsensitivity.csv!F64</f>
        <v>0.1</v>
      </c>
      <c r="K68" s="102"/>
    </row>
    <row r="69" spans="1:11">
      <c r="A69" s="14" t="s">
        <v>381</v>
      </c>
      <c r="B69" s="14" t="s">
        <v>363</v>
      </c>
      <c r="C69" s="80">
        <f>D68*-Parameters!C17</f>
        <v>-22.426508895018447</v>
      </c>
      <c r="D69" s="80"/>
      <c r="I69" s="155"/>
      <c r="J69" s="7" t="s">
        <v>574</v>
      </c>
    </row>
    <row r="70" spans="1:11" s="44" customFormat="1">
      <c r="A70" s="158" t="s">
        <v>869</v>
      </c>
      <c r="C70" s="169">
        <f>C64+C52+C43</f>
        <v>19.131399117838697</v>
      </c>
    </row>
    <row r="71" spans="1:11" s="305" customFormat="1">
      <c r="A71" s="304" t="s">
        <v>870</v>
      </c>
      <c r="C71" s="308">
        <f>C70+C12+C16</f>
        <v>118.1316398091609</v>
      </c>
    </row>
    <row r="72" spans="1:11" s="44" customFormat="1">
      <c r="A72" s="158" t="s">
        <v>346</v>
      </c>
      <c r="B72" s="44" t="s">
        <v>28</v>
      </c>
      <c r="C72" s="44">
        <f>C75</f>
        <v>-388</v>
      </c>
    </row>
    <row r="73" spans="1:11">
      <c r="A73" s="14" t="s">
        <v>377</v>
      </c>
      <c r="F73">
        <v>1</v>
      </c>
    </row>
    <row r="74" spans="1:11">
      <c r="A74" s="14" t="s">
        <v>378</v>
      </c>
      <c r="B74" t="s">
        <v>379</v>
      </c>
      <c r="D74">
        <f>D53</f>
        <v>400</v>
      </c>
    </row>
    <row r="75" spans="1:11">
      <c r="A75" t="s">
        <v>346</v>
      </c>
      <c r="B75" t="s">
        <v>380</v>
      </c>
      <c r="C75">
        <f>F75*D74/1000</f>
        <v>-388</v>
      </c>
      <c r="F75">
        <f>-GlobalFactorsADsensitivity.csv!F11</f>
        <v>-970</v>
      </c>
      <c r="H75" t="s">
        <v>382</v>
      </c>
      <c r="J75" s="7" t="s">
        <v>384</v>
      </c>
    </row>
    <row r="76" spans="1:11" s="305" customFormat="1">
      <c r="A76" s="305" t="s">
        <v>728</v>
      </c>
      <c r="C76" s="308">
        <f>C72+C16+C12</f>
        <v>-288.99975930867777</v>
      </c>
    </row>
    <row r="77" spans="1:11">
      <c r="C77" s="171"/>
    </row>
    <row r="78" spans="1:11" s="57" customFormat="1">
      <c r="A78" s="57" t="s">
        <v>871</v>
      </c>
      <c r="C78" s="312">
        <f>0.21*C76+0.18*C42+0.61*C31</f>
        <v>14.718142891322216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H17" sqref="H17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107</v>
      </c>
      <c r="E1" s="42" t="s">
        <v>108</v>
      </c>
      <c r="F1" s="42" t="s">
        <v>109</v>
      </c>
      <c r="G1" s="42" t="s">
        <v>2</v>
      </c>
      <c r="H1" s="42" t="s">
        <v>5</v>
      </c>
    </row>
    <row r="2" spans="1:10" s="44" customFormat="1">
      <c r="A2" s="44" t="s">
        <v>616</v>
      </c>
      <c r="B2" s="44" t="s">
        <v>615</v>
      </c>
      <c r="C2" s="247">
        <f>D5*(GlobalFactorsADsensitivity.csv!F4+GlobalFactorsADsensitivity.csv!F3)</f>
        <v>8.4018100074660005</v>
      </c>
    </row>
    <row r="3" spans="1:10">
      <c r="A3" t="s">
        <v>611</v>
      </c>
      <c r="B3" t="s">
        <v>520</v>
      </c>
      <c r="E3">
        <v>10.6</v>
      </c>
    </row>
    <row r="4" spans="1:10">
      <c r="A4" t="s">
        <v>614</v>
      </c>
      <c r="B4" t="s">
        <v>612</v>
      </c>
      <c r="E4">
        <v>0.25</v>
      </c>
      <c r="J4" t="s">
        <v>626</v>
      </c>
    </row>
    <row r="5" spans="1:10">
      <c r="A5" t="s">
        <v>613</v>
      </c>
      <c r="B5" t="s">
        <v>227</v>
      </c>
      <c r="D5">
        <f>E3*E4</f>
        <v>2.65</v>
      </c>
      <c r="J5" t="s">
        <v>641</v>
      </c>
    </row>
    <row r="6" spans="1:10" s="44" customFormat="1">
      <c r="A6" s="44" t="s">
        <v>158</v>
      </c>
      <c r="C6" s="78">
        <f>F13*E12*(1-C11)</f>
        <v>-181.63636363636365</v>
      </c>
    </row>
    <row r="7" spans="1:10" s="44" customFormat="1">
      <c r="A7" s="44" t="s">
        <v>635</v>
      </c>
      <c r="C7" s="78"/>
    </row>
    <row r="8" spans="1:10" s="82" customFormat="1">
      <c r="A8" s="45" t="s">
        <v>53</v>
      </c>
      <c r="C8" s="220"/>
    </row>
    <row r="9" spans="1:10" s="82" customFormat="1">
      <c r="A9" s="45" t="s">
        <v>169</v>
      </c>
      <c r="C9" s="220"/>
    </row>
    <row r="10" spans="1:10" s="44" customFormat="1">
      <c r="A10" s="44" t="s">
        <v>640</v>
      </c>
      <c r="C10" s="78"/>
    </row>
    <row r="11" spans="1:10" s="82" customFormat="1">
      <c r="A11" s="45" t="s">
        <v>637</v>
      </c>
      <c r="B11" s="82" t="s">
        <v>22</v>
      </c>
      <c r="C11" s="248">
        <f>GlobalFactorsADsensitivity.csv!F68</f>
        <v>0.1</v>
      </c>
    </row>
    <row r="12" spans="1:10">
      <c r="A12" t="s">
        <v>159</v>
      </c>
      <c r="B12" t="s">
        <v>638</v>
      </c>
      <c r="C12" s="77"/>
      <c r="E12" s="100">
        <f>(Parameters!B26*0.88)/(0.88*0.88)</f>
        <v>0.34090909090909094</v>
      </c>
    </row>
    <row r="13" spans="1:10">
      <c r="A13" t="s">
        <v>161</v>
      </c>
      <c r="B13" t="s">
        <v>28</v>
      </c>
      <c r="C13" s="77"/>
      <c r="F13" s="4">
        <v>-592</v>
      </c>
    </row>
    <row r="14" spans="1:10" s="43" customFormat="1">
      <c r="A14" s="44" t="s">
        <v>162</v>
      </c>
      <c r="B14" s="43" t="s">
        <v>28</v>
      </c>
      <c r="C14" s="79">
        <f>C6+C2</f>
        <v>-173.23455362889766</v>
      </c>
    </row>
    <row r="24" spans="1:14" ht="17">
      <c r="A24" s="64" t="s">
        <v>153</v>
      </c>
      <c r="B24" s="1"/>
      <c r="C24" s="1"/>
      <c r="D24" s="1"/>
    </row>
    <row r="25" spans="1:14" ht="45">
      <c r="B25" s="1" t="s">
        <v>150</v>
      </c>
      <c r="C25" s="1" t="s">
        <v>151</v>
      </c>
      <c r="D25" s="1" t="s">
        <v>160</v>
      </c>
      <c r="E25" s="1" t="s">
        <v>2</v>
      </c>
      <c r="F25" s="1" t="s">
        <v>28</v>
      </c>
      <c r="J25" s="50"/>
      <c r="K25" s="68"/>
      <c r="L25" s="50"/>
      <c r="M25" s="50"/>
      <c r="N25" s="69"/>
    </row>
    <row r="26" spans="1:14">
      <c r="A26" t="s">
        <v>148</v>
      </c>
      <c r="B26">
        <v>88</v>
      </c>
      <c r="C26">
        <v>88</v>
      </c>
      <c r="D26">
        <f>B26*C26/(B$26*C$26)</f>
        <v>1</v>
      </c>
      <c r="E26" t="s">
        <v>154</v>
      </c>
      <c r="J26" s="50"/>
      <c r="K26" s="68"/>
      <c r="L26" s="50"/>
      <c r="M26" s="50"/>
      <c r="N26" s="50"/>
    </row>
    <row r="27" spans="1:14">
      <c r="A27" t="s">
        <v>147</v>
      </c>
      <c r="B27">
        <v>22</v>
      </c>
      <c r="C27">
        <v>68.900000000000006</v>
      </c>
      <c r="D27" s="65">
        <f>B27*C27/(B$26*C$26)</f>
        <v>0.19573863636363639</v>
      </c>
      <c r="E27" t="s">
        <v>155</v>
      </c>
      <c r="F27" s="77">
        <v>-110.52727272727275</v>
      </c>
      <c r="J27" s="50"/>
      <c r="K27" s="68"/>
      <c r="L27" s="50"/>
      <c r="M27" s="50"/>
      <c r="N27" s="50"/>
    </row>
    <row r="28" spans="1:14">
      <c r="A28" t="s">
        <v>48</v>
      </c>
      <c r="B28">
        <v>7</v>
      </c>
      <c r="C28">
        <v>81</v>
      </c>
      <c r="D28" s="65">
        <f>B28*C28/(B$26*C$26)</f>
        <v>7.3217975206611566E-2</v>
      </c>
      <c r="E28" t="s">
        <v>157</v>
      </c>
      <c r="F28" s="77">
        <v>-37.995041322314044</v>
      </c>
      <c r="J28" s="50"/>
      <c r="K28" s="50"/>
      <c r="L28" s="50"/>
      <c r="M28" s="50"/>
      <c r="N28" s="50"/>
    </row>
    <row r="29" spans="1:14">
      <c r="A29" t="s">
        <v>149</v>
      </c>
      <c r="B29">
        <v>92</v>
      </c>
      <c r="C29">
        <v>89</v>
      </c>
      <c r="D29" s="65">
        <f>B29*C29/(B$26*C$26)</f>
        <v>1.0573347107438016</v>
      </c>
      <c r="E29" t="s">
        <v>156</v>
      </c>
      <c r="F29" s="77">
        <v>-620.59214876033047</v>
      </c>
      <c r="J29" s="50"/>
      <c r="K29" s="68"/>
      <c r="L29" s="50"/>
      <c r="M29" s="50"/>
      <c r="N29" s="69"/>
    </row>
    <row r="30" spans="1:14">
      <c r="A30" t="s">
        <v>967</v>
      </c>
      <c r="J30" s="50"/>
      <c r="K30" s="68"/>
      <c r="L30" s="50"/>
      <c r="M30" s="50"/>
      <c r="N30" s="50"/>
    </row>
    <row r="31" spans="1:14">
      <c r="J31" s="50"/>
      <c r="K31" s="50"/>
      <c r="L31" s="50"/>
      <c r="M31" s="50"/>
      <c r="N31" s="50"/>
    </row>
    <row r="32" spans="1:14">
      <c r="B32" s="63"/>
      <c r="C32" s="63"/>
      <c r="D32" s="63"/>
      <c r="J32" s="50"/>
      <c r="K32" s="50"/>
      <c r="L32" s="50"/>
      <c r="M32" s="50"/>
      <c r="N32" s="50"/>
    </row>
    <row r="33" spans="1:14">
      <c r="J33" s="50"/>
      <c r="K33" s="50"/>
      <c r="L33" s="50"/>
      <c r="M33" s="50"/>
      <c r="N33" s="50"/>
    </row>
    <row r="34" spans="1:14" ht="16" thickBot="1">
      <c r="A34" s="135" t="s">
        <v>274</v>
      </c>
      <c r="J34" s="50"/>
      <c r="K34" s="50"/>
      <c r="L34" s="50"/>
      <c r="M34" s="50"/>
      <c r="N34" s="50"/>
    </row>
    <row r="35" spans="1:14" ht="16" thickBot="1">
      <c r="A35" s="135" t="s">
        <v>275</v>
      </c>
    </row>
    <row r="36" spans="1:14" ht="16" thickBot="1">
      <c r="A36" s="135" t="s">
        <v>276</v>
      </c>
    </row>
    <row r="37" spans="1:14" ht="16" thickBot="1">
      <c r="A37" s="135" t="s">
        <v>277</v>
      </c>
    </row>
    <row r="38" spans="1:14" ht="16" thickBot="1">
      <c r="A38" s="135" t="s">
        <v>278</v>
      </c>
    </row>
    <row r="39" spans="1:14" ht="16" thickBot="1">
      <c r="A39" s="135" t="s">
        <v>417</v>
      </c>
    </row>
    <row r="40" spans="1:14" ht="16" thickBot="1">
      <c r="A40" s="135" t="s">
        <v>280</v>
      </c>
    </row>
    <row r="41" spans="1:14" ht="16" thickBot="1">
      <c r="A41" s="135" t="s">
        <v>281</v>
      </c>
    </row>
    <row r="42" spans="1:14" ht="16" thickBot="1">
      <c r="A42" s="135" t="s">
        <v>282</v>
      </c>
    </row>
    <row r="43" spans="1:14" ht="16" thickBot="1">
      <c r="A43" s="136" t="s">
        <v>283</v>
      </c>
    </row>
    <row r="44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>
      <c r="A2" s="13" t="s">
        <v>473</v>
      </c>
      <c r="C2" s="191"/>
      <c r="D2" s="191"/>
      <c r="E2" s="11"/>
      <c r="F2" s="11"/>
    </row>
    <row r="3" spans="1:20">
      <c r="B3" t="s">
        <v>491</v>
      </c>
      <c r="H3">
        <f>2.6/16</f>
        <v>0.16250000000000001</v>
      </c>
      <c r="J3" t="s">
        <v>494</v>
      </c>
    </row>
    <row r="4" spans="1:20" ht="45">
      <c r="A4" t="s">
        <v>478</v>
      </c>
      <c r="B4" t="s">
        <v>490</v>
      </c>
      <c r="G4">
        <v>-1225</v>
      </c>
      <c r="H4" s="229" t="s">
        <v>485</v>
      </c>
      <c r="I4" t="s">
        <v>486</v>
      </c>
      <c r="J4" s="1" t="s">
        <v>479</v>
      </c>
    </row>
    <row r="5" spans="1:20">
      <c r="A5" t="s">
        <v>474</v>
      </c>
      <c r="B5" t="s">
        <v>481</v>
      </c>
      <c r="G5">
        <v>6.8</v>
      </c>
      <c r="H5" s="229" t="s">
        <v>482</v>
      </c>
      <c r="I5">
        <v>6.8</v>
      </c>
      <c r="J5" t="s">
        <v>480</v>
      </c>
    </row>
    <row r="6" spans="1:20">
      <c r="A6" t="s">
        <v>475</v>
      </c>
      <c r="B6" t="s">
        <v>481</v>
      </c>
      <c r="G6">
        <v>30</v>
      </c>
      <c r="H6" s="229" t="s">
        <v>483</v>
      </c>
      <c r="I6" t="s">
        <v>477</v>
      </c>
      <c r="J6" t="s">
        <v>476</v>
      </c>
    </row>
    <row r="7" spans="1:20">
      <c r="A7" t="s">
        <v>489</v>
      </c>
      <c r="B7" t="s">
        <v>481</v>
      </c>
      <c r="G7">
        <f>-1081*1.1</f>
        <v>-1189.1000000000001</v>
      </c>
      <c r="H7" s="229" t="s">
        <v>484</v>
      </c>
      <c r="I7" s="228" t="s">
        <v>488</v>
      </c>
      <c r="J7" t="s">
        <v>487</v>
      </c>
    </row>
    <row r="8" spans="1:20">
      <c r="A8" t="s">
        <v>493</v>
      </c>
      <c r="B8" t="s">
        <v>492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99</v>
      </c>
      <c r="D1" s="54" t="s">
        <v>100</v>
      </c>
      <c r="E1" s="54" t="s">
        <v>36</v>
      </c>
      <c r="F1" s="54" t="s">
        <v>103</v>
      </c>
      <c r="G1" s="55" t="s">
        <v>101</v>
      </c>
      <c r="H1" s="55" t="s">
        <v>102</v>
      </c>
    </row>
    <row r="2" spans="2:8">
      <c r="B2" s="54" t="s">
        <v>11</v>
      </c>
      <c r="C2" s="56">
        <v>770</v>
      </c>
      <c r="D2" s="55"/>
      <c r="E2" s="66">
        <v>6</v>
      </c>
      <c r="F2" s="91">
        <v>-177</v>
      </c>
      <c r="G2" s="55" t="s">
        <v>145</v>
      </c>
      <c r="H2" s="55" t="s">
        <v>144</v>
      </c>
    </row>
    <row r="3" spans="2:8">
      <c r="B3" s="54" t="s">
        <v>47</v>
      </c>
      <c r="C3" s="55"/>
      <c r="D3" s="56">
        <v>-37.995041322314044</v>
      </c>
      <c r="E3" s="56">
        <v>7</v>
      </c>
      <c r="F3" s="90">
        <v>7</v>
      </c>
      <c r="G3" s="55" t="s">
        <v>104</v>
      </c>
      <c r="H3" s="55" t="s">
        <v>50</v>
      </c>
    </row>
    <row r="4" spans="2:8">
      <c r="B4" s="54" t="s">
        <v>97</v>
      </c>
      <c r="C4" s="55"/>
      <c r="D4" s="56">
        <v>-110.52727272727275</v>
      </c>
      <c r="E4" s="56">
        <v>8.25</v>
      </c>
      <c r="F4" s="92"/>
      <c r="G4" s="55" t="s">
        <v>50</v>
      </c>
      <c r="H4" s="55" t="s">
        <v>144</v>
      </c>
    </row>
    <row r="5" spans="2:8">
      <c r="B5" s="54" t="s">
        <v>98</v>
      </c>
      <c r="C5" s="56">
        <v>1924</v>
      </c>
      <c r="D5" s="56">
        <v>-620.59214876033047</v>
      </c>
      <c r="E5" s="55"/>
      <c r="F5" s="91">
        <v>-479</v>
      </c>
      <c r="G5" s="55" t="s">
        <v>50</v>
      </c>
      <c r="H5" s="55" t="s">
        <v>50</v>
      </c>
    </row>
    <row r="6" spans="2:8">
      <c r="B6" s="66"/>
      <c r="C6" s="56"/>
      <c r="D6" s="54"/>
      <c r="E6" s="54"/>
      <c r="F6" s="54"/>
      <c r="G6" s="54"/>
      <c r="H6" s="54"/>
    </row>
    <row r="7" spans="2:8">
      <c r="B7" s="66"/>
      <c r="C7" s="54"/>
      <c r="D7" s="54"/>
      <c r="E7" s="54"/>
      <c r="F7" s="54"/>
      <c r="G7" s="54"/>
      <c r="H7" s="54"/>
    </row>
    <row r="46" spans="1:13">
      <c r="A46" s="54"/>
      <c r="B46" s="66" t="s">
        <v>188</v>
      </c>
      <c r="C46" s="66" t="s">
        <v>187</v>
      </c>
      <c r="D46" s="66" t="s">
        <v>183</v>
      </c>
      <c r="E46" s="66" t="s">
        <v>185</v>
      </c>
      <c r="F46" s="66" t="s">
        <v>181</v>
      </c>
      <c r="G46" s="66" t="s">
        <v>182</v>
      </c>
      <c r="H46" s="54" t="s">
        <v>180</v>
      </c>
      <c r="I46" s="66" t="s">
        <v>184</v>
      </c>
      <c r="J46" s="66" t="s">
        <v>186</v>
      </c>
      <c r="K46" s="66" t="s">
        <v>190</v>
      </c>
      <c r="L46" s="66" t="s">
        <v>189</v>
      </c>
      <c r="M46" s="66" t="s">
        <v>191</v>
      </c>
    </row>
    <row r="47" spans="1:13">
      <c r="A47" s="54" t="s">
        <v>11</v>
      </c>
      <c r="B47" s="54"/>
      <c r="C47" s="54"/>
      <c r="D47" s="66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96">
        <f>F2-C2</f>
        <v>-947</v>
      </c>
      <c r="I47" s="96">
        <f>C2-F2</f>
        <v>947</v>
      </c>
      <c r="J47" s="54"/>
      <c r="K47" s="54"/>
      <c r="L47" s="54"/>
      <c r="M47" s="54"/>
    </row>
    <row r="48" spans="1:13">
      <c r="A48" s="54" t="s">
        <v>47</v>
      </c>
      <c r="B48" s="67">
        <f>E3-D3</f>
        <v>44.995041322314044</v>
      </c>
      <c r="C48" s="56">
        <f>D3-E3</f>
        <v>-44.995041322314044</v>
      </c>
      <c r="D48" s="96">
        <f>H86-G86</f>
        <v>0</v>
      </c>
      <c r="E48" s="96">
        <f>G86-H86</f>
        <v>0</v>
      </c>
      <c r="F48" s="56"/>
      <c r="G48" s="54"/>
      <c r="H48" s="96"/>
      <c r="I48" s="97"/>
      <c r="J48" s="67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97</v>
      </c>
      <c r="B49" s="56">
        <f>E4-D4</f>
        <v>118.77727272727275</v>
      </c>
      <c r="C49" s="56">
        <f>D4-E4</f>
        <v>-118.77727272727275</v>
      </c>
      <c r="D49" s="96"/>
      <c r="E49" s="54"/>
      <c r="F49" s="54"/>
      <c r="G49" s="54"/>
      <c r="H49" s="96"/>
      <c r="I49" s="66"/>
      <c r="J49" s="54"/>
      <c r="K49" s="54"/>
      <c r="L49" s="54"/>
      <c r="M49" s="54"/>
    </row>
    <row r="50" spans="1:13">
      <c r="A50" s="54" t="s">
        <v>98</v>
      </c>
      <c r="B50" s="54"/>
      <c r="C50" s="54"/>
      <c r="D50" s="66"/>
      <c r="E50" s="54"/>
      <c r="F50" s="54"/>
      <c r="G50" s="54"/>
      <c r="H50" s="96">
        <f>F5-C5</f>
        <v>-2403</v>
      </c>
      <c r="I50" s="96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179</v>
      </c>
    </row>
    <row r="84" spans="2:8">
      <c r="B84" s="54"/>
      <c r="C84" s="54" t="s">
        <v>99</v>
      </c>
      <c r="D84" s="54" t="s">
        <v>100</v>
      </c>
      <c r="E84" s="55" t="s">
        <v>101</v>
      </c>
      <c r="F84" s="55" t="s">
        <v>102</v>
      </c>
      <c r="G84" s="54" t="s">
        <v>36</v>
      </c>
      <c r="H84" s="54" t="s">
        <v>103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47</v>
      </c>
      <c r="C86" s="56"/>
      <c r="D86" s="56"/>
      <c r="E86" s="56"/>
      <c r="F86" s="56"/>
      <c r="G86" s="56"/>
      <c r="H86" s="56"/>
    </row>
    <row r="87" spans="2:8">
      <c r="B87" s="54" t="s">
        <v>97</v>
      </c>
      <c r="C87" s="56"/>
      <c r="D87" s="56"/>
      <c r="E87" s="56"/>
      <c r="F87" s="56"/>
      <c r="G87" s="56"/>
      <c r="H87" s="56"/>
    </row>
    <row r="88" spans="2:8">
      <c r="B88" s="54" t="s">
        <v>98</v>
      </c>
      <c r="C88" s="56"/>
      <c r="D88" s="56"/>
      <c r="E88" s="56"/>
      <c r="F88" s="56"/>
      <c r="G88" s="56"/>
      <c r="H88" s="56"/>
    </row>
    <row r="91" spans="2:8" ht="45">
      <c r="C91" s="1" t="s">
        <v>150</v>
      </c>
      <c r="D91" s="1" t="s">
        <v>151</v>
      </c>
      <c r="E91" s="1" t="s">
        <v>160</v>
      </c>
      <c r="F91" s="1" t="s">
        <v>2</v>
      </c>
    </row>
    <row r="92" spans="2:8">
      <c r="B92" t="s">
        <v>148</v>
      </c>
      <c r="C92">
        <v>88</v>
      </c>
      <c r="D92">
        <v>88</v>
      </c>
      <c r="E92">
        <v>1</v>
      </c>
      <c r="F92" t="s">
        <v>154</v>
      </c>
    </row>
    <row r="93" spans="2:8">
      <c r="B93" t="s">
        <v>147</v>
      </c>
      <c r="C93">
        <v>22</v>
      </c>
      <c r="D93">
        <v>68.900000000000006</v>
      </c>
      <c r="E93" s="65">
        <v>0.19573863636363639</v>
      </c>
      <c r="F93" t="s">
        <v>155</v>
      </c>
    </row>
    <row r="94" spans="2:8">
      <c r="B94" t="s">
        <v>48</v>
      </c>
      <c r="C94">
        <v>7</v>
      </c>
      <c r="D94">
        <v>81</v>
      </c>
      <c r="E94" s="65">
        <v>7.3217975206611566E-2</v>
      </c>
      <c r="F94" t="s">
        <v>157</v>
      </c>
    </row>
    <row r="95" spans="2:8">
      <c r="B95" t="s">
        <v>149</v>
      </c>
      <c r="C95">
        <v>92</v>
      </c>
      <c r="D95">
        <v>89</v>
      </c>
      <c r="E95" s="65">
        <v>1.0573347107438016</v>
      </c>
      <c r="F95" t="s">
        <v>156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GlobalFactorsADsensitivity.csv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2015-12-06T00:32:22Z</dcterms:modified>
</cp:coreProperties>
</file>