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920" yWindow="0" windowWidth="26220" windowHeight="14480" tabRatio="500" activeTab="3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5" l="1"/>
  <c r="D70" i="15"/>
  <c r="D69" i="15"/>
  <c r="F15" i="15"/>
  <c r="F17" i="15"/>
  <c r="D62" i="15"/>
  <c r="D66" i="15"/>
  <c r="D67" i="15"/>
  <c r="D68" i="15"/>
  <c r="F68" i="15"/>
  <c r="D63" i="15"/>
  <c r="D64" i="15"/>
  <c r="F64" i="15"/>
  <c r="D65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D52" i="17"/>
  <c r="C37" i="17"/>
  <c r="G15" i="17"/>
  <c r="E37" i="17"/>
  <c r="E52" i="17"/>
  <c r="E87" i="17"/>
  <c r="D16" i="17"/>
  <c r="C14" i="17"/>
  <c r="F37" i="17"/>
  <c r="F52" i="17"/>
  <c r="F87" i="17"/>
  <c r="D19" i="17"/>
  <c r="D20" i="17"/>
  <c r="Q5" i="19"/>
  <c r="H5" i="19"/>
  <c r="G32" i="15"/>
  <c r="E28" i="15"/>
  <c r="E21" i="15"/>
  <c r="D22" i="15"/>
  <c r="D29" i="15"/>
  <c r="D31" i="15"/>
  <c r="D32" i="15"/>
  <c r="D24" i="15"/>
  <c r="C25" i="15"/>
  <c r="D27" i="15"/>
  <c r="C27" i="15"/>
  <c r="C14" i="15"/>
  <c r="G49" i="15"/>
  <c r="E50" i="15"/>
  <c r="D52" i="15"/>
  <c r="F42" i="15"/>
  <c r="D53" i="15"/>
  <c r="H38" i="19"/>
  <c r="E54" i="15"/>
  <c r="D54" i="15"/>
  <c r="H39" i="19"/>
  <c r="E55" i="15"/>
  <c r="E56" i="15"/>
  <c r="D56" i="15"/>
  <c r="D57" i="15"/>
  <c r="C48" i="15"/>
  <c r="D13" i="15"/>
  <c r="C10" i="15"/>
  <c r="E36" i="15"/>
  <c r="F35" i="15"/>
  <c r="D37" i="15"/>
  <c r="E38" i="15"/>
  <c r="D39" i="15"/>
  <c r="D40" i="15"/>
  <c r="D43" i="15"/>
  <c r="E45" i="15"/>
  <c r="D46" i="15"/>
  <c r="D41" i="15"/>
  <c r="C34" i="15"/>
  <c r="F59" i="15"/>
  <c r="F60" i="15"/>
  <c r="D61" i="15"/>
  <c r="F71" i="15"/>
  <c r="C72" i="15"/>
  <c r="C58" i="15"/>
  <c r="C73" i="15"/>
  <c r="G77" i="15"/>
  <c r="D75" i="15"/>
  <c r="D76" i="15"/>
  <c r="D77" i="15"/>
  <c r="D78" i="15"/>
  <c r="C79" i="15"/>
  <c r="C80" i="15"/>
  <c r="E72" i="15"/>
  <c r="J27" i="19"/>
  <c r="I27" i="19"/>
  <c r="F28" i="15"/>
  <c r="C24" i="15"/>
  <c r="C18" i="15"/>
  <c r="C19" i="15"/>
  <c r="C20" i="15"/>
  <c r="F61" i="15"/>
  <c r="D8" i="14"/>
  <c r="C5" i="14"/>
  <c r="E13" i="10"/>
  <c r="G4" i="17"/>
  <c r="G5" i="17"/>
  <c r="F14" i="10"/>
  <c r="C14" i="10"/>
  <c r="E15" i="10"/>
  <c r="C15" i="10"/>
  <c r="C12" i="10"/>
  <c r="C14" i="14"/>
  <c r="H32" i="19"/>
  <c r="E30" i="15"/>
  <c r="C9" i="14"/>
  <c r="E18" i="10"/>
  <c r="D18" i="10"/>
  <c r="E19" i="10"/>
  <c r="D20" i="10"/>
  <c r="D21" i="10"/>
  <c r="C22" i="10"/>
  <c r="E25" i="10"/>
  <c r="D26" i="10"/>
  <c r="C27" i="10"/>
  <c r="C16" i="10"/>
  <c r="F37" i="10"/>
  <c r="C37" i="10"/>
  <c r="E39" i="10"/>
  <c r="D40" i="10"/>
  <c r="C40" i="10"/>
  <c r="C35" i="10"/>
  <c r="C42" i="10"/>
  <c r="D51" i="15"/>
  <c r="G29" i="15"/>
  <c r="F29" i="15"/>
  <c r="D33" i="11"/>
  <c r="A35" i="11"/>
  <c r="F17" i="10"/>
  <c r="F32" i="10"/>
  <c r="D32" i="10"/>
  <c r="D33" i="10"/>
  <c r="D31" i="10"/>
  <c r="G33" i="10"/>
  <c r="G32" i="10"/>
  <c r="Q44" i="9"/>
  <c r="P44" i="9"/>
  <c r="Q42" i="9"/>
  <c r="P42" i="9"/>
  <c r="E9" i="1"/>
  <c r="F23" i="1"/>
  <c r="G65" i="9"/>
  <c r="J65" i="9"/>
  <c r="C3" i="9"/>
  <c r="G67" i="9"/>
  <c r="J67" i="9"/>
  <c r="C4" i="9"/>
  <c r="G66" i="9"/>
  <c r="J66" i="9"/>
  <c r="C2" i="9"/>
  <c r="J27" i="9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8" i="10"/>
  <c r="L24" i="19"/>
  <c r="F25" i="17"/>
  <c r="F26" i="17"/>
  <c r="D28" i="17"/>
  <c r="Q6" i="19"/>
  <c r="I5" i="19"/>
  <c r="Q7" i="19"/>
  <c r="J5" i="19"/>
  <c r="G46" i="10"/>
  <c r="C34" i="10"/>
  <c r="A31" i="11"/>
  <c r="C24" i="17"/>
  <c r="H31" i="19"/>
  <c r="J31" i="19"/>
  <c r="I31" i="19"/>
  <c r="G28" i="15"/>
  <c r="D23" i="19"/>
  <c r="H29" i="17"/>
  <c r="F13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25" i="10"/>
  <c r="I18" i="10"/>
  <c r="I13" i="10"/>
  <c r="E43" i="19"/>
  <c r="E45" i="19"/>
  <c r="E49" i="19"/>
  <c r="E3" i="19"/>
  <c r="D3" i="19"/>
  <c r="L47" i="19"/>
  <c r="D45" i="19"/>
  <c r="E38" i="19"/>
  <c r="K38" i="19"/>
  <c r="E39" i="19"/>
  <c r="K39" i="19"/>
  <c r="D40" i="19"/>
  <c r="D38" i="19"/>
  <c r="D37" i="19"/>
  <c r="E31" i="19"/>
  <c r="K31" i="19"/>
  <c r="L31" i="19"/>
  <c r="E32" i="19"/>
  <c r="K32" i="19"/>
  <c r="L32" i="19"/>
  <c r="D32" i="19"/>
  <c r="D31" i="19"/>
  <c r="E23" i="19"/>
  <c r="K23" i="19"/>
  <c r="E24" i="19"/>
  <c r="H24" i="19"/>
  <c r="K24" i="19"/>
  <c r="E25" i="19"/>
  <c r="H25" i="19"/>
  <c r="K25" i="19"/>
  <c r="L25" i="19"/>
  <c r="E26" i="19"/>
  <c r="E27" i="19"/>
  <c r="K27" i="19"/>
  <c r="E28" i="19"/>
  <c r="K28" i="19"/>
  <c r="L28" i="19"/>
  <c r="E29" i="19"/>
  <c r="K29" i="19"/>
  <c r="L29" i="19"/>
  <c r="E30" i="19"/>
  <c r="K30" i="19"/>
  <c r="D24" i="19"/>
  <c r="D25" i="19"/>
  <c r="D26" i="19"/>
  <c r="D27" i="19"/>
  <c r="D28" i="19"/>
  <c r="D29" i="19"/>
  <c r="D30" i="19"/>
  <c r="L19" i="19"/>
  <c r="L16" i="19"/>
  <c r="K16" i="19"/>
  <c r="E16" i="19"/>
  <c r="D16" i="19"/>
  <c r="E19" i="19"/>
  <c r="E14" i="19"/>
  <c r="K14" i="19"/>
  <c r="L14" i="19"/>
  <c r="E15" i="19"/>
  <c r="H15" i="19"/>
  <c r="K15" i="19"/>
  <c r="L15" i="19"/>
  <c r="D15" i="19"/>
  <c r="D14" i="19"/>
  <c r="L13" i="19"/>
  <c r="K13" i="19"/>
  <c r="E13" i="19"/>
  <c r="D13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C18" i="9"/>
  <c r="C28" i="10"/>
  <c r="D45" i="10"/>
  <c r="G47" i="10"/>
  <c r="C47" i="10"/>
  <c r="C46" i="10"/>
  <c r="C6" i="1"/>
  <c r="C2" i="1"/>
  <c r="D31" i="1"/>
  <c r="I21" i="1"/>
  <c r="I60" i="15"/>
  <c r="C5" i="15"/>
  <c r="C2" i="15"/>
  <c r="C3" i="17"/>
  <c r="G87" i="17"/>
  <c r="N87" i="17"/>
  <c r="B87" i="17"/>
  <c r="D29" i="10"/>
  <c r="B83" i="9"/>
  <c r="B84" i="9"/>
  <c r="B85" i="9"/>
  <c r="B86" i="9"/>
  <c r="E27" i="9"/>
  <c r="J31" i="9"/>
  <c r="F12" i="17"/>
  <c r="F11" i="17"/>
  <c r="D30" i="10"/>
  <c r="C43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6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6" i="19"/>
  <c r="K26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<sst xmlns="http://schemas.openxmlformats.org/spreadsheetml/2006/main" count="1631" uniqueCount="1046">
  <si>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</si>
  <si>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</si>
  <si>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</si>
  <si>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</si>
  <si>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</si>
  <si>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</si>
  <si>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</si>
  <si>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</si>
  <si>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</si>
  <si>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</si>
  <si>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</si>
  <si>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</si>
  <si>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</si>
  <si>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</si>
  <si>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</si>
  <si>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</si>
  <si>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</si>
  <si>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</si>
  <si>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</si>
  <si>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</si>
  <si>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</si>
  <si>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</si>
  <si>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</si>
  <si>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</si>
  <si>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</si>
  <si>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</si>
  <si>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</si>
  <si>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</si>
  <si>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</si>
  <si>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</si>
  <si>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</si>
  <si>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</si>
  <si>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</si>
  <si>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</si>
  <si>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</si>
  <si>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</si>
  <si>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</si>
  <si>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</si>
  <si>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</si>
  <si>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</si>
  <si>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</si>
  <si>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</si>
  <si>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</si>
  <si>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</si>
  <si>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</si>
  <si>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</si>
  <si>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</si>
  <si>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</si>
  <si>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</si>
  <si>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</si>
  <si>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</si>
  <si>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</si>
  <si>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</si>
  <si>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</si>
  <si>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</si>
  <si>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</si>
  <si>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</si>
  <si>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</si>
  <si>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</si>
  <si>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</si>
  <si>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</si>
  <si>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</si>
  <si>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</si>
  <si>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</si>
  <si>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</si>
  <si>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</si>
  <si>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</si>
  <si>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</si>
  <si>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</si>
  <si>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</si>
  <si>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</si>
  <si>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</si>
  <si>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</si>
  <si>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</si>
  <si>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</si>
  <si>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</si>
  <si>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</si>
  <si>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</si>
  <si>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</si>
  <si>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</si>
  <si>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</si>
  <si>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</si>
  <si>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</si>
  <si>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</si>
  <si>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</si>
  <si>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</si>
  <si>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</si>
  <si>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</si>
  <si>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</si>
  <si>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</si>
  <si>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</si>
  <si>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</si>
  <si>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</si>
  <si>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</si>
  <si>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</si>
  <si>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</si>
  <si>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</si>
  <si>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</si>
  <si>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</si>
  <si>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</si>
  <si>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</si>
  <si>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</si>
  <si>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</si>
  <si>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</si>
  <si>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</si>
  <si>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</si>
  <si>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</si>
  <si>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</si>
  <si>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</si>
  <si>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</si>
  <si>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</si>
  <si>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</si>
  <si>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</si>
  <si>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</si>
  <si>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</si>
  <si>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</si>
  <si>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</si>
  <si>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</si>
  <si>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</si>
  <si>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</si>
  <si>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</si>
  <si>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</si>
  <si>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</si>
  <si>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</si>
  <si>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</si>
  <si>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</si>
  <si>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</si>
  <si>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</si>
  <si>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</si>
  <si>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</si>
  <si>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</si>
  <si>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</si>
  <si>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</si>
  <si>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</si>
  <si>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</si>
  <si>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</si>
  <si>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</si>
  <si>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</si>
  <si>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</si>
  <si>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</si>
  <si>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</si>
  <si>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</si>
  <si>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</si>
  <si>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</si>
  <si>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</si>
  <si>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</si>
  <si>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</si>
  <si>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</si>
  <si>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</si>
  <si>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</si>
  <si>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</si>
  <si>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</si>
  <si>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</si>
  <si>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</si>
  <si>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</si>
  <si>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</si>
  <si>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</si>
  <si>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</si>
  <si>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</si>
  <si>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</si>
  <si>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</si>
  <si>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</si>
  <si>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</si>
  <si>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</si>
  <si>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</si>
  <si>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</si>
  <si>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</si>
  <si>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</si>
  <si>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</si>
  <si>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</si>
  <si>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</si>
  <si>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</si>
  <si>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</si>
  <si>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</si>
  <si>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</si>
  <si>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</si>
  <si>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</si>
  <si>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</si>
  <si>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</si>
  <si>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</si>
  <si>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</si>
  <si>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</si>
  <si>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</si>
  <si>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</si>
  <si>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</si>
  <si>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</si>
  <si>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</si>
  <si>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</si>
  <si>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</si>
  <si>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</si>
  <si>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</si>
  <si>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</si>
  <si>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</si>
  <si>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</si>
  <si>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</si>
  <si>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</si>
  <si>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</si>
  <si>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</si>
  <si>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</si>
  <si>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</si>
  <si>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</si>
  <si>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</si>
  <si>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</si>
  <si>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</si>
  <si>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</si>
  <si>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</si>
  <si>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</si>
  <si>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</si>
  <si>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</si>
  <si>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</si>
  <si>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</si>
  <si>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</si>
  <si>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</si>
  <si>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</si>
  <si>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</si>
  <si>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</si>
  <si>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</si>
  <si>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</si>
  <si>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</si>
  <si>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</si>
  <si>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</si>
  <si>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</si>
  <si>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</si>
  <si>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</si>
  <si>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</si>
  <si>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</si>
  <si>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</si>
  <si>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</si>
  <si>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</si>
  <si>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</si>
  <si>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</si>
  <si>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</si>
  <si>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</si>
  <si>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</si>
  <si>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</si>
  <si>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</si>
  <si>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</si>
  <si>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</si>
  <si>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</si>
  <si>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</si>
  <si>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</si>
  <si>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</si>
  <si>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</si>
  <si>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</si>
  <si>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</si>
  <si>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</si>
  <si>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</si>
  <si>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</si>
  <si>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</si>
  <si>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</si>
  <si>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</si>
  <si>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</si>
  <si>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</si>
  <si>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</si>
  <si>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</si>
  <si>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</si>
  <si>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</si>
  <si>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</si>
  <si>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</si>
  <si>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</si>
  <si>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</si>
  <si>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</si>
  <si>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</si>
  <si>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</si>
  <si>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</si>
  <si>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</si>
  <si>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</si>
  <si>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</si>
  <si>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</si>
  <si>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</si>
  <si>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</si>
  <si>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</si>
  <si>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</si>
  <si>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</si>
  <si>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</si>
  <si>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</si>
  <si>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</si>
  <si>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</si>
  <si>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</si>
  <si>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</si>
  <si>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</si>
  <si>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</si>
  <si>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</si>
  <si>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</si>
  <si>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</si>
  <si>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</si>
  <si>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</si>
  <si>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</si>
  <si>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</si>
  <si>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</si>
  <si>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</si>
  <si>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</si>
  <si>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</si>
  <si>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</si>
  <si>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</si>
  <si>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</si>
  <si>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</si>
  <si>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</si>
  <si>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</si>
  <si>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</si>
  <si>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</si>
  <si>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</si>
  <si>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</si>
  <si>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</si>
  <si>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</si>
  <si>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</si>
  <si>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</si>
  <si>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</si>
  <si>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</si>
  <si>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</si>
  <si>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</si>
  <si>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</si>
  <si>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</si>
  <si>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</si>
  <si>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</si>
  <si>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</si>
  <si>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</si>
  <si>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</si>
  <si>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</si>
  <si>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</si>
  <si>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</si>
  <si>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</si>
  <si>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</si>
  <si>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</si>
  <si>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</si>
  <si>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</si>
  <si>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</si>
  <si>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</si>
  <si>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</si>
  <si>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</si>
  <si>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</si>
  <si>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</si>
  <si>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</si>
  <si>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</si>
  <si>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</si>
  <si>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</si>
  <si>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</si>
  <si>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</si>
  <si>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</si>
  <si>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</si>
  <si>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</si>
  <si>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</si>
  <si>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</si>
  <si>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</si>
  <si>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</si>
  <si>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</si>
  <si>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</si>
  <si>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</si>
  <si>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</si>
  <si>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</si>
  <si>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</si>
  <si>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</si>
  <si>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</si>
  <si>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</si>
  <si>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</si>
  <si>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</si>
  <si>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</si>
  <si>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</si>
  <si>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</si>
  <si>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</si>
  <si>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</si>
  <si>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</si>
  <si>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</si>
  <si>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</si>
  <si>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</si>
  <si>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</si>
  <si>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</si>
  <si>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</si>
  <si>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</si>
  <si>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</si>
  <si>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</si>
  <si>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</si>
  <si>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</si>
  <si>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</si>
  <si>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</si>
  <si>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</si>
  <si>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</si>
  <si>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</si>
  <si>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</si>
  <si>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</si>
  <si>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</si>
  <si>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</si>
  <si>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</si>
  <si>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</si>
  <si>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</si>
  <si>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</si>
  <si>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</si>
  <si>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</si>
  <si>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</si>
  <si>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</si>
  <si>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</si>
  <si>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</si>
  <si>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</si>
  <si>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</si>
  <si>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</si>
  <si>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</si>
  <si>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</si>
  <si>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</si>
  <si>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</si>
  <si>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</si>
  <si>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</si>
  <si>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</si>
  <si>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</si>
  <si>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</si>
  <si>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</si>
  <si>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</si>
  <si>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</si>
  <si>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</si>
  <si>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</si>
  <si>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</si>
  <si>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</si>
  <si>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</si>
  <si>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</si>
  <si>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</si>
  <si>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</si>
  <si>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</si>
  <si>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</si>
  <si>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</si>
  <si>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</si>
  <si>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</si>
  <si>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</si>
  <si>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</si>
  <si>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</si>
  <si>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</si>
  <si>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</si>
  <si>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</si>
  <si>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</si>
  <si>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</si>
  <si>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</si>
  <si>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</si>
  <si>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</si>
  <si>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</si>
  <si>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</si>
  <si>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</si>
  <si>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</si>
  <si>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</si>
  <si>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</si>
  <si>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</si>
  <si>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</si>
  <si>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</si>
  <si>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</si>
  <si>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</si>
  <si>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</si>
  <si>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</si>
  <si>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</si>
  <si>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</si>
  <si>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</si>
  <si>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</si>
  <si>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</si>
  <si>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</si>
  <si>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</si>
  <si>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</si>
  <si>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</si>
  <si>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</si>
  <si>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</si>
  <si>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</si>
  <si>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</si>
  <si>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</si>
  <si>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</si>
  <si>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</si>
  <si>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</si>
  <si>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</si>
  <si>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</si>
  <si>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</si>
  <si>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</si>
  <si>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</si>
  <si>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</si>
  <si>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</si>
  <si>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</si>
  <si>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</si>
  <si>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</si>
  <si>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</si>
  <si>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</si>
  <si>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</si>
  <si>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</si>
  <si>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</si>
  <si>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</si>
  <si>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</si>
  <si>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</si>
  <si>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</si>
  <si>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</si>
  <si>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</si>
  <si>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</si>
  <si>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</si>
  <si>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</si>
  <si>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</si>
  <si>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</si>
  <si>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</si>
  <si>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</si>
  <si>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</si>
  <si>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</si>
  <si>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</si>
  <si>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</si>
  <si>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</si>
  <si>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</si>
  <si>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</si>
  <si>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</si>
  <si>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</si>
  <si>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</si>
  <si>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</si>
  <si>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</si>
  <si>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</si>
  <si>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</si>
  <si>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</si>
  <si>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</si>
  <si>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</si>
  <si>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</si>
  <si>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</si>
  <si>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</si>
  <si>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</si>
  <si>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</si>
  <si>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</si>
  <si>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</si>
  <si>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</si>
  <si>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</si>
  <si>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</si>
  <si>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</si>
  <si>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</si>
  <si>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</si>
  <si>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</si>
  <si>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</si>
  <si>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</si>
  <si>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</si>
  <si>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</si>
  <si>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</si>
  <si>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</si>
  <si>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</si>
  <si>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</si>
  <si>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</si>
  <si>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</si>
  <si>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</si>
  <si>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</si>
  <si>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</si>
  <si>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</si>
  <si>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</si>
  <si>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</si>
  <si>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</si>
  <si>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</si>
  <si>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</si>
  <si>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</si>
  <si>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</si>
  <si>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</si>
  <si>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</si>
  <si>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</si>
  <si>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</si>
  <si>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</si>
  <si>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</si>
  <si>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</si>
  <si>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</si>
  <si>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</si>
  <si>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</si>
  <si>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</si>
  <si>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</si>
  <si>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</si>
  <si>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</si>
  <si>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</si>
  <si>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</si>
  <si>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</si>
  <si>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</si>
  <si>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</si>
  <si>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</si>
  <si>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</si>
  <si>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</si>
  <si>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</si>
  <si>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</si>
  <si>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</si>
  <si>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</si>
  <si>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</si>
  <si>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</si>
  <si>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</si>
  <si>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</si>
  <si>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</si>
  <si>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</si>
  <si>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</si>
  <si>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</si>
  <si>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</si>
  <si>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</si>
  <si>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</si>
  <si>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</si>
  <si>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</si>
  <si>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</si>
  <si>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</si>
  <si>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</si>
  <si>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</si>
  <si>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</si>
  <si>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</si>
  <si>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</si>
  <si>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</si>
  <si>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</si>
  <si>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</si>
  <si>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</si>
  <si>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</si>
  <si>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</si>
  <si>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</si>
  <si>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</si>
  <si>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</si>
  <si>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</si>
  <si>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</si>
  <si>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</si>
  <si>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</si>
  <si>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</si>
  <si>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</si>
  <si>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</si>
  <si>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</si>
  <si>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</si>
  <si>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</si>
  <si>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</si>
  <si>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</si>
  <si>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</si>
  <si>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</si>
  <si>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</si>
  <si>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</si>
  <si>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</si>
  <si>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</si>
  <si>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</si>
  <si>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</si>
  <si>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</si>
  <si>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</si>
  <si>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</si>
  <si>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</si>
  <si>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</si>
  <si>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</si>
  <si>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</si>
  <si>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</si>
  <si>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</si>
  <si>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</si>
  <si>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</si>
  <si>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</si>
  <si>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</si>
  <si>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</si>
  <si>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</si>
  <si>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</si>
  <si>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</si>
  <si>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</si>
  <si>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</si>
  <si>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</si>
  <si>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</si>
  <si>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</si>
  <si>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</si>
  <si>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</si>
  <si>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</si>
  <si>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</si>
  <si>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</si>
  <si>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</si>
  <si>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</si>
  <si>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</si>
  <si>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</si>
  <si>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</si>
  <si>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</si>
  <si>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</si>
  <si>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</si>
  <si>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</si>
  <si>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</si>
  <si>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</si>
  <si>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</si>
  <si>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</si>
  <si>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</si>
  <si>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</si>
  <si>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</si>
  <si>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</si>
  <si>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</si>
  <si>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</si>
  <si>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</si>
  <si>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</si>
  <si>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</si>
  <si>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</si>
  <si>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</si>
  <si>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</si>
  <si>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</si>
  <si>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</si>
  <si>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</si>
  <si>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</si>
  <si>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</si>
  <si>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</si>
  <si>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</si>
  <si>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</si>
  <si>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</si>
  <si>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</si>
  <si>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</si>
  <si>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</si>
  <si>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</si>
  <si>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</si>
  <si>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</si>
  <si>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</si>
  <si>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</si>
  <si>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</si>
  <si>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</si>
  <si>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</si>
  <si>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</si>
  <si>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</si>
  <si>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</si>
  <si>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</si>
  <si>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</si>
  <si>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</si>
  <si>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</si>
  <si>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</si>
  <si>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</si>
  <si>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</si>
  <si>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</si>
  <si>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</si>
  <si>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</si>
  <si>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</si>
  <si>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</si>
  <si>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</si>
  <si>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</si>
  <si>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</si>
  <si>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</si>
  <si>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</si>
  <si>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</si>
  <si>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</si>
  <si>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</si>
  <si>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</si>
  <si>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</si>
  <si>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</si>
  <si>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</si>
  <si>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</si>
  <si>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</si>
  <si>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</si>
  <si>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</si>
  <si>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</si>
  <si>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</si>
  <si>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</si>
  <si>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</si>
  <si>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</si>
  <si>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</si>
  <si>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</si>
  <si>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</si>
  <si>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</si>
  <si>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</si>
  <si>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</si>
  <si>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</si>
  <si>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</si>
  <si>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</si>
  <si>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</si>
  <si>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</si>
  <si>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</si>
  <si>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</si>
  <si>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</si>
  <si>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</si>
  <si>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</si>
  <si>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</si>
  <si>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</si>
  <si>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</si>
  <si>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</si>
  <si>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</si>
  <si>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</si>
  <si>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</si>
  <si>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</si>
  <si>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</si>
  <si>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</si>
  <si>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</si>
  <si>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</si>
  <si>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</si>
  <si>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</si>
  <si>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</si>
  <si>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</si>
  <si>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</si>
  <si>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</si>
  <si>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</si>
  <si>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</si>
  <si>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</si>
  <si>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</si>
  <si>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</si>
  <si>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</si>
  <si>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</si>
  <si>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</si>
  <si>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</si>
  <si>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</si>
  <si>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</si>
  <si>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</si>
  <si>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</si>
  <si>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</si>
  <si>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</si>
  <si>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</si>
  <si>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</si>
  <si>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</si>
  <si>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</si>
  <si>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</si>
  <si>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</si>
  <si>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</si>
  <si>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</si>
  <si>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</si>
  <si>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</si>
  <si>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</si>
  <si>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</si>
  <si>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</si>
  <si>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</si>
  <si>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</si>
  <si>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</si>
  <si>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</si>
  <si>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</si>
  <si>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</si>
  <si>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</si>
  <si>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</si>
  <si>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</si>
  <si>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</si>
  <si>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</si>
  <si>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</si>
  <si>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</si>
  <si>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</si>
  <si>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</si>
  <si>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</si>
  <si>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</si>
  <si>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</si>
  <si>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</si>
  <si>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</si>
  <si>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</si>
  <si>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</si>
  <si>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</si>
  <si>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</si>
  <si>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</si>
  <si>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</si>
  <si>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</si>
  <si>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</si>
  <si>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</si>
  <si>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</si>
  <si>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</si>
  <si>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</si>
  <si>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</si>
  <si>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</si>
  <si>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</si>
  <si>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</si>
  <si>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</si>
  <si>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</si>
  <si>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</si>
  <si>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</si>
  <si>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</si>
  <si>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</si>
  <si>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</si>
  <si>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</si>
  <si>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</si>
  <si>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</si>
  <si>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</si>
  <si>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</si>
  <si>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</si>
  <si>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</si>
  <si>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</si>
  <si>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</si>
  <si>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</si>
  <si>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</si>
  <si>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</si>
  <si>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</si>
  <si>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</si>
  <si>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</si>
  <si>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</si>
  <si>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</si>
  <si>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</si>
  <si>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</si>
  <si>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</si>
  <si>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</si>
  <si>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</si>
  <si>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</si>
  <si>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</si>
  <si>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</si>
  <si>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</si>
  <si>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</si>
  <si>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</si>
  <si>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</si>
  <si>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</si>
  <si>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</si>
  <si>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</si>
  <si>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</si>
  <si>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</si>
  <si>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</si>
  <si>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</si>
  <si>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</si>
  <si>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</si>
  <si>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</si>
  <si>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</si>
  <si>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</si>
  <si>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</si>
  <si>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</si>
  <si>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</si>
  <si>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</si>
  <si>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</si>
  <si>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</si>
  <si>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</si>
  <si>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</si>
  <si>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</si>
  <si>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</si>
  <si>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</si>
  <si>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</si>
  <si>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</si>
  <si>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</si>
  <si>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</si>
  <si>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</si>
  <si>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</si>
  <si>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</si>
  <si>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</si>
  <si>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</si>
  <si>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</si>
  <si>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</si>
  <si>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</si>
  <si>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</si>
  <si>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</si>
  <si>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</si>
  <si>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</si>
  <si>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</si>
  <si>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</si>
  <si>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assuming  60% CH4 and 40% CO2</t>
  </si>
  <si>
    <t>Methane produced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</si>
  <si>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</si>
  <si>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</si>
  <si>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</si>
  <si>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</si>
  <si>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</si>
  <si>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</si>
  <si>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</si>
  <si>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</si>
  <si>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</si>
  <si>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</si>
  <si>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</si>
  <si>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</si>
  <si>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</si>
  <si>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</si>
  <si>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</si>
  <si>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</si>
  <si>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</si>
  <si>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</si>
  <si>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</si>
  <si>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</si>
  <si>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</si>
  <si>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</si>
  <si>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</si>
  <si>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</si>
  <si>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</si>
  <si>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</si>
  <si>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</si>
  <si>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</si>
  <si>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</si>
  <si>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</si>
  <si>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</si>
  <si>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</si>
  <si>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</si>
  <si>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</si>
  <si>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</si>
  <si>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</si>
  <si>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</si>
  <si>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</si>
  <si>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</si>
  <si>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</si>
  <si>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0 to 10.5% of initial C from Bernstadt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</si>
  <si>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</si>
  <si>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</si>
  <si>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</si>
  <si>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</si>
  <si>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</si>
  <si>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</si>
  <si>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</si>
  <si>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</si>
  <si>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</si>
  <si>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</si>
  <si>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</si>
  <si>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</si>
  <si>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</si>
  <si>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</si>
  <si>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</si>
  <si>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</si>
  <si>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</si>
  <si>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</si>
  <si>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</si>
  <si>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</si>
  <si>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</si>
  <si>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</si>
  <si>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</si>
  <si>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</si>
  <si>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</si>
  <si>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</si>
  <si>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</si>
  <si>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</si>
  <si>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</si>
  <si>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AD_Dieselpert</t>
  </si>
  <si>
    <t>Recalcitrant C</t>
  </si>
  <si>
    <t>scaling factor for lab B0 to commercial Methane yeild, assumes 3% leaks, 3% flare and 10% gap to Bo</t>
  </si>
  <si>
    <t>assumes 10% gap to Bo</t>
  </si>
  <si>
    <t>m3CO2/t</t>
  </si>
  <si>
    <t>4-14% of C in digestate applied</t>
  </si>
  <si>
    <t>Methane generated</t>
  </si>
  <si>
    <t>Reference only</t>
  </si>
  <si>
    <t>leaks</t>
  </si>
  <si>
    <t>flare</t>
  </si>
  <si>
    <t>alterntive Methane utilized</t>
  </si>
  <si>
    <t>Methane fugitive emissions</t>
  </si>
  <si>
    <t>0-2.6m3 CHR; 0-1.9kgCH4</t>
  </si>
  <si>
    <t xml:space="preserve"> 0-48kgCO2e/t Moller,2009</t>
  </si>
  <si>
    <t>Percent potential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</si>
  <si>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</si>
  <si>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</si>
  <si>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</si>
  <si>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</si>
  <si>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</si>
  <si>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</si>
  <si>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 xml:space="preserve">Methane -C </t>
  </si>
  <si>
    <t>kgCO2/m3</t>
  </si>
  <si>
    <t>Carbon sequestered</t>
  </si>
  <si>
    <t>Carbon remaining</t>
  </si>
  <si>
    <t>kgC/t</t>
  </si>
  <si>
    <t>?????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</si>
  <si>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</si>
  <si>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</si>
  <si>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</si>
  <si>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</si>
  <si>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</si>
  <si>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</si>
  <si>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</si>
  <si>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</si>
  <si>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</si>
  <si>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</si>
  <si>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</si>
  <si>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</si>
  <si>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</si>
  <si>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</si>
  <si>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</si>
  <si>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</si>
  <si>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</si>
  <si>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</si>
  <si>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</si>
  <si>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</si>
  <si>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</si>
  <si>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</si>
  <si>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</si>
  <si>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</si>
  <si>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</si>
  <si>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</si>
  <si>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</si>
  <si>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</si>
  <si>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</si>
  <si>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</si>
  <si>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</si>
  <si>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</si>
  <si>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</si>
  <si>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</si>
  <si>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</si>
  <si>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</si>
  <si>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</si>
  <si>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</si>
  <si>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</si>
  <si>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Biogas produced</t>
  </si>
  <si>
    <t>CO2 in biogas</t>
  </si>
  <si>
    <t>kgCO2/t</t>
  </si>
  <si>
    <t>kgC/kgCH4</t>
  </si>
  <si>
    <t>kgC/kgCO2</t>
  </si>
  <si>
    <t>Residual Methane</t>
  </si>
  <si>
    <t>KgCH4-C/t</t>
  </si>
  <si>
    <t>KgCO2-C/t</t>
  </si>
  <si>
    <t>KgCH4-C/t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</si>
</sst>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9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  <font>
      <b/>
      <sz val="11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9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9" fontId="38" fillId="4" borderId="0" xfId="26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0" fontId="58" fillId="0" borderId="0" xfId="15" applyFont="1" applyFill="1"/>
    <xf numFmtId="43" fontId="50" fillId="3" borderId="0" xfId="0" applyNumberFormat="1" applyFont="1" applyFill="1"/>
    <xf numFmtId="9" fontId="24" fillId="0" borderId="0" xfId="15" applyNumberFormat="1" applyFont="1" applyFill="1"/>
    <xf numFmtId="43" fontId="7" fillId="3" borderId="0" xfId="0" applyNumberFormat="1" applyFont="1" applyFill="1"/>
    <xf numFmtId="43" fontId="8" fillId="0" borderId="0" xfId="0" applyNumberFormat="1" applyFont="1" applyFill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  <xf numFmtId="166" fontId="0" fillId="12" borderId="0" xfId="26" applyNumberFormat="1" applyFont="1" applyFill="1"/>
    <xf numFmtId="43" fontId="24" fillId="0" borderId="0" xfId="15" applyNumberFormat="1" applyFont="1" applyFill="1"/>
    <xf numFmtId="0" fontId="28" fillId="0" borderId="0" xfId="0" applyFont="1"/>
  </cellXfs>
  <cellStyles count="49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7818376"/>
        <c:axId val="-2067821496"/>
      </c:barChart>
      <c:catAx>
        <c:axId val="-206781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7821496"/>
        <c:crosses val="autoZero"/>
        <c:auto val="1"/>
        <c:lblAlgn val="ctr"/>
        <c:lblOffset val="100"/>
        <c:noMultiLvlLbl val="0"/>
      </c:catAx>
      <c:valAx>
        <c:axId val="-2067821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7818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7955928"/>
        <c:axId val="-2067952952"/>
      </c:barChart>
      <c:catAx>
        <c:axId val="-20679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7952952"/>
        <c:crosses val="autoZero"/>
        <c:auto val="1"/>
        <c:lblAlgn val="ctr"/>
        <c:lblOffset val="100"/>
        <c:noMultiLvlLbl val="0"/>
      </c:catAx>
      <c:valAx>
        <c:axId val="-2067952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7955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68457864"/>
        <c:axId val="-2068530184"/>
      </c:barChart>
      <c:catAx>
        <c:axId val="-20684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68530184"/>
        <c:crosses val="autoZero"/>
        <c:auto val="1"/>
        <c:lblAlgn val="ctr"/>
        <c:lblOffset val="100"/>
        <c:noMultiLvlLbl val="1"/>
      </c:catAx>
      <c:valAx>
        <c:axId val="-206853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5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652</v>
      </c>
      <c r="B1" s="41" t="s">
        <v>14</v>
      </c>
      <c r="C1" s="41" t="s">
        <v>114</v>
      </c>
      <c r="D1" s="199" t="s">
        <v>635</v>
      </c>
      <c r="E1" s="41" t="s">
        <v>2</v>
      </c>
      <c r="F1" s="41" t="s">
        <v>5</v>
      </c>
    </row>
    <row r="2" spans="1:20">
      <c r="A2" t="s">
        <v>655</v>
      </c>
      <c r="B2" t="s">
        <v>658</v>
      </c>
      <c r="C2" s="196">
        <f>J66</f>
        <v>0.44445499769952745</v>
      </c>
      <c r="F2" t="s">
        <v>677</v>
      </c>
    </row>
    <row r="3" spans="1:20">
      <c r="A3" t="s">
        <v>657</v>
      </c>
      <c r="B3" t="s">
        <v>658</v>
      </c>
      <c r="C3" s="196">
        <f>J65</f>
        <v>0.53090857076072773</v>
      </c>
      <c r="F3" t="s">
        <v>677</v>
      </c>
    </row>
    <row r="4" spans="1:20">
      <c r="A4" t="s">
        <v>656</v>
      </c>
      <c r="B4" t="s">
        <v>658</v>
      </c>
      <c r="C4" s="196">
        <f>J67</f>
        <v>0.77143668844394409</v>
      </c>
      <c r="F4" t="s">
        <v>677</v>
      </c>
    </row>
    <row r="5" spans="1:20">
      <c r="A5" s="1" t="s">
        <v>38</v>
      </c>
      <c r="B5" s="1" t="s">
        <v>116</v>
      </c>
      <c r="C5" s="197">
        <v>265</v>
      </c>
      <c r="D5" s="1"/>
      <c r="E5" s="1" t="s">
        <v>759</v>
      </c>
      <c r="H5" s="30"/>
      <c r="I5" s="30"/>
      <c r="J5" s="30"/>
      <c r="K5" s="27"/>
      <c r="L5" s="27"/>
      <c r="M5" s="27"/>
    </row>
    <row r="6" spans="1:20">
      <c r="A6" s="1" t="s">
        <v>26</v>
      </c>
      <c r="B6" s="1" t="s">
        <v>28</v>
      </c>
      <c r="C6" s="197">
        <v>28</v>
      </c>
      <c r="D6" s="1"/>
      <c r="E6" s="23" t="s">
        <v>759</v>
      </c>
      <c r="H6" s="29"/>
      <c r="I6" s="29"/>
      <c r="J6" s="29"/>
      <c r="K6" s="28"/>
      <c r="L6" s="27"/>
      <c r="M6" s="27"/>
    </row>
    <row r="7" spans="1:20">
      <c r="A7" t="s">
        <v>636</v>
      </c>
      <c r="B7" t="s">
        <v>638</v>
      </c>
      <c r="C7" s="194">
        <v>0.45</v>
      </c>
      <c r="D7" t="s">
        <v>545</v>
      </c>
      <c r="E7" t="s">
        <v>639</v>
      </c>
    </row>
    <row r="8" spans="1:20" s="47" customFormat="1">
      <c r="A8" s="116" t="s">
        <v>643</v>
      </c>
      <c r="B8" s="105" t="s">
        <v>641</v>
      </c>
      <c r="C8" s="198" t="s">
        <v>460</v>
      </c>
      <c r="F8" s="120">
        <f>34003/1000000</f>
        <v>3.4002999999999999E-2</v>
      </c>
      <c r="G8" s="105" t="s">
        <v>462</v>
      </c>
      <c r="H8" s="105"/>
      <c r="I8" s="105"/>
      <c r="J8" s="105"/>
    </row>
    <row r="9" spans="1:20" s="47" customFormat="1">
      <c r="A9" s="116" t="s">
        <v>774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454</v>
      </c>
      <c r="B10" s="111" t="s">
        <v>642</v>
      </c>
      <c r="C10" s="198"/>
      <c r="D10" s="121">
        <f>F10/1000*F8</f>
        <v>2.6982740619999999</v>
      </c>
      <c r="F10" s="117">
        <v>79354</v>
      </c>
      <c r="G10" s="111" t="s">
        <v>583</v>
      </c>
      <c r="H10" s="111"/>
      <c r="I10" s="111"/>
      <c r="J10" s="111"/>
      <c r="K10" s="105" t="s">
        <v>584</v>
      </c>
    </row>
    <row r="11" spans="1:20" s="105" customFormat="1" ht="14">
      <c r="A11" s="105" t="s">
        <v>456</v>
      </c>
      <c r="B11" s="111" t="s">
        <v>642</v>
      </c>
      <c r="C11" s="198"/>
      <c r="D11" s="121">
        <f>F11/1000*F8*Parameters!C5</f>
        <v>1.8021590000000001E-2</v>
      </c>
      <c r="F11" s="117">
        <v>2</v>
      </c>
      <c r="G11" s="111" t="s">
        <v>461</v>
      </c>
      <c r="H11" s="111"/>
      <c r="I11" s="111"/>
      <c r="J11" s="111"/>
      <c r="K11" s="105" t="s">
        <v>453</v>
      </c>
    </row>
    <row r="12" spans="1:20" s="27" customFormat="1" ht="14">
      <c r="A12" s="111" t="s">
        <v>455</v>
      </c>
      <c r="B12" s="111" t="s">
        <v>642</v>
      </c>
      <c r="C12" s="195"/>
      <c r="D12" s="122">
        <f>F12*Parameters!C6/1000*F8</f>
        <v>4.1986904399999997E-3</v>
      </c>
      <c r="F12" s="27">
        <v>4.41</v>
      </c>
      <c r="G12" s="111" t="s">
        <v>461</v>
      </c>
      <c r="H12" s="111"/>
      <c r="I12" s="111"/>
      <c r="J12" s="111"/>
      <c r="K12" s="105" t="s">
        <v>453</v>
      </c>
      <c r="N12" s="111"/>
      <c r="T12" s="119"/>
    </row>
    <row r="13" spans="1:20">
      <c r="A13" s="1" t="s">
        <v>637</v>
      </c>
      <c r="C13" s="268">
        <f>SUM(D10:D12)</f>
        <v>2.7204943424399999</v>
      </c>
      <c r="E13" t="s">
        <v>640</v>
      </c>
      <c r="N13" s="1"/>
      <c r="O13" s="1"/>
      <c r="P13" s="1"/>
      <c r="Q13" s="1"/>
      <c r="R13" s="1"/>
    </row>
    <row r="14" spans="1:20">
      <c r="A14" s="1" t="s">
        <v>420</v>
      </c>
      <c r="B14" s="1" t="s">
        <v>123</v>
      </c>
      <c r="C14" s="197">
        <v>533.66</v>
      </c>
      <c r="E14" t="s">
        <v>138</v>
      </c>
      <c r="F14" s="27" t="s">
        <v>139</v>
      </c>
    </row>
    <row r="15" spans="1:20">
      <c r="A15" s="43" t="s">
        <v>772</v>
      </c>
      <c r="B15" s="1"/>
      <c r="C15" s="197"/>
      <c r="F15" s="27"/>
    </row>
    <row r="16" spans="1:20">
      <c r="A16" s="1" t="s">
        <v>592</v>
      </c>
      <c r="B16" s="1" t="s">
        <v>115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699</v>
      </c>
      <c r="B17" s="1" t="s">
        <v>115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716</v>
      </c>
      <c r="B18" s="1" t="s">
        <v>115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419</v>
      </c>
      <c r="B19" s="1" t="s">
        <v>27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131</v>
      </c>
      <c r="B20" s="46" t="s">
        <v>132</v>
      </c>
      <c r="C20" s="195">
        <v>35315</v>
      </c>
      <c r="E20" s="27"/>
      <c r="F20"/>
    </row>
    <row r="21" spans="1:19">
      <c r="A21" s="1"/>
      <c r="R21" s="69"/>
    </row>
    <row r="22" spans="1:19">
      <c r="A22" s="1"/>
      <c r="R22" s="69"/>
    </row>
    <row r="23" spans="1:19">
      <c r="A23" s="1"/>
      <c r="R23" s="69" t="s">
        <v>758</v>
      </c>
      <c r="S23" t="s">
        <v>663</v>
      </c>
    </row>
    <row r="24" spans="1:19" s="44" customFormat="1">
      <c r="A24" s="45" t="s">
        <v>653</v>
      </c>
    </row>
    <row r="25" spans="1:19" ht="37" thickBot="1">
      <c r="A25" s="158" t="s">
        <v>654</v>
      </c>
      <c r="B25" s="158" t="s">
        <v>402</v>
      </c>
      <c r="C25" s="158" t="s">
        <v>521</v>
      </c>
      <c r="D25" s="158" t="s">
        <v>445</v>
      </c>
      <c r="E25" s="158" t="s">
        <v>48</v>
      </c>
      <c r="F25" s="158" t="s">
        <v>49</v>
      </c>
      <c r="G25" s="158" t="s">
        <v>403</v>
      </c>
      <c r="H25" s="158" t="s">
        <v>474</v>
      </c>
      <c r="I25" s="158" t="s">
        <v>467</v>
      </c>
      <c r="J25" s="158" t="s">
        <v>627</v>
      </c>
      <c r="K25" s="158" t="s">
        <v>523</v>
      </c>
      <c r="L25" s="158" t="s">
        <v>524</v>
      </c>
      <c r="M25" s="158" t="s">
        <v>525</v>
      </c>
      <c r="N25" s="161" t="s">
        <v>526</v>
      </c>
      <c r="O25" s="158" t="s">
        <v>527</v>
      </c>
      <c r="P25" s="164" t="s">
        <v>936</v>
      </c>
      <c r="Q25" s="164" t="s">
        <v>937</v>
      </c>
      <c r="R25" s="167" t="s">
        <v>757</v>
      </c>
    </row>
    <row r="26" spans="1:19" ht="17" thickTop="1" thickBot="1">
      <c r="A26" s="148" t="s">
        <v>723</v>
      </c>
      <c r="B26" s="151"/>
      <c r="C26" s="154"/>
      <c r="D26" s="148"/>
      <c r="E26" s="254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3"/>
      <c r="Q26" s="283"/>
    </row>
    <row r="27" spans="1:19" ht="16" thickBot="1">
      <c r="A27" s="148" t="s">
        <v>724</v>
      </c>
      <c r="B27" s="151">
        <v>0.3</v>
      </c>
      <c r="C27" s="154">
        <v>0.9</v>
      </c>
      <c r="D27" s="148">
        <f>C27*B27</f>
        <v>0.27</v>
      </c>
      <c r="E27" s="254">
        <f>F27/D27</f>
        <v>334.11111111111109</v>
      </c>
      <c r="F27" s="248">
        <f>H27*B27</f>
        <v>90.21</v>
      </c>
      <c r="G27" s="271">
        <v>9000</v>
      </c>
      <c r="H27" s="254">
        <v>300.7</v>
      </c>
      <c r="I27" s="248">
        <v>0.14399999999999999</v>
      </c>
      <c r="J27" s="253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2"/>
      <c r="Q27" s="283"/>
      <c r="R27" t="s">
        <v>466</v>
      </c>
    </row>
    <row r="28" spans="1:19" ht="16" thickBot="1">
      <c r="A28" s="148" t="s">
        <v>635</v>
      </c>
      <c r="B28" s="151" t="s">
        <v>663</v>
      </c>
      <c r="C28" s="154"/>
      <c r="D28" s="148" t="s">
        <v>664</v>
      </c>
      <c r="E28" s="254"/>
      <c r="F28" s="248"/>
      <c r="G28" s="148" t="s">
        <v>534</v>
      </c>
      <c r="H28" s="151" t="s">
        <v>663</v>
      </c>
      <c r="I28" s="154"/>
      <c r="J28" s="148" t="s">
        <v>18</v>
      </c>
      <c r="K28" s="151"/>
      <c r="L28" s="154"/>
      <c r="M28" s="159"/>
      <c r="N28" s="151"/>
      <c r="O28" s="154" t="s">
        <v>812</v>
      </c>
      <c r="P28" s="283"/>
      <c r="Q28" s="283"/>
    </row>
    <row r="29" spans="1:19" ht="16" thickBot="1">
      <c r="A29" s="148" t="s">
        <v>2</v>
      </c>
      <c r="B29" s="151"/>
      <c r="C29" s="154"/>
      <c r="D29" s="148"/>
      <c r="E29" s="254"/>
      <c r="F29" s="248"/>
      <c r="G29" s="148"/>
      <c r="H29" s="151"/>
      <c r="I29" s="154"/>
      <c r="J29" s="148" t="s">
        <v>665</v>
      </c>
      <c r="K29" s="151"/>
      <c r="L29" s="154" t="s">
        <v>660</v>
      </c>
      <c r="M29" s="159" t="s">
        <v>660</v>
      </c>
      <c r="N29" s="151" t="s">
        <v>660</v>
      </c>
      <c r="O29" s="154" t="s">
        <v>660</v>
      </c>
      <c r="P29" s="283"/>
      <c r="Q29" s="283"/>
    </row>
    <row r="30" spans="1:19" ht="16" thickBot="1">
      <c r="A30" s="148"/>
      <c r="B30" s="151"/>
      <c r="C30" s="154"/>
      <c r="D30" s="148"/>
      <c r="E30" s="254"/>
      <c r="F30" s="248"/>
      <c r="G30" s="148"/>
      <c r="H30" s="151"/>
      <c r="I30" s="154"/>
      <c r="J30" s="148" t="s">
        <v>534</v>
      </c>
      <c r="K30" s="151"/>
      <c r="L30" s="154"/>
      <c r="M30" s="188"/>
      <c r="N30" s="151"/>
      <c r="O30" s="154"/>
      <c r="P30" s="283"/>
      <c r="Q30" s="283"/>
    </row>
    <row r="31" spans="1:19" ht="16" thickBot="1">
      <c r="A31" s="148"/>
      <c r="B31" s="151"/>
      <c r="C31" s="154"/>
      <c r="D31" s="148"/>
      <c r="E31" s="254"/>
      <c r="F31" s="248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3"/>
      <c r="Q31" s="283"/>
    </row>
    <row r="32" spans="1:19" ht="16" thickBot="1">
      <c r="A32" s="148"/>
      <c r="B32" s="151"/>
      <c r="C32" s="154"/>
      <c r="D32" s="148"/>
      <c r="E32" s="254"/>
      <c r="F32" s="248"/>
      <c r="G32" s="148"/>
      <c r="H32" s="151"/>
      <c r="I32" s="154"/>
      <c r="J32" s="148" t="s">
        <v>663</v>
      </c>
      <c r="K32" s="151"/>
      <c r="L32" s="154"/>
      <c r="M32" s="159"/>
      <c r="N32" s="151"/>
      <c r="O32" s="154"/>
      <c r="P32" s="283"/>
      <c r="Q32" s="283"/>
    </row>
    <row r="33" spans="1:22" ht="16" thickBot="1">
      <c r="A33" s="148" t="s">
        <v>726</v>
      </c>
      <c r="B33" s="151"/>
      <c r="C33" s="154"/>
      <c r="D33" s="148"/>
      <c r="E33" s="254"/>
      <c r="F33" s="248"/>
      <c r="G33" s="148"/>
      <c r="H33" s="151"/>
      <c r="I33" s="154"/>
      <c r="J33" s="148"/>
      <c r="K33" s="151"/>
      <c r="L33" s="154"/>
      <c r="M33" s="188"/>
      <c r="N33" s="151"/>
      <c r="O33" s="154"/>
      <c r="P33" s="283"/>
      <c r="Q33" s="283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4">
        <v>887</v>
      </c>
      <c r="F34" s="248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3"/>
      <c r="Q34" s="283"/>
      <c r="R34" s="100" t="s">
        <v>152</v>
      </c>
    </row>
    <row r="35" spans="1:22" ht="16" thickBot="1">
      <c r="A35" s="149" t="s">
        <v>50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2">
        <v>300</v>
      </c>
      <c r="F35" s="249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3"/>
      <c r="Q35" s="283"/>
      <c r="R35" s="24" t="s">
        <v>51</v>
      </c>
      <c r="V35" t="s">
        <v>727</v>
      </c>
    </row>
    <row r="36" spans="1:22" ht="17" thickTop="1" thickBot="1">
      <c r="A36" s="148" t="s">
        <v>729</v>
      </c>
      <c r="B36" s="151"/>
      <c r="C36" s="154"/>
      <c r="D36" s="148"/>
      <c r="E36" s="254"/>
      <c r="F36" s="248"/>
      <c r="G36" s="148"/>
      <c r="H36" s="151"/>
      <c r="I36" s="154"/>
      <c r="J36" s="148"/>
      <c r="K36" s="151"/>
      <c r="L36" s="154"/>
      <c r="M36" s="188"/>
      <c r="N36" s="151"/>
      <c r="O36" s="154"/>
      <c r="P36" s="283"/>
      <c r="Q36" s="283"/>
      <c r="R36" s="24"/>
    </row>
    <row r="37" spans="1:22" ht="16" thickBot="1">
      <c r="A37" s="148" t="s">
        <v>730</v>
      </c>
      <c r="B37" s="151"/>
      <c r="C37" s="154"/>
      <c r="D37" s="148"/>
      <c r="E37" s="254"/>
      <c r="F37" s="248"/>
      <c r="G37" s="148"/>
      <c r="H37" s="151"/>
      <c r="I37" s="154"/>
      <c r="J37" s="148"/>
      <c r="K37" s="151"/>
      <c r="L37" s="154"/>
      <c r="M37" s="159"/>
      <c r="N37" s="151"/>
      <c r="O37" s="154"/>
      <c r="P37" s="283"/>
      <c r="Q37" s="283"/>
      <c r="R37" s="24"/>
    </row>
    <row r="38" spans="1:22" ht="16" thickBot="1">
      <c r="A38" s="148" t="s">
        <v>101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4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3"/>
      <c r="Q38" s="283"/>
      <c r="R38" t="s">
        <v>417</v>
      </c>
      <c r="S38" t="s">
        <v>728</v>
      </c>
    </row>
    <row r="39" spans="1:22" ht="16" thickBot="1">
      <c r="A39" s="244" t="s">
        <v>725</v>
      </c>
      <c r="B39" s="245"/>
      <c r="C39" s="245"/>
      <c r="D39" s="245"/>
      <c r="H39" s="246"/>
      <c r="I39" s="246"/>
      <c r="J39" s="246"/>
      <c r="K39" s="59"/>
      <c r="L39" s="59"/>
      <c r="M39" s="59"/>
      <c r="N39" s="59"/>
      <c r="O39" s="59"/>
      <c r="P39" s="284"/>
      <c r="Q39" s="284"/>
      <c r="R39" s="24"/>
    </row>
    <row r="40" spans="1:22" ht="16" thickBot="1">
      <c r="A40" s="148" t="s">
        <v>509</v>
      </c>
      <c r="B40" s="151">
        <v>0.91600000000000004</v>
      </c>
      <c r="C40" s="154">
        <v>0.97899999999999998</v>
      </c>
      <c r="D40" s="157">
        <v>0.88900000000000001</v>
      </c>
      <c r="E40" s="247">
        <v>465.3046875</v>
      </c>
      <c r="F40" s="247"/>
      <c r="G40" s="250">
        <v>14656.000000000002</v>
      </c>
      <c r="K40" s="159">
        <v>0.03</v>
      </c>
      <c r="L40" s="188">
        <v>0.11</v>
      </c>
      <c r="M40" s="188">
        <v>0.1</v>
      </c>
      <c r="N40" s="257">
        <v>0.76</v>
      </c>
      <c r="O40" s="260">
        <v>0.94</v>
      </c>
      <c r="P40" s="285">
        <v>1400</v>
      </c>
      <c r="Q40" s="285">
        <v>1200</v>
      </c>
      <c r="R40" t="s">
        <v>929</v>
      </c>
    </row>
    <row r="41" spans="1:22" ht="16" thickBot="1">
      <c r="A41" s="148" t="s">
        <v>510</v>
      </c>
      <c r="B41" s="151">
        <v>0.105</v>
      </c>
      <c r="C41" s="154">
        <v>0.90700000000000003</v>
      </c>
      <c r="D41" s="154">
        <v>0.14299999999999999</v>
      </c>
      <c r="E41" s="248">
        <v>435.97247406272294</v>
      </c>
      <c r="F41" s="248"/>
      <c r="G41" s="251">
        <v>2520</v>
      </c>
      <c r="K41" s="159">
        <v>0.09</v>
      </c>
      <c r="L41" s="159">
        <v>0.02</v>
      </c>
      <c r="M41" s="159">
        <v>0.15</v>
      </c>
      <c r="N41" s="258">
        <v>0.74</v>
      </c>
      <c r="O41" s="261">
        <v>0.98179823692937196</v>
      </c>
      <c r="P41" s="285">
        <v>1380</v>
      </c>
      <c r="Q41" s="285">
        <v>370</v>
      </c>
      <c r="R41" t="s">
        <v>930</v>
      </c>
    </row>
    <row r="42" spans="1:22" ht="16" thickBot="1">
      <c r="A42" s="148" t="s">
        <v>511</v>
      </c>
      <c r="B42" s="151">
        <v>0.29299999999999998</v>
      </c>
      <c r="C42" s="154">
        <v>0.99299999999999999</v>
      </c>
      <c r="D42" s="154">
        <v>0.30299999999999999</v>
      </c>
      <c r="E42" s="248">
        <v>365.25479597205384</v>
      </c>
      <c r="F42" s="248"/>
      <c r="G42" s="251">
        <v>7969.6</v>
      </c>
      <c r="K42" s="159">
        <v>0.01</v>
      </c>
      <c r="L42" s="159">
        <v>0.04</v>
      </c>
      <c r="M42" s="159">
        <v>0.17</v>
      </c>
      <c r="N42" s="258">
        <v>0.79</v>
      </c>
      <c r="O42" s="261">
        <v>0.79927679923149053</v>
      </c>
      <c r="P42" s="287">
        <f>G42*0.36/2</f>
        <v>1434.528</v>
      </c>
      <c r="Q42" s="287">
        <f>G42*0.67/2</f>
        <v>2669.8160000000003</v>
      </c>
      <c r="R42" t="s">
        <v>931</v>
      </c>
    </row>
    <row r="43" spans="1:22" ht="16" thickBot="1">
      <c r="A43" s="148" t="s">
        <v>512</v>
      </c>
      <c r="B43" s="151">
        <v>7.6999999999999999E-2</v>
      </c>
      <c r="C43" s="154">
        <v>0.93300000000000005</v>
      </c>
      <c r="D43" s="154">
        <v>0.91100000000000003</v>
      </c>
      <c r="E43" s="248">
        <v>418.04822619567631</v>
      </c>
      <c r="F43" s="248"/>
      <c r="G43" s="251">
        <v>1232</v>
      </c>
      <c r="K43" s="159">
        <v>7.0000000000000007E-2</v>
      </c>
      <c r="L43" s="159">
        <v>0</v>
      </c>
      <c r="M43" s="159">
        <v>0.1</v>
      </c>
      <c r="N43" s="258">
        <v>0.82</v>
      </c>
      <c r="O43" s="261">
        <v>0.97735385922437001</v>
      </c>
      <c r="P43" s="285">
        <v>2315</v>
      </c>
      <c r="Q43" s="285">
        <v>330</v>
      </c>
      <c r="R43" t="s">
        <v>932</v>
      </c>
    </row>
    <row r="44" spans="1:22" ht="16" thickBot="1">
      <c r="A44" s="148" t="s">
        <v>513</v>
      </c>
      <c r="B44" s="151">
        <v>0.46600000000000003</v>
      </c>
      <c r="C44" s="154">
        <v>0.97099999999999997</v>
      </c>
      <c r="D44" s="154">
        <v>7.0999999999999994E-2</v>
      </c>
      <c r="E44" s="248">
        <v>483.41632472315138</v>
      </c>
      <c r="F44" s="248"/>
      <c r="G44" s="251">
        <v>13420.8</v>
      </c>
      <c r="K44" s="159">
        <v>0.03</v>
      </c>
      <c r="L44" s="159">
        <v>0.19</v>
      </c>
      <c r="M44" s="159">
        <v>0.18</v>
      </c>
      <c r="N44" s="258">
        <v>0.61</v>
      </c>
      <c r="O44" s="261">
        <v>0.877478471550592</v>
      </c>
      <c r="P44" s="285">
        <f>8000*0.4</f>
        <v>3200</v>
      </c>
      <c r="Q44" s="285">
        <f>3000*0.4</f>
        <v>1200</v>
      </c>
      <c r="R44" t="s">
        <v>534</v>
      </c>
    </row>
    <row r="45" spans="1:22" ht="16" thickBot="1">
      <c r="A45" s="148" t="s">
        <v>662</v>
      </c>
      <c r="B45" s="151">
        <v>0.14299999999999999</v>
      </c>
      <c r="C45" s="154">
        <v>1</v>
      </c>
      <c r="D45" s="154">
        <v>3.4000000000000002E-2</v>
      </c>
      <c r="E45" s="248">
        <v>252.28816838661476</v>
      </c>
      <c r="F45" s="248"/>
      <c r="G45" s="251">
        <v>457.59999999999997</v>
      </c>
      <c r="K45" s="159">
        <v>0</v>
      </c>
      <c r="L45" s="159">
        <v>0.03</v>
      </c>
      <c r="M45" s="159">
        <v>0.02</v>
      </c>
      <c r="N45" s="258">
        <v>0.82</v>
      </c>
      <c r="O45" s="261">
        <v>0.56096498593100275</v>
      </c>
      <c r="P45" s="291">
        <v>1200</v>
      </c>
      <c r="Q45" s="285">
        <v>977</v>
      </c>
      <c r="R45" t="s">
        <v>938</v>
      </c>
    </row>
    <row r="46" spans="1:22" ht="16" thickBot="1">
      <c r="A46" s="148" t="s">
        <v>515</v>
      </c>
      <c r="B46" s="151">
        <v>0.92700000000000005</v>
      </c>
      <c r="C46" s="154">
        <v>0.95</v>
      </c>
      <c r="D46" s="154">
        <v>0.29099999999999998</v>
      </c>
      <c r="E46" s="248">
        <v>361.81791351010088</v>
      </c>
      <c r="F46" s="248"/>
      <c r="G46" s="251">
        <v>16315.200000000003</v>
      </c>
      <c r="K46" s="159">
        <v>0.05</v>
      </c>
      <c r="L46" s="159">
        <v>0.02</v>
      </c>
      <c r="M46" s="159">
        <v>0.11</v>
      </c>
      <c r="N46" s="258">
        <v>0.82</v>
      </c>
      <c r="O46" s="261">
        <v>0.82380040804253563</v>
      </c>
      <c r="P46" s="289">
        <v>1170</v>
      </c>
      <c r="Q46" s="289">
        <v>740</v>
      </c>
      <c r="R46" t="s">
        <v>934</v>
      </c>
    </row>
    <row r="47" spans="1:22" ht="16" thickBot="1">
      <c r="A47" s="148" t="s">
        <v>516</v>
      </c>
      <c r="B47" s="151">
        <v>3.7999999999999999E-2</v>
      </c>
      <c r="C47" s="154">
        <v>0.90600000000000003</v>
      </c>
      <c r="D47" s="154">
        <v>0.45200000000000001</v>
      </c>
      <c r="E47" s="248">
        <v>375.37065018315019</v>
      </c>
      <c r="F47" s="248"/>
      <c r="G47" s="251">
        <v>1398.3999999999999</v>
      </c>
      <c r="K47" s="159">
        <v>0.11</v>
      </c>
      <c r="L47" s="159">
        <v>0.02</v>
      </c>
      <c r="M47" s="159">
        <v>0.23</v>
      </c>
      <c r="N47" s="258">
        <v>0.66</v>
      </c>
      <c r="O47" s="261">
        <v>0.90450759080277232</v>
      </c>
      <c r="P47" s="286">
        <v>2300</v>
      </c>
      <c r="Q47" s="286">
        <v>300</v>
      </c>
      <c r="R47" t="s">
        <v>928</v>
      </c>
    </row>
    <row r="48" spans="1:22" ht="16" thickBot="1">
      <c r="A48" s="148" t="s">
        <v>517</v>
      </c>
      <c r="B48" s="151">
        <v>0.92400000000000004</v>
      </c>
      <c r="C48" s="154">
        <v>0.97799999999999998</v>
      </c>
      <c r="D48" s="154">
        <v>0.90400000000000003</v>
      </c>
      <c r="E48" s="248">
        <v>318.40468414280525</v>
      </c>
      <c r="F48" s="248"/>
      <c r="G48" s="251">
        <v>17740.8</v>
      </c>
      <c r="K48" s="159">
        <v>0.02</v>
      </c>
      <c r="L48" s="159">
        <v>0.01</v>
      </c>
      <c r="M48" s="159">
        <v>0.12</v>
      </c>
      <c r="N48" s="258">
        <v>0.85</v>
      </c>
      <c r="O48" s="261">
        <v>0.73736998705248713</v>
      </c>
      <c r="P48" s="290">
        <v>2010</v>
      </c>
      <c r="Q48" s="285">
        <v>1630</v>
      </c>
      <c r="R48" t="s">
        <v>935</v>
      </c>
    </row>
    <row r="49" spans="1:18" ht="16" thickBot="1">
      <c r="A49" s="149" t="s">
        <v>518</v>
      </c>
      <c r="B49" s="152">
        <v>0.309</v>
      </c>
      <c r="C49" s="155">
        <v>0.97899999999999998</v>
      </c>
      <c r="D49" s="155">
        <v>9.6000000000000002E-2</v>
      </c>
      <c r="E49" s="249">
        <v>454.20873548774478</v>
      </c>
      <c r="F49" s="249"/>
      <c r="G49" s="252">
        <v>6921.6000000000013</v>
      </c>
      <c r="K49" s="160">
        <v>0.02</v>
      </c>
      <c r="L49" s="160">
        <v>0.05</v>
      </c>
      <c r="M49" s="160">
        <v>0.14000000000000001</v>
      </c>
      <c r="N49" s="259">
        <v>0.79</v>
      </c>
      <c r="O49" s="262">
        <v>0.99060618444367532</v>
      </c>
      <c r="P49" s="285">
        <v>1500</v>
      </c>
      <c r="Q49" s="288">
        <v>1100</v>
      </c>
      <c r="R49" t="s">
        <v>933</v>
      </c>
    </row>
    <row r="50" spans="1:18" ht="16" thickTop="1"/>
    <row r="54" spans="1:18" ht="16" thickBot="1">
      <c r="A54" s="149" t="s">
        <v>519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481</v>
      </c>
      <c r="B57" t="s">
        <v>482</v>
      </c>
      <c r="C57" t="s">
        <v>483</v>
      </c>
    </row>
    <row r="58" spans="1:18" ht="17">
      <c r="A58" t="s">
        <v>484</v>
      </c>
      <c r="B58" s="127" t="s">
        <v>485</v>
      </c>
      <c r="C58" t="s">
        <v>486</v>
      </c>
      <c r="K58" s="128"/>
    </row>
    <row r="59" spans="1:18" ht="17">
      <c r="A59" t="s">
        <v>487</v>
      </c>
      <c r="B59" s="127" t="s">
        <v>488</v>
      </c>
      <c r="C59" s="128" t="s">
        <v>489</v>
      </c>
    </row>
    <row r="60" spans="1:18">
      <c r="M60" s="129"/>
      <c r="N60" s="130"/>
    </row>
    <row r="61" spans="1:18">
      <c r="A61" s="131"/>
      <c r="B61" s="132" t="s">
        <v>490</v>
      </c>
      <c r="C61" s="132" t="s">
        <v>491</v>
      </c>
      <c r="D61" s="132" t="s">
        <v>492</v>
      </c>
      <c r="E61" s="132" t="s">
        <v>54</v>
      </c>
      <c r="F61" s="132" t="s">
        <v>493</v>
      </c>
    </row>
    <row r="62" spans="1:18">
      <c r="A62" s="133" t="s">
        <v>494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495</v>
      </c>
      <c r="C64" s="136" t="s">
        <v>496</v>
      </c>
      <c r="D64" s="136" t="s">
        <v>497</v>
      </c>
      <c r="E64" s="136" t="s">
        <v>498</v>
      </c>
      <c r="F64" s="137" t="s">
        <v>499</v>
      </c>
      <c r="G64" s="137" t="s">
        <v>500</v>
      </c>
      <c r="H64" s="138" t="s">
        <v>501</v>
      </c>
      <c r="I64" s="139" t="s">
        <v>502</v>
      </c>
      <c r="J64" s="140" t="s">
        <v>503</v>
      </c>
      <c r="K64" s="140" t="s">
        <v>504</v>
      </c>
      <c r="L64" s="140" t="s">
        <v>505</v>
      </c>
    </row>
    <row r="65" spans="1:14">
      <c r="A65" s="50" t="s">
        <v>481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487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484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506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507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508</v>
      </c>
      <c r="B73" s="148" t="s">
        <v>509</v>
      </c>
      <c r="C73" s="148" t="s">
        <v>510</v>
      </c>
      <c r="D73" s="148" t="s">
        <v>511</v>
      </c>
      <c r="E73" s="148" t="s">
        <v>512</v>
      </c>
      <c r="F73" s="148" t="s">
        <v>513</v>
      </c>
      <c r="G73" s="148" t="s">
        <v>514</v>
      </c>
      <c r="H73" s="148" t="s">
        <v>515</v>
      </c>
      <c r="I73" s="148"/>
      <c r="J73" s="148"/>
      <c r="K73" s="148" t="s">
        <v>516</v>
      </c>
      <c r="L73" s="148" t="s">
        <v>517</v>
      </c>
      <c r="M73" s="149" t="s">
        <v>518</v>
      </c>
      <c r="N73" s="149" t="s">
        <v>519</v>
      </c>
    </row>
    <row r="75" spans="1:14" ht="16" thickBot="1">
      <c r="A75" s="150" t="s">
        <v>520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521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522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523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524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525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526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527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528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529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530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531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532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153</v>
      </c>
      <c r="K2" s="72"/>
      <c r="L2" s="70"/>
      <c r="M2" s="70"/>
    </row>
    <row r="3" spans="1:14">
      <c r="B3" t="s">
        <v>158</v>
      </c>
      <c r="C3" t="s">
        <v>159</v>
      </c>
      <c r="D3" t="s">
        <v>154</v>
      </c>
      <c r="F3" t="s">
        <v>155</v>
      </c>
      <c r="K3" s="71"/>
      <c r="L3" s="70"/>
      <c r="M3" s="70"/>
      <c r="N3" s="6"/>
    </row>
    <row r="4" spans="1:14">
      <c r="A4" t="s">
        <v>156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157</v>
      </c>
      <c r="B5">
        <v>4.62</v>
      </c>
      <c r="C5">
        <v>0.107</v>
      </c>
      <c r="D5">
        <f>B5/C5</f>
        <v>43.177570093457945</v>
      </c>
    </row>
    <row r="6" spans="1:14">
      <c r="A6" t="s">
        <v>160</v>
      </c>
      <c r="B6">
        <f>B4-B5</f>
        <v>0.37999999999999989</v>
      </c>
      <c r="C6">
        <f>C4-C5</f>
        <v>0.193</v>
      </c>
    </row>
    <row r="10" spans="1:14">
      <c r="A10" t="s">
        <v>278</v>
      </c>
      <c r="F10" t="s">
        <v>753</v>
      </c>
    </row>
    <row r="11" spans="1:14">
      <c r="A11" t="s">
        <v>279</v>
      </c>
      <c r="B11" t="s">
        <v>168</v>
      </c>
      <c r="C11" t="s">
        <v>169</v>
      </c>
      <c r="D11" t="s">
        <v>170</v>
      </c>
      <c r="E11" t="s">
        <v>161</v>
      </c>
      <c r="F11" t="s">
        <v>166</v>
      </c>
      <c r="G11" t="s">
        <v>162</v>
      </c>
      <c r="H11" t="s">
        <v>171</v>
      </c>
      <c r="I11" t="s">
        <v>164</v>
      </c>
      <c r="J11" t="s">
        <v>172</v>
      </c>
      <c r="K11" t="s">
        <v>173</v>
      </c>
    </row>
    <row r="12" spans="1:14">
      <c r="A12" t="s">
        <v>280</v>
      </c>
      <c r="B12">
        <v>10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  <c r="H12" t="s">
        <v>179</v>
      </c>
      <c r="I12" t="s">
        <v>180</v>
      </c>
      <c r="J12" t="s">
        <v>181</v>
      </c>
      <c r="K12" t="s">
        <v>182</v>
      </c>
    </row>
    <row r="13" spans="1:14">
      <c r="A13" t="s">
        <v>183</v>
      </c>
      <c r="B13">
        <v>13</v>
      </c>
      <c r="C13" t="s">
        <v>184</v>
      </c>
      <c r="D13" t="s">
        <v>185</v>
      </c>
      <c r="E13" t="s">
        <v>186</v>
      </c>
      <c r="F13" t="s">
        <v>187</v>
      </c>
      <c r="G13" t="s">
        <v>188</v>
      </c>
      <c r="H13" t="s">
        <v>189</v>
      </c>
      <c r="I13" t="s">
        <v>190</v>
      </c>
      <c r="J13" t="s">
        <v>191</v>
      </c>
      <c r="K13" t="s">
        <v>192</v>
      </c>
    </row>
    <row r="14" spans="1:14">
      <c r="A14" t="s">
        <v>281</v>
      </c>
      <c r="B14">
        <v>14.2</v>
      </c>
      <c r="C14" t="s">
        <v>193</v>
      </c>
      <c r="D14" t="s">
        <v>194</v>
      </c>
      <c r="E14" t="s">
        <v>195</v>
      </c>
      <c r="F14" t="s">
        <v>196</v>
      </c>
      <c r="G14" t="s">
        <v>197</v>
      </c>
      <c r="H14" t="s">
        <v>198</v>
      </c>
      <c r="I14" t="s">
        <v>199</v>
      </c>
      <c r="J14" t="s">
        <v>200</v>
      </c>
      <c r="K14" t="s">
        <v>201</v>
      </c>
    </row>
    <row r="15" spans="1:14">
      <c r="A15" t="s">
        <v>282</v>
      </c>
      <c r="B15">
        <v>10</v>
      </c>
      <c r="C15" t="s">
        <v>202</v>
      </c>
      <c r="D15" t="s">
        <v>203</v>
      </c>
      <c r="E15" t="s">
        <v>204</v>
      </c>
      <c r="F15" t="s">
        <v>205</v>
      </c>
      <c r="G15" t="s">
        <v>206</v>
      </c>
      <c r="H15" t="s">
        <v>207</v>
      </c>
      <c r="I15" t="s">
        <v>208</v>
      </c>
      <c r="J15" t="s">
        <v>209</v>
      </c>
      <c r="K15" t="s">
        <v>184</v>
      </c>
    </row>
    <row r="16" spans="1:14">
      <c r="A16" t="s">
        <v>283</v>
      </c>
      <c r="B16">
        <v>13.5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  <c r="K16" t="s">
        <v>218</v>
      </c>
    </row>
    <row r="17" spans="1:11">
      <c r="A17" t="s">
        <v>284</v>
      </c>
      <c r="B17">
        <v>8.8000000000000007</v>
      </c>
      <c r="C17" t="s">
        <v>219</v>
      </c>
      <c r="D17" t="s">
        <v>220</v>
      </c>
      <c r="E17" t="s">
        <v>221</v>
      </c>
      <c r="F17" t="s">
        <v>222</v>
      </c>
      <c r="G17" t="s">
        <v>223</v>
      </c>
      <c r="H17" t="s">
        <v>224</v>
      </c>
      <c r="I17" t="s">
        <v>225</v>
      </c>
      <c r="J17" t="s">
        <v>226</v>
      </c>
      <c r="K17" t="s">
        <v>227</v>
      </c>
    </row>
    <row r="18" spans="1:11">
      <c r="A18" t="s">
        <v>285</v>
      </c>
      <c r="B18">
        <v>13.8</v>
      </c>
      <c r="C18" t="s">
        <v>228</v>
      </c>
      <c r="D18" t="s">
        <v>229</v>
      </c>
      <c r="E18" t="s">
        <v>230</v>
      </c>
      <c r="F18" t="s">
        <v>231</v>
      </c>
      <c r="G18" t="s">
        <v>232</v>
      </c>
      <c r="H18" t="s">
        <v>233</v>
      </c>
      <c r="I18" t="s">
        <v>234</v>
      </c>
      <c r="J18" t="s">
        <v>235</v>
      </c>
      <c r="K18" t="s">
        <v>236</v>
      </c>
    </row>
    <row r="19" spans="1:11">
      <c r="A19" t="s">
        <v>286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289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239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287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240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241</v>
      </c>
      <c r="H23" t="s">
        <v>241</v>
      </c>
      <c r="I23" t="s">
        <v>241</v>
      </c>
      <c r="J23" t="s">
        <v>241</v>
      </c>
      <c r="K23" t="s">
        <v>241</v>
      </c>
    </row>
    <row r="24" spans="1:11">
      <c r="A24" t="s">
        <v>288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333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167</v>
      </c>
      <c r="B27" t="s">
        <v>168</v>
      </c>
      <c r="C27" t="s">
        <v>169</v>
      </c>
      <c r="D27" t="s">
        <v>170</v>
      </c>
      <c r="E27" t="s">
        <v>161</v>
      </c>
      <c r="F27" t="s">
        <v>166</v>
      </c>
      <c r="G27" t="s">
        <v>162</v>
      </c>
      <c r="H27" t="s">
        <v>171</v>
      </c>
      <c r="I27" t="s">
        <v>164</v>
      </c>
      <c r="J27" t="s">
        <v>172</v>
      </c>
      <c r="K27" t="s">
        <v>173</v>
      </c>
    </row>
    <row r="28" spans="1:11">
      <c r="A28" t="s">
        <v>290</v>
      </c>
      <c r="B28">
        <v>14.1</v>
      </c>
      <c r="C28" t="s">
        <v>242</v>
      </c>
      <c r="D28" t="s">
        <v>243</v>
      </c>
      <c r="E28" t="s">
        <v>244</v>
      </c>
      <c r="F28" t="s">
        <v>245</v>
      </c>
      <c r="G28" t="s">
        <v>246</v>
      </c>
      <c r="H28" t="s">
        <v>247</v>
      </c>
      <c r="I28" t="s">
        <v>248</v>
      </c>
      <c r="J28" t="s">
        <v>249</v>
      </c>
      <c r="K28" t="s">
        <v>250</v>
      </c>
    </row>
    <row r="29" spans="1:11">
      <c r="A29" t="s">
        <v>291</v>
      </c>
      <c r="B29">
        <v>9.5</v>
      </c>
      <c r="C29" t="s">
        <v>251</v>
      </c>
      <c r="D29" t="s">
        <v>252</v>
      </c>
      <c r="E29" t="s">
        <v>253</v>
      </c>
      <c r="F29" t="s">
        <v>254</v>
      </c>
      <c r="G29" t="s">
        <v>255</v>
      </c>
      <c r="H29" t="s">
        <v>256</v>
      </c>
      <c r="I29" t="s">
        <v>257</v>
      </c>
      <c r="J29" t="s">
        <v>258</v>
      </c>
      <c r="K29" t="s">
        <v>259</v>
      </c>
    </row>
    <row r="30" spans="1:11">
      <c r="A30" t="s">
        <v>292</v>
      </c>
      <c r="B30">
        <v>9.5</v>
      </c>
      <c r="C30" t="s">
        <v>260</v>
      </c>
      <c r="D30" t="s">
        <v>261</v>
      </c>
      <c r="E30" t="s">
        <v>262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K30" t="s">
        <v>268</v>
      </c>
    </row>
    <row r="31" spans="1:11">
      <c r="A31" t="s">
        <v>293</v>
      </c>
      <c r="B31">
        <v>11.85</v>
      </c>
      <c r="C31" t="s">
        <v>269</v>
      </c>
      <c r="D31" t="s">
        <v>270</v>
      </c>
      <c r="E31" t="s">
        <v>271</v>
      </c>
      <c r="F31" t="s">
        <v>245</v>
      </c>
      <c r="G31" t="s">
        <v>272</v>
      </c>
      <c r="H31" t="s">
        <v>273</v>
      </c>
      <c r="I31" t="s">
        <v>274</v>
      </c>
      <c r="J31" t="s">
        <v>275</v>
      </c>
      <c r="K31" t="s">
        <v>276</v>
      </c>
    </row>
    <row r="32" spans="1:11">
      <c r="A32" t="s">
        <v>237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165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277</v>
      </c>
    </row>
    <row r="34" spans="1:19">
      <c r="A34" t="s">
        <v>294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327</v>
      </c>
      <c r="B35">
        <v>35</v>
      </c>
      <c r="C35">
        <v>7.9</v>
      </c>
      <c r="D35">
        <v>92.1</v>
      </c>
      <c r="E35" t="s">
        <v>296</v>
      </c>
      <c r="F35" t="s">
        <v>297</v>
      </c>
      <c r="G35" t="s">
        <v>298</v>
      </c>
      <c r="H35" t="s">
        <v>299</v>
      </c>
      <c r="I35" t="s">
        <v>300</v>
      </c>
      <c r="J35" t="s">
        <v>301</v>
      </c>
      <c r="K35">
        <v>54</v>
      </c>
    </row>
    <row r="36" spans="1:19">
      <c r="A36" t="s">
        <v>302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241</v>
      </c>
    </row>
    <row r="37" spans="1:19">
      <c r="A37" t="s">
        <v>328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329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373</v>
      </c>
      <c r="R38" s="1" t="s">
        <v>374</v>
      </c>
    </row>
    <row r="39" spans="1:19">
      <c r="A39" t="s">
        <v>295</v>
      </c>
      <c r="L39">
        <v>89</v>
      </c>
      <c r="M39">
        <f t="shared" ref="M39:M46" si="0">K46*L39/(K$46*L$39)</f>
        <v>1</v>
      </c>
      <c r="N39" t="s">
        <v>334</v>
      </c>
      <c r="O39">
        <v>88</v>
      </c>
      <c r="P39">
        <v>88</v>
      </c>
      <c r="Q39">
        <f>O39*P39/(O$39*P$39)</f>
        <v>1</v>
      </c>
    </row>
    <row r="40" spans="1:19">
      <c r="A40" t="s">
        <v>330</v>
      </c>
      <c r="B40">
        <v>9.4</v>
      </c>
      <c r="C40" t="s">
        <v>303</v>
      </c>
      <c r="D40" t="s">
        <v>304</v>
      </c>
      <c r="E40" t="s">
        <v>305</v>
      </c>
      <c r="F40" t="s">
        <v>306</v>
      </c>
      <c r="G40" t="s">
        <v>307</v>
      </c>
      <c r="H40" t="s">
        <v>308</v>
      </c>
      <c r="I40" t="s">
        <v>309</v>
      </c>
      <c r="J40" t="s">
        <v>262</v>
      </c>
      <c r="K40" t="s">
        <v>310</v>
      </c>
      <c r="L40">
        <v>70</v>
      </c>
      <c r="M40" s="61">
        <f t="shared" si="0"/>
        <v>0.18506278916060806</v>
      </c>
      <c r="N40" t="s">
        <v>163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331</v>
      </c>
      <c r="B41">
        <v>12.6</v>
      </c>
      <c r="C41" t="s">
        <v>227</v>
      </c>
      <c r="D41" t="s">
        <v>311</v>
      </c>
      <c r="E41" t="s">
        <v>312</v>
      </c>
      <c r="F41" t="s">
        <v>313</v>
      </c>
      <c r="G41" t="s">
        <v>314</v>
      </c>
      <c r="H41" t="s">
        <v>315</v>
      </c>
      <c r="I41" t="s">
        <v>316</v>
      </c>
      <c r="J41" t="s">
        <v>317</v>
      </c>
      <c r="K41" t="s">
        <v>318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332</v>
      </c>
      <c r="B42">
        <v>10.5</v>
      </c>
      <c r="C42" t="s">
        <v>319</v>
      </c>
      <c r="D42" t="s">
        <v>320</v>
      </c>
      <c r="E42" t="s">
        <v>319</v>
      </c>
      <c r="F42" t="s">
        <v>321</v>
      </c>
      <c r="G42" t="s">
        <v>322</v>
      </c>
      <c r="H42" t="s">
        <v>323</v>
      </c>
      <c r="I42" t="s">
        <v>324</v>
      </c>
      <c r="J42" t="s">
        <v>325</v>
      </c>
      <c r="K42" t="s">
        <v>326</v>
      </c>
      <c r="L42">
        <v>89</v>
      </c>
      <c r="M42" s="61">
        <f t="shared" si="0"/>
        <v>1.0352941176470589</v>
      </c>
      <c r="N42" t="s">
        <v>335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237</v>
      </c>
      <c r="B43" t="s">
        <v>238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339</v>
      </c>
      <c r="Q43" s="61">
        <f>O43*P43/(O$39*P$39)</f>
        <v>0</v>
      </c>
    </row>
    <row r="44" spans="1:19">
      <c r="B44" t="s">
        <v>368</v>
      </c>
      <c r="L44">
        <v>69</v>
      </c>
      <c r="M44" s="61">
        <f t="shared" si="0"/>
        <v>5.4725710508922672E-2</v>
      </c>
      <c r="N44" t="s">
        <v>340</v>
      </c>
      <c r="Q44" s="61">
        <f>O44*P44/(O$39*P$39)</f>
        <v>0</v>
      </c>
    </row>
    <row r="45" spans="1:19" ht="60">
      <c r="A45" s="1"/>
      <c r="B45" s="1" t="s">
        <v>336</v>
      </c>
      <c r="C45" s="1" t="s">
        <v>337</v>
      </c>
      <c r="D45" s="1" t="s">
        <v>338</v>
      </c>
      <c r="E45" s="1"/>
      <c r="F45" s="68" t="s">
        <v>367</v>
      </c>
      <c r="G45" s="1"/>
      <c r="H45" s="1"/>
      <c r="I45" s="1"/>
      <c r="J45" s="7" t="s">
        <v>370</v>
      </c>
      <c r="K45" s="7"/>
      <c r="L45">
        <v>81</v>
      </c>
      <c r="M45" s="61">
        <f t="shared" si="0"/>
        <v>0.24626569729015202</v>
      </c>
    </row>
    <row r="46" spans="1:19">
      <c r="A46" t="s">
        <v>334</v>
      </c>
      <c r="B46">
        <v>88.1</v>
      </c>
      <c r="C46">
        <v>88</v>
      </c>
      <c r="D46">
        <f t="shared" ref="D46:D51" si="1">B46*C46/(B$46*C$46)</f>
        <v>1</v>
      </c>
      <c r="F46" t="s">
        <v>334</v>
      </c>
      <c r="G46">
        <v>88</v>
      </c>
      <c r="H46">
        <v>88</v>
      </c>
      <c r="I46">
        <f>G46*H46/(G$46*H$46)</f>
        <v>1</v>
      </c>
      <c r="J46" t="s">
        <v>334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163</v>
      </c>
      <c r="B47">
        <v>35.9</v>
      </c>
      <c r="C47">
        <v>57.1</v>
      </c>
      <c r="D47" s="61">
        <f t="shared" si="1"/>
        <v>0.26440640800742959</v>
      </c>
      <c r="F47" t="s">
        <v>163</v>
      </c>
      <c r="G47">
        <v>22</v>
      </c>
      <c r="H47">
        <v>68.900000000000006</v>
      </c>
      <c r="I47" s="61">
        <f>G47*H47/(G$46*H$46)</f>
        <v>0.19573863636363639</v>
      </c>
      <c r="J47" t="s">
        <v>163</v>
      </c>
      <c r="K47">
        <v>20</v>
      </c>
    </row>
    <row r="48" spans="1:19">
      <c r="A48" s="60" t="s">
        <v>341</v>
      </c>
      <c r="B48" s="59">
        <v>20.8</v>
      </c>
      <c r="C48" s="59">
        <v>80.3</v>
      </c>
      <c r="D48" s="67">
        <f t="shared" si="1"/>
        <v>0.21543700340522137</v>
      </c>
      <c r="F48" s="60" t="s">
        <v>341</v>
      </c>
      <c r="J48" s="60" t="s">
        <v>52</v>
      </c>
      <c r="K48">
        <v>7</v>
      </c>
    </row>
    <row r="49" spans="1:11">
      <c r="A49" t="s">
        <v>335</v>
      </c>
      <c r="B49">
        <v>84.7</v>
      </c>
      <c r="C49">
        <v>93</v>
      </c>
      <c r="D49" s="61">
        <f t="shared" si="1"/>
        <v>1.0160329171396143</v>
      </c>
      <c r="F49" t="s">
        <v>335</v>
      </c>
      <c r="G49">
        <v>92</v>
      </c>
      <c r="H49">
        <v>89</v>
      </c>
      <c r="I49" s="61">
        <f>G49*H49/(G$46*H$46)</f>
        <v>1.0573347107438016</v>
      </c>
      <c r="J49" t="s">
        <v>335</v>
      </c>
      <c r="K49">
        <v>88</v>
      </c>
    </row>
    <row r="50" spans="1:11">
      <c r="A50" s="62" t="s">
        <v>339</v>
      </c>
      <c r="D50" s="61">
        <f t="shared" si="1"/>
        <v>0</v>
      </c>
      <c r="F50" s="62" t="s">
        <v>339</v>
      </c>
      <c r="G50">
        <v>90</v>
      </c>
      <c r="H50">
        <v>33</v>
      </c>
      <c r="I50" s="61">
        <f>G50*H50/(G$46*H$46)</f>
        <v>0.38352272727272729</v>
      </c>
      <c r="J50" s="62" t="s">
        <v>339</v>
      </c>
    </row>
    <row r="51" spans="1:11">
      <c r="A51" t="s">
        <v>340</v>
      </c>
      <c r="B51">
        <v>65.5</v>
      </c>
      <c r="C51">
        <v>24.7</v>
      </c>
      <c r="D51" s="61">
        <f t="shared" si="1"/>
        <v>0.20867944484573317</v>
      </c>
      <c r="F51" t="s">
        <v>340</v>
      </c>
      <c r="I51" s="61">
        <f>G51*H51/(G$46*H$46)</f>
        <v>0</v>
      </c>
      <c r="J51" t="s">
        <v>340</v>
      </c>
      <c r="K51">
        <v>6</v>
      </c>
    </row>
    <row r="52" spans="1:11">
      <c r="J52" t="s">
        <v>371</v>
      </c>
      <c r="K52">
        <v>23</v>
      </c>
    </row>
    <row r="53" spans="1:11">
      <c r="J53" t="s">
        <v>372</v>
      </c>
      <c r="K53">
        <v>5</v>
      </c>
    </row>
    <row r="54" spans="1:11">
      <c r="J54" t="s">
        <v>369</v>
      </c>
    </row>
    <row r="60" spans="1:11">
      <c r="A60" s="63" t="s">
        <v>342</v>
      </c>
      <c r="B60" s="63" t="s">
        <v>343</v>
      </c>
      <c r="C60" s="63" t="s">
        <v>344</v>
      </c>
      <c r="D60" s="63" t="s">
        <v>345</v>
      </c>
    </row>
    <row r="61" spans="1:11">
      <c r="A61" s="64" t="s">
        <v>346</v>
      </c>
      <c r="B61" s="64">
        <v>91</v>
      </c>
      <c r="C61" s="64">
        <v>75</v>
      </c>
      <c r="D61" s="64">
        <v>85</v>
      </c>
    </row>
    <row r="62" spans="1:11">
      <c r="A62" s="64" t="s">
        <v>347</v>
      </c>
      <c r="B62" s="65">
        <v>90</v>
      </c>
      <c r="C62" s="65">
        <v>84</v>
      </c>
      <c r="D62" s="65">
        <v>95</v>
      </c>
    </row>
    <row r="63" spans="1:11">
      <c r="A63" s="64" t="s">
        <v>348</v>
      </c>
      <c r="B63" s="65">
        <v>89</v>
      </c>
      <c r="C63" s="65">
        <v>77</v>
      </c>
      <c r="D63" s="65" t="s">
        <v>349</v>
      </c>
    </row>
    <row r="64" spans="1:11">
      <c r="A64" s="64" t="s">
        <v>350</v>
      </c>
      <c r="B64" s="65">
        <v>12</v>
      </c>
      <c r="C64" s="65">
        <v>83</v>
      </c>
      <c r="D64" s="65">
        <v>94</v>
      </c>
    </row>
    <row r="65" spans="1:4">
      <c r="A65" s="64" t="s">
        <v>351</v>
      </c>
      <c r="B65" s="65">
        <v>30</v>
      </c>
      <c r="C65" s="65">
        <v>72</v>
      </c>
      <c r="D65" s="65">
        <v>82</v>
      </c>
    </row>
    <row r="66" spans="1:4">
      <c r="A66" s="64" t="s">
        <v>352</v>
      </c>
      <c r="B66" s="65">
        <v>87</v>
      </c>
      <c r="C66" s="65">
        <v>79</v>
      </c>
      <c r="D66" s="65">
        <v>90</v>
      </c>
    </row>
    <row r="67" spans="1:4">
      <c r="A67" s="64" t="s">
        <v>353</v>
      </c>
      <c r="B67" s="65">
        <v>22</v>
      </c>
      <c r="C67" s="65">
        <v>72</v>
      </c>
      <c r="D67" s="65">
        <v>82</v>
      </c>
    </row>
    <row r="68" spans="1:4">
      <c r="A68" s="64" t="s">
        <v>354</v>
      </c>
      <c r="B68" s="322">
        <v>90</v>
      </c>
      <c r="C68" s="322">
        <v>87</v>
      </c>
      <c r="D68" s="322">
        <v>99</v>
      </c>
    </row>
    <row r="69" spans="1:4">
      <c r="A69" s="64" t="s">
        <v>355</v>
      </c>
      <c r="B69" s="322"/>
      <c r="C69" s="322"/>
      <c r="D69" s="322"/>
    </row>
    <row r="70" spans="1:4">
      <c r="A70" s="64" t="s">
        <v>356</v>
      </c>
      <c r="B70" s="65">
        <v>99</v>
      </c>
      <c r="C70" s="65">
        <v>195</v>
      </c>
      <c r="D70" s="65">
        <v>222</v>
      </c>
    </row>
    <row r="71" spans="1:4">
      <c r="A71" s="64" t="s">
        <v>357</v>
      </c>
      <c r="B71" s="65">
        <v>92</v>
      </c>
      <c r="C71" s="65">
        <v>73</v>
      </c>
      <c r="D71" s="65">
        <v>83</v>
      </c>
    </row>
    <row r="72" spans="1:4">
      <c r="A72" s="64" t="s">
        <v>358</v>
      </c>
      <c r="B72" s="65">
        <v>93</v>
      </c>
      <c r="C72" s="65">
        <v>40</v>
      </c>
      <c r="D72" s="65">
        <v>45</v>
      </c>
    </row>
    <row r="73" spans="1:4">
      <c r="A73" s="64" t="s">
        <v>359</v>
      </c>
      <c r="B73" s="65">
        <v>89</v>
      </c>
      <c r="C73" s="65">
        <v>86</v>
      </c>
      <c r="D73" s="65">
        <v>98</v>
      </c>
    </row>
    <row r="74" spans="1:4">
      <c r="A74" s="64" t="s">
        <v>360</v>
      </c>
      <c r="B74" s="65">
        <v>21</v>
      </c>
      <c r="C74" s="65">
        <v>80</v>
      </c>
      <c r="D74" s="65">
        <v>91</v>
      </c>
    </row>
    <row r="75" spans="1:4">
      <c r="A75" s="64" t="s">
        <v>361</v>
      </c>
      <c r="B75" s="65">
        <v>14</v>
      </c>
      <c r="C75" s="65">
        <v>78</v>
      </c>
      <c r="D75" s="65">
        <v>89</v>
      </c>
    </row>
    <row r="76" spans="1:4">
      <c r="A76" s="64" t="s">
        <v>362</v>
      </c>
      <c r="B76" s="65">
        <v>90</v>
      </c>
      <c r="C76" s="65">
        <v>75</v>
      </c>
      <c r="D76" s="65" t="s">
        <v>363</v>
      </c>
    </row>
    <row r="77" spans="1:4">
      <c r="A77" s="64" t="s">
        <v>364</v>
      </c>
      <c r="B77" s="65">
        <v>10</v>
      </c>
      <c r="C77" s="65">
        <v>75</v>
      </c>
      <c r="D77" s="65">
        <v>85</v>
      </c>
    </row>
    <row r="78" spans="1:4">
      <c r="A78" s="64" t="s">
        <v>365</v>
      </c>
      <c r="B78" s="65">
        <v>90</v>
      </c>
      <c r="C78" s="65">
        <v>70</v>
      </c>
      <c r="D78" s="65">
        <v>80</v>
      </c>
    </row>
    <row r="79" spans="1:4">
      <c r="A79" s="64" t="s">
        <v>366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945</v>
      </c>
    </row>
    <row r="2" spans="1:14">
      <c r="A2" t="s">
        <v>143</v>
      </c>
    </row>
    <row r="3" spans="1:14" s="59" customFormat="1">
      <c r="A3" s="59" t="s">
        <v>106</v>
      </c>
      <c r="B3" s="59" t="s">
        <v>844</v>
      </c>
      <c r="C3" s="59" t="s">
        <v>1011</v>
      </c>
      <c r="D3" s="59" t="s">
        <v>57</v>
      </c>
      <c r="E3" s="59" t="s">
        <v>1011</v>
      </c>
      <c r="F3" s="59" t="s">
        <v>144</v>
      </c>
      <c r="G3" s="59" t="s">
        <v>1012</v>
      </c>
      <c r="H3" s="59" t="s">
        <v>1013</v>
      </c>
      <c r="I3" s="59" t="s">
        <v>1012</v>
      </c>
      <c r="J3" s="59" t="s">
        <v>145</v>
      </c>
      <c r="K3" s="59" t="s">
        <v>1014</v>
      </c>
      <c r="L3" s="59" t="s">
        <v>1016</v>
      </c>
    </row>
    <row r="4" spans="1:14">
      <c r="A4" t="s">
        <v>142</v>
      </c>
      <c r="B4">
        <v>98</v>
      </c>
      <c r="C4" s="53">
        <f t="shared" ref="C4:C9" si="0">B4/J4</f>
        <v>0.72862453531598514</v>
      </c>
      <c r="D4">
        <v>0</v>
      </c>
      <c r="E4" s="53">
        <f t="shared" ref="E4:E9" si="1">D4/J4</f>
        <v>0</v>
      </c>
      <c r="F4">
        <v>7.6</v>
      </c>
      <c r="G4" s="320">
        <f>F4/J4</f>
        <v>5.6505576208178435E-2</v>
      </c>
      <c r="H4">
        <v>0</v>
      </c>
      <c r="I4" s="53">
        <f>H4/J4</f>
        <v>0</v>
      </c>
      <c r="J4">
        <v>134.5</v>
      </c>
      <c r="K4">
        <f t="shared" ref="K4:K9" si="2">J4-B4-D4-F4-H4</f>
        <v>28.9</v>
      </c>
      <c r="L4" s="53">
        <f>K4/J4</f>
        <v>0.21486988847583641</v>
      </c>
      <c r="M4" t="s">
        <v>1019</v>
      </c>
    </row>
    <row r="5" spans="1:14">
      <c r="A5" t="s">
        <v>943</v>
      </c>
      <c r="B5">
        <v>12</v>
      </c>
      <c r="C5" s="53">
        <f t="shared" si="0"/>
        <v>0.12</v>
      </c>
      <c r="D5">
        <v>0</v>
      </c>
      <c r="E5" s="53">
        <f t="shared" si="1"/>
        <v>0</v>
      </c>
      <c r="F5">
        <v>0.5</v>
      </c>
      <c r="G5" s="320">
        <f>F5/J5</f>
        <v>5.0000000000000001E-3</v>
      </c>
      <c r="H5">
        <v>55</v>
      </c>
      <c r="I5" s="53">
        <f t="shared" ref="I5:I9" si="3">H5/J5</f>
        <v>0.55000000000000004</v>
      </c>
      <c r="J5">
        <v>100</v>
      </c>
      <c r="K5">
        <f t="shared" si="2"/>
        <v>32.5</v>
      </c>
      <c r="L5" s="53">
        <f t="shared" ref="L5:L9" si="4">K5/J5</f>
        <v>0.32500000000000001</v>
      </c>
      <c r="M5" t="s">
        <v>1019</v>
      </c>
      <c r="N5" t="s">
        <v>1025</v>
      </c>
    </row>
    <row r="6" spans="1:14">
      <c r="A6" t="s">
        <v>141</v>
      </c>
      <c r="B6">
        <v>113</v>
      </c>
      <c r="C6" s="53">
        <f t="shared" si="0"/>
        <v>0.30958904109589042</v>
      </c>
      <c r="D6">
        <v>5.0999999999999996</v>
      </c>
      <c r="E6" s="53">
        <f t="shared" si="1"/>
        <v>1.3972602739726026E-2</v>
      </c>
      <c r="F6">
        <v>21.5</v>
      </c>
      <c r="G6" s="320">
        <f>F6/J6</f>
        <v>5.8904109589041097E-2</v>
      </c>
      <c r="H6">
        <v>332</v>
      </c>
      <c r="I6" s="53">
        <f t="shared" si="3"/>
        <v>0.90958904109589045</v>
      </c>
      <c r="J6">
        <v>365</v>
      </c>
      <c r="K6">
        <f t="shared" si="2"/>
        <v>-106.6</v>
      </c>
      <c r="L6" s="53">
        <f t="shared" si="4"/>
        <v>-0.29205479452054794</v>
      </c>
      <c r="M6" t="s">
        <v>1019</v>
      </c>
    </row>
    <row r="7" spans="1:14">
      <c r="A7" t="s">
        <v>1018</v>
      </c>
      <c r="B7">
        <v>112.5</v>
      </c>
      <c r="C7" s="53">
        <f t="shared" si="0"/>
        <v>0.59210526315789469</v>
      </c>
      <c r="E7" s="53">
        <f t="shared" si="1"/>
        <v>0</v>
      </c>
      <c r="F7">
        <v>0.24</v>
      </c>
      <c r="G7" s="320">
        <f>H7/J7</f>
        <v>0.35894736842105263</v>
      </c>
      <c r="H7">
        <v>68.2</v>
      </c>
      <c r="I7" s="53">
        <f t="shared" si="3"/>
        <v>0.35894736842105263</v>
      </c>
      <c r="J7">
        <v>190</v>
      </c>
      <c r="K7">
        <f t="shared" si="2"/>
        <v>9.0600000000000023</v>
      </c>
      <c r="L7" s="53">
        <f t="shared" si="4"/>
        <v>4.7684210526315801E-2</v>
      </c>
      <c r="M7" t="s">
        <v>1020</v>
      </c>
      <c r="N7" t="s">
        <v>1035</v>
      </c>
    </row>
    <row r="8" spans="1:14">
      <c r="A8" t="s">
        <v>1015</v>
      </c>
      <c r="B8">
        <v>191</v>
      </c>
      <c r="C8" s="53">
        <f t="shared" si="0"/>
        <v>0.74901960784313726</v>
      </c>
      <c r="D8">
        <v>64</v>
      </c>
      <c r="E8" s="53">
        <f t="shared" si="1"/>
        <v>0.25098039215686274</v>
      </c>
      <c r="F8">
        <v>0</v>
      </c>
      <c r="G8" s="320">
        <f>F8/J8</f>
        <v>0</v>
      </c>
      <c r="H8">
        <v>0</v>
      </c>
      <c r="I8" s="53">
        <f t="shared" si="3"/>
        <v>0</v>
      </c>
      <c r="J8">
        <v>255</v>
      </c>
      <c r="K8">
        <f t="shared" si="2"/>
        <v>0</v>
      </c>
      <c r="L8" s="53">
        <f t="shared" si="4"/>
        <v>0</v>
      </c>
      <c r="M8" t="s">
        <v>1019</v>
      </c>
    </row>
    <row r="9" spans="1:14">
      <c r="A9" t="s">
        <v>1017</v>
      </c>
      <c r="B9">
        <v>57</v>
      </c>
      <c r="C9" s="53">
        <f t="shared" si="0"/>
        <v>0.36075949367088606</v>
      </c>
      <c r="E9" s="53">
        <f t="shared" si="1"/>
        <v>0</v>
      </c>
      <c r="F9">
        <v>0</v>
      </c>
      <c r="G9" s="320">
        <f>F9/J9</f>
        <v>0</v>
      </c>
      <c r="I9" s="53">
        <f t="shared" si="3"/>
        <v>0</v>
      </c>
      <c r="J9">
        <v>158</v>
      </c>
      <c r="K9">
        <f t="shared" si="2"/>
        <v>101</v>
      </c>
      <c r="L9" s="53">
        <f t="shared" si="4"/>
        <v>0.63924050632911389</v>
      </c>
      <c r="M9" t="s">
        <v>1019</v>
      </c>
    </row>
    <row r="10" spans="1:14" s="59" customFormat="1">
      <c r="A10" s="59" t="s">
        <v>107</v>
      </c>
    </row>
    <row r="11" spans="1:14">
      <c r="A11" t="s">
        <v>940</v>
      </c>
      <c r="B11">
        <v>97</v>
      </c>
      <c r="C11" s="53">
        <f>B11/J11</f>
        <v>0.72118959107806691</v>
      </c>
      <c r="D11">
        <v>1</v>
      </c>
      <c r="E11" s="53">
        <f>D11/J11</f>
        <v>7.4349442379182153E-3</v>
      </c>
      <c r="F11">
        <v>7.6</v>
      </c>
      <c r="G11" s="320">
        <f>F11/J11</f>
        <v>5.6505576208178435E-2</v>
      </c>
      <c r="J11">
        <v>134.5</v>
      </c>
      <c r="K11">
        <f>J11-B11-D11-F11-H11</f>
        <v>28.9</v>
      </c>
      <c r="M11" t="s">
        <v>1021</v>
      </c>
    </row>
    <row r="12" spans="1:14">
      <c r="A12" t="s">
        <v>1022</v>
      </c>
      <c r="B12">
        <v>42</v>
      </c>
      <c r="C12" s="53">
        <f>B12/J12</f>
        <v>0.37168141592920356</v>
      </c>
      <c r="D12">
        <v>11.3</v>
      </c>
      <c r="E12" s="53">
        <f>D12/J12</f>
        <v>0.1</v>
      </c>
      <c r="F12">
        <v>1.8</v>
      </c>
      <c r="G12" s="320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1026</v>
      </c>
    </row>
    <row r="13" spans="1:14">
      <c r="A13" t="s">
        <v>1023</v>
      </c>
      <c r="B13">
        <v>68</v>
      </c>
      <c r="C13" s="53">
        <f>B13/J13</f>
        <v>0.52307692307692311</v>
      </c>
      <c r="D13">
        <v>18</v>
      </c>
      <c r="E13" s="53">
        <f>D13/J13</f>
        <v>0.13846153846153847</v>
      </c>
      <c r="F13">
        <v>12.3</v>
      </c>
      <c r="G13" s="320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1024</v>
      </c>
      <c r="C14" s="53">
        <f>B14/J14</f>
        <v>0</v>
      </c>
      <c r="D14">
        <f>2.8+31.8</f>
        <v>34.6</v>
      </c>
      <c r="E14" s="53">
        <f>D14/J14</f>
        <v>0.18210526315789474</v>
      </c>
      <c r="F14">
        <v>16.5</v>
      </c>
      <c r="G14" s="320">
        <f>H14/J14</f>
        <v>0</v>
      </c>
      <c r="J14">
        <v>190</v>
      </c>
      <c r="K14">
        <f>J14-B14-D14-F14-H14</f>
        <v>138.9</v>
      </c>
      <c r="N14" t="s">
        <v>1036</v>
      </c>
    </row>
    <row r="15" spans="1:14" s="59" customFormat="1">
      <c r="A15" s="59" t="s">
        <v>909</v>
      </c>
    </row>
    <row r="16" spans="1:14" s="6" customFormat="1"/>
    <row r="17" spans="1:14" s="6" customFormat="1">
      <c r="A17" s="6" t="s">
        <v>1027</v>
      </c>
      <c r="N17" s="6" t="s">
        <v>1028</v>
      </c>
    </row>
    <row r="18" spans="1:14">
      <c r="A18" t="s">
        <v>784</v>
      </c>
      <c r="N18" t="s">
        <v>1029</v>
      </c>
    </row>
    <row r="19" spans="1:14">
      <c r="A19" t="s">
        <v>1030</v>
      </c>
      <c r="N19" t="s">
        <v>1031</v>
      </c>
    </row>
    <row r="20" spans="1:14" ht="34" customHeight="1">
      <c r="N20" t="s">
        <v>1032</v>
      </c>
    </row>
    <row r="21" spans="1:14">
      <c r="A21" t="s">
        <v>1034</v>
      </c>
      <c r="N21" t="s">
        <v>1033</v>
      </c>
    </row>
    <row r="23" spans="1:14">
      <c r="A23" t="s">
        <v>1004</v>
      </c>
    </row>
    <row r="24" spans="1:14">
      <c r="B24" t="s">
        <v>443</v>
      </c>
    </row>
    <row r="25" spans="1:14">
      <c r="A25" t="s">
        <v>1002</v>
      </c>
      <c r="B25" t="s">
        <v>57</v>
      </c>
      <c r="C25" t="s">
        <v>56</v>
      </c>
      <c r="D25" t="s">
        <v>998</v>
      </c>
      <c r="E25" t="s">
        <v>1003</v>
      </c>
    </row>
    <row r="26" spans="1:14">
      <c r="A26" t="s">
        <v>999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1000</v>
      </c>
      <c r="B27">
        <v>11.9</v>
      </c>
      <c r="C27">
        <v>0.252</v>
      </c>
      <c r="D27">
        <v>1.3</v>
      </c>
    </row>
    <row r="28" spans="1:14">
      <c r="A28" t="s">
        <v>1001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146</v>
      </c>
    </row>
    <row r="30" spans="1:14">
      <c r="A30" t="s">
        <v>942</v>
      </c>
      <c r="C30" t="s">
        <v>145</v>
      </c>
      <c r="D30" t="s">
        <v>942</v>
      </c>
    </row>
    <row r="31" spans="1:14">
      <c r="A31" s="53">
        <f>F4/J4</f>
        <v>5.6505576208178435E-2</v>
      </c>
      <c r="B31">
        <v>7.6</v>
      </c>
      <c r="C31">
        <v>134.5</v>
      </c>
      <c r="D31" s="53">
        <f>B31/C31</f>
        <v>5.6505576208178435E-2</v>
      </c>
      <c r="E31" t="s">
        <v>142</v>
      </c>
    </row>
    <row r="32" spans="1:14">
      <c r="A32" s="53">
        <f>F5/J5</f>
        <v>5.0000000000000001E-3</v>
      </c>
      <c r="B32">
        <v>1.8</v>
      </c>
      <c r="C32">
        <v>113</v>
      </c>
      <c r="D32" s="53">
        <f>B32/C32</f>
        <v>1.5929203539823009E-2</v>
      </c>
      <c r="E32" t="s">
        <v>147</v>
      </c>
    </row>
    <row r="33" spans="1:5">
      <c r="A33" s="53">
        <f>F6/J6</f>
        <v>5.8904109589041097E-2</v>
      </c>
      <c r="B33">
        <v>12.3</v>
      </c>
      <c r="C33">
        <v>130</v>
      </c>
      <c r="D33" s="53">
        <f>B33/C33</f>
        <v>9.4615384615384615E-2</v>
      </c>
      <c r="E33" t="s">
        <v>148</v>
      </c>
    </row>
    <row r="34" spans="1:5">
      <c r="A34" s="53">
        <f>H7/J7</f>
        <v>0.35894736842105263</v>
      </c>
      <c r="D34" s="53"/>
    </row>
    <row r="35" spans="1:5">
      <c r="A35" s="53">
        <f>F9/J9</f>
        <v>0</v>
      </c>
    </row>
    <row r="36" spans="1:5">
      <c r="A36" s="59" t="s">
        <v>946</v>
      </c>
      <c r="B36" s="6"/>
      <c r="C36" s="6"/>
      <c r="D36" s="59" t="s">
        <v>944</v>
      </c>
      <c r="E36" s="59" t="s">
        <v>945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2" workbookViewId="0">
      <selection activeCell="E44" sqref="E44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652</v>
      </c>
      <c r="E1" t="s">
        <v>14</v>
      </c>
      <c r="F1" t="s">
        <v>798</v>
      </c>
      <c r="G1" t="s">
        <v>814</v>
      </c>
      <c r="H1" t="s">
        <v>755</v>
      </c>
      <c r="I1" t="s">
        <v>834</v>
      </c>
      <c r="J1" t="s">
        <v>799</v>
      </c>
      <c r="K1" t="s">
        <v>2</v>
      </c>
      <c r="L1" t="s">
        <v>754</v>
      </c>
      <c r="R1">
        <v>0.453592</v>
      </c>
    </row>
    <row r="2" spans="1:18" s="59" customFormat="1">
      <c r="D2" s="59" t="s">
        <v>769</v>
      </c>
      <c r="F2"/>
      <c r="G2" t="s">
        <v>833</v>
      </c>
      <c r="I2"/>
      <c r="J2"/>
      <c r="N2" s="59" t="s">
        <v>138</v>
      </c>
      <c r="O2" s="59" t="s">
        <v>848</v>
      </c>
      <c r="Q2"/>
      <c r="R2" s="59" t="s">
        <v>851</v>
      </c>
    </row>
    <row r="3" spans="1:18">
      <c r="A3" t="s">
        <v>965</v>
      </c>
      <c r="D3" t="str">
        <f>Parameters!A7</f>
        <v>Provision of diesel</v>
      </c>
      <c r="E3" t="str">
        <f>Parameters!B7</f>
        <v>kgCO2e/L diesel</v>
      </c>
      <c r="F3" t="s">
        <v>800</v>
      </c>
      <c r="G3" t="s">
        <v>755</v>
      </c>
      <c r="H3">
        <v>0.45</v>
      </c>
      <c r="I3">
        <v>0.4</v>
      </c>
      <c r="J3">
        <v>0.5</v>
      </c>
      <c r="K3" t="s">
        <v>639</v>
      </c>
      <c r="N3" t="s">
        <v>844</v>
      </c>
      <c r="O3" t="s">
        <v>57</v>
      </c>
      <c r="P3" t="s">
        <v>845</v>
      </c>
      <c r="Q3" t="s">
        <v>852</v>
      </c>
    </row>
    <row r="4" spans="1:18">
      <c r="A4" t="s">
        <v>965</v>
      </c>
      <c r="D4" t="s">
        <v>766</v>
      </c>
      <c r="E4" t="s">
        <v>638</v>
      </c>
      <c r="F4" t="s">
        <v>801</v>
      </c>
      <c r="G4" t="s">
        <v>755</v>
      </c>
      <c r="H4" s="69">
        <v>2.7204943424399999</v>
      </c>
      <c r="K4" s="69" t="s">
        <v>843</v>
      </c>
      <c r="M4" t="s">
        <v>846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303" customFormat="1">
      <c r="A5" t="s">
        <v>965</v>
      </c>
      <c r="D5" s="303" t="s">
        <v>767</v>
      </c>
      <c r="E5" s="303" t="s">
        <v>896</v>
      </c>
      <c r="F5" s="303" t="s">
        <v>802</v>
      </c>
      <c r="G5" s="303" t="s">
        <v>635</v>
      </c>
      <c r="H5" s="304">
        <f>-Q5</f>
        <v>-692.15220789071998</v>
      </c>
      <c r="I5" s="304">
        <f>-Q6</f>
        <v>-918.79198627000005</v>
      </c>
      <c r="J5" s="304">
        <f>-Q7</f>
        <v>-537.18234233351995</v>
      </c>
      <c r="M5" s="303" t="s">
        <v>847</v>
      </c>
      <c r="N5" s="303">
        <v>1520.2</v>
      </c>
      <c r="O5" s="303">
        <v>31.27</v>
      </c>
      <c r="P5" s="303">
        <v>18.34</v>
      </c>
      <c r="Q5" s="303">
        <f>N5*$R$1+O5/1000*$R$1*Parameters!$C$6+P5/1000*$R$1*Parameters!$C$5</f>
        <v>692.15220789071998</v>
      </c>
    </row>
    <row r="6" spans="1:18">
      <c r="A6" t="s">
        <v>965</v>
      </c>
      <c r="D6" t="s">
        <v>770</v>
      </c>
      <c r="E6" t="s">
        <v>915</v>
      </c>
      <c r="F6" t="s">
        <v>803</v>
      </c>
      <c r="G6" t="s">
        <v>635</v>
      </c>
      <c r="H6">
        <v>-6.8</v>
      </c>
      <c r="I6">
        <v>-13</v>
      </c>
      <c r="J6">
        <v>-4.7</v>
      </c>
      <c r="K6" t="s">
        <v>879</v>
      </c>
      <c r="L6" t="s">
        <v>894</v>
      </c>
      <c r="M6" t="s">
        <v>849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965</v>
      </c>
      <c r="D7" t="s">
        <v>794</v>
      </c>
      <c r="E7" t="s">
        <v>915</v>
      </c>
      <c r="F7" s="15" t="s">
        <v>913</v>
      </c>
      <c r="G7" t="s">
        <v>635</v>
      </c>
      <c r="H7">
        <v>0.4</v>
      </c>
      <c r="I7">
        <v>0.2</v>
      </c>
      <c r="J7">
        <v>0.6</v>
      </c>
      <c r="K7" t="s">
        <v>866</v>
      </c>
      <c r="L7" s="1" t="s">
        <v>1006</v>
      </c>
      <c r="M7" t="s">
        <v>850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965</v>
      </c>
      <c r="D8" t="s">
        <v>892</v>
      </c>
      <c r="E8" t="s">
        <v>893</v>
      </c>
      <c r="F8" t="s">
        <v>895</v>
      </c>
      <c r="G8" t="s">
        <v>635</v>
      </c>
      <c r="H8" s="69">
        <v>0.3</v>
      </c>
      <c r="I8" s="69">
        <v>0.3</v>
      </c>
      <c r="J8" s="69">
        <v>0.6</v>
      </c>
      <c r="K8" t="s">
        <v>897</v>
      </c>
    </row>
    <row r="9" spans="1:18">
      <c r="A9" t="s">
        <v>965</v>
      </c>
      <c r="D9" t="s">
        <v>880</v>
      </c>
      <c r="F9" t="s">
        <v>629</v>
      </c>
      <c r="G9" t="s">
        <v>833</v>
      </c>
      <c r="H9">
        <v>-1.8</v>
      </c>
      <c r="I9">
        <v>0.52</v>
      </c>
      <c r="J9">
        <v>3.09</v>
      </c>
    </row>
    <row r="10" spans="1:18">
      <c r="A10" t="s">
        <v>965</v>
      </c>
      <c r="D10" t="s">
        <v>771</v>
      </c>
      <c r="F10" t="s">
        <v>629</v>
      </c>
      <c r="G10" t="s">
        <v>833</v>
      </c>
      <c r="H10">
        <v>-0.96</v>
      </c>
      <c r="I10">
        <v>0.38</v>
      </c>
      <c r="J10">
        <v>1.53</v>
      </c>
    </row>
    <row r="11" spans="1:18">
      <c r="A11" t="s">
        <v>965</v>
      </c>
      <c r="D11" t="s">
        <v>773</v>
      </c>
      <c r="E11" t="s">
        <v>916</v>
      </c>
      <c r="F11" t="s">
        <v>804</v>
      </c>
      <c r="G11" t="s">
        <v>635</v>
      </c>
      <c r="H11">
        <v>-388</v>
      </c>
      <c r="I11">
        <v>-1197</v>
      </c>
      <c r="J11">
        <v>-550</v>
      </c>
    </row>
    <row r="12" spans="1:18" s="59" customFormat="1">
      <c r="D12" s="59" t="s">
        <v>103</v>
      </c>
      <c r="G12" s="59" t="s">
        <v>833</v>
      </c>
    </row>
    <row r="13" spans="1:18">
      <c r="A13" t="s">
        <v>966</v>
      </c>
      <c r="D13" t="str">
        <f>'Landfill '!A3</f>
        <v xml:space="preserve">diesel use at landfill </v>
      </c>
      <c r="E13" t="str">
        <f>'Landfill '!B3</f>
        <v>L/t</v>
      </c>
      <c r="F13" t="s">
        <v>805</v>
      </c>
      <c r="G13" t="s">
        <v>635</v>
      </c>
      <c r="H13" s="69">
        <v>5.8295314000000005</v>
      </c>
      <c r="I13">
        <v>4</v>
      </c>
      <c r="J13">
        <v>10</v>
      </c>
      <c r="K13" t="str">
        <f>'Landfill '!H3</f>
        <v>WARM v.13</v>
      </c>
      <c r="L13" t="str">
        <f>'Landfill '!K3</f>
        <v>0.7 gal/1000lbs; high compared to 1–3 L diesel tonne–1 waste (Hunziker)</v>
      </c>
    </row>
    <row r="14" spans="1:18">
      <c r="A14" t="s">
        <v>966</v>
      </c>
      <c r="D14" t="str">
        <f>'Landfill '!A8</f>
        <v>Factor of oxidation</v>
      </c>
      <c r="E14" t="str">
        <f>'Landfill '!B8</f>
        <v>%</v>
      </c>
      <c r="F14" t="s">
        <v>806</v>
      </c>
      <c r="G14" t="s">
        <v>635</v>
      </c>
      <c r="H14">
        <v>0.1</v>
      </c>
      <c r="I14">
        <v>0.1</v>
      </c>
      <c r="J14">
        <v>0.2</v>
      </c>
      <c r="K14" t="str">
        <f>'Landfill '!H8</f>
        <v xml:space="preserve">EPA biogenic </v>
      </c>
      <c r="L14" t="str">
        <f>'Landfill '!K8</f>
        <v>Barlaz and Warm provide a schedule ranging from 10-35%, with 20% average)</v>
      </c>
    </row>
    <row r="15" spans="1:18" s="6" customFormat="1">
      <c r="A15" s="6" t="s">
        <v>966</v>
      </c>
      <c r="D15" s="6" t="str">
        <f>'Landfill '!A9</f>
        <v>Gas Capture factor (GC)</v>
      </c>
      <c r="E15" s="6" t="str">
        <f>'Landfill '!B9</f>
        <v>%</v>
      </c>
      <c r="F15" s="6" t="s">
        <v>629</v>
      </c>
      <c r="G15" s="6" t="s">
        <v>635</v>
      </c>
      <c r="H15" s="6">
        <f>'Landfill '!E9</f>
        <v>1</v>
      </c>
      <c r="I15" s="6">
        <v>0.85</v>
      </c>
      <c r="J15" s="6">
        <v>0.9</v>
      </c>
      <c r="K15" s="6" t="str">
        <f>'Landfill '!H9</f>
        <v>WARM</v>
      </c>
      <c r="L15" s="6" t="str">
        <f>'Landfill '!K9</f>
        <v>not used:85  % Landfills in NYS  with GC recovery</v>
      </c>
    </row>
    <row r="16" spans="1:18">
      <c r="A16" t="s">
        <v>966</v>
      </c>
      <c r="D16" t="str">
        <f>'Landfill '!A22</f>
        <v>Heat rate of LF to E conversion</v>
      </c>
      <c r="E16" t="str">
        <f>'Landfill '!B22</f>
        <v>btu/kwh</v>
      </c>
      <c r="F16" t="s">
        <v>808</v>
      </c>
      <c r="G16" t="s">
        <v>755</v>
      </c>
      <c r="H16">
        <v>11700</v>
      </c>
      <c r="I16">
        <v>8979</v>
      </c>
      <c r="J16">
        <v>13648</v>
      </c>
      <c r="K16" t="str">
        <f>'Landfill '!H22</f>
        <v>EPA 2013</v>
      </c>
      <c r="L16" t="str">
        <f>'Landfill '!K22</f>
        <v>29% efficiency based upon 3412 btu/kwh, 25%-38%</v>
      </c>
    </row>
    <row r="17" spans="1:12">
      <c r="A17" t="s">
        <v>966</v>
      </c>
      <c r="D17" t="s">
        <v>793</v>
      </c>
      <c r="E17" t="s">
        <v>23</v>
      </c>
      <c r="F17" t="s">
        <v>813</v>
      </c>
      <c r="G17" t="s">
        <v>635</v>
      </c>
      <c r="H17">
        <v>0.85</v>
      </c>
      <c r="I17">
        <v>0.8</v>
      </c>
      <c r="J17">
        <v>0.9</v>
      </c>
      <c r="K17" t="s">
        <v>795</v>
      </c>
      <c r="L17" t="s">
        <v>796</v>
      </c>
    </row>
    <row r="18" spans="1:12">
      <c r="A18" t="s">
        <v>966</v>
      </c>
      <c r="D18" t="s">
        <v>815</v>
      </c>
      <c r="E18" t="s">
        <v>23</v>
      </c>
      <c r="F18" t="s">
        <v>807</v>
      </c>
      <c r="G18" t="s">
        <v>635</v>
      </c>
      <c r="H18">
        <v>0.95</v>
      </c>
      <c r="I18">
        <v>0.85</v>
      </c>
      <c r="J18">
        <v>0.95</v>
      </c>
      <c r="K18" t="s">
        <v>645</v>
      </c>
    </row>
    <row r="19" spans="1:12" s="6" customFormat="1">
      <c r="A19" t="s">
        <v>966</v>
      </c>
      <c r="D19" s="6" t="s">
        <v>84</v>
      </c>
      <c r="E19" s="6" t="str">
        <f>'Landfill '!B15</f>
        <v>fraction</v>
      </c>
      <c r="F19" t="s">
        <v>811</v>
      </c>
      <c r="G19" t="s">
        <v>635</v>
      </c>
      <c r="H19" s="6">
        <v>1</v>
      </c>
      <c r="I19">
        <v>0.7</v>
      </c>
      <c r="J19">
        <v>1</v>
      </c>
      <c r="K19" s="6" t="s">
        <v>810</v>
      </c>
      <c r="L19" s="6" t="str">
        <f>'Landfill '!K15</f>
        <v>not used at this time, assumed, 0.9 in CCARv. 2, could also be correction factor from Cho paper for bo to Lo</v>
      </c>
    </row>
    <row r="20" spans="1:12" s="6" customFormat="1">
      <c r="A20" t="s">
        <v>966</v>
      </c>
      <c r="D20" s="6" t="s">
        <v>467</v>
      </c>
      <c r="E20" s="6" t="s">
        <v>835</v>
      </c>
      <c r="F20" t="s">
        <v>467</v>
      </c>
      <c r="G20" t="s">
        <v>635</v>
      </c>
      <c r="H20" s="6">
        <v>0.14399999999999999</v>
      </c>
      <c r="I20" s="69">
        <v>9.6000000000000002E-2</v>
      </c>
      <c r="J20">
        <v>0.22900000000000001</v>
      </c>
      <c r="K20" s="6" t="s">
        <v>645</v>
      </c>
    </row>
    <row r="21" spans="1:12" s="59" customFormat="1">
      <c r="D21" s="59" t="s">
        <v>764</v>
      </c>
      <c r="G21" s="59" t="s">
        <v>833</v>
      </c>
    </row>
    <row r="22" spans="1:12" s="6" customFormat="1">
      <c r="A22" s="6" t="s">
        <v>107</v>
      </c>
      <c r="D22" s="6" t="s">
        <v>970</v>
      </c>
      <c r="E22" s="6" t="s">
        <v>458</v>
      </c>
      <c r="F22" s="6" t="s">
        <v>971</v>
      </c>
      <c r="G22" s="6" t="s">
        <v>755</v>
      </c>
      <c r="H22" s="6">
        <v>2.65</v>
      </c>
      <c r="I22" s="6">
        <v>2.5</v>
      </c>
      <c r="J22" s="6">
        <v>3.3</v>
      </c>
    </row>
    <row r="23" spans="1:12" s="295" customFormat="1">
      <c r="A23" t="s">
        <v>107</v>
      </c>
      <c r="D23" s="295" t="str">
        <f>AD!A21</f>
        <v xml:space="preserve">Methane conversion factor </v>
      </c>
      <c r="E23" s="295" t="str">
        <f>AD!B21</f>
        <v>%</v>
      </c>
      <c r="F23" s="295" t="s">
        <v>842</v>
      </c>
      <c r="G23" s="295" t="s">
        <v>635</v>
      </c>
      <c r="H23" s="295">
        <v>0.84</v>
      </c>
      <c r="I23" s="295">
        <v>0.7</v>
      </c>
      <c r="J23" s="295">
        <v>1</v>
      </c>
      <c r="K23" s="295" t="str">
        <f>AD!H21</f>
        <v>Ebner et al, 2014</v>
      </c>
      <c r="L23" s="295" t="s">
        <v>882</v>
      </c>
    </row>
    <row r="24" spans="1:12" s="303" customFormat="1">
      <c r="A24" t="s">
        <v>107</v>
      </c>
      <c r="D24" s="303" t="str">
        <f>AD!A23</f>
        <v>Methane leaks</v>
      </c>
      <c r="E24" s="303" t="str">
        <f>AD!B23</f>
        <v>% methane utilized</v>
      </c>
      <c r="F24" s="303" t="s">
        <v>816</v>
      </c>
      <c r="G24" s="303" t="s">
        <v>635</v>
      </c>
      <c r="H24" s="303">
        <f>AD!E23</f>
        <v>0.03</v>
      </c>
      <c r="I24" s="303">
        <v>0</v>
      </c>
      <c r="J24" s="303">
        <v>0.1</v>
      </c>
      <c r="K24" s="303" t="str">
        <f>AD!H23</f>
        <v>Ebner et al., 2014</v>
      </c>
      <c r="L24" s="303" t="str">
        <f>AD!J23</f>
        <v>3% of methane utilized</v>
      </c>
    </row>
    <row r="25" spans="1:12">
      <c r="A25" t="s">
        <v>107</v>
      </c>
      <c r="D25" t="str">
        <f>AD!A26</f>
        <v>Methane incomplete combustion factor</v>
      </c>
      <c r="E25" t="str">
        <f>AD!B26</f>
        <v>% methane utilized</v>
      </c>
      <c r="F25" t="s">
        <v>817</v>
      </c>
      <c r="G25" t="s">
        <v>755</v>
      </c>
      <c r="H25">
        <f>AD!E26</f>
        <v>5.0000000000000001E-3</v>
      </c>
      <c r="K25" t="str">
        <f>AD!H26</f>
        <v>Dressler, 2012</v>
      </c>
      <c r="L25" t="str">
        <f>AD!J26</f>
        <v>Hildesheim, Gottingen, Celle</v>
      </c>
    </row>
    <row r="26" spans="1:12" s="12" customFormat="1">
      <c r="A26" t="s">
        <v>107</v>
      </c>
      <c r="D26" s="12" t="str">
        <f>AD!A27</f>
        <v>Incomplete combustion CH4IC</v>
      </c>
      <c r="E26" s="12" t="str">
        <f>AD!B27</f>
        <v>kgCO2e/t</v>
      </c>
      <c r="F26" s="44"/>
      <c r="G26" s="44" t="s">
        <v>755</v>
      </c>
      <c r="H26" s="310">
        <f>AD!C27</f>
        <v>7.1078263200000009</v>
      </c>
      <c r="I26" s="44"/>
      <c r="J26" s="44"/>
      <c r="K26" s="12">
        <f>AD!D27</f>
        <v>0.378882</v>
      </c>
      <c r="L26" s="12" t="s">
        <v>881</v>
      </c>
    </row>
    <row r="27" spans="1:12" s="295" customFormat="1">
      <c r="A27" t="s">
        <v>107</v>
      </c>
      <c r="D27" s="295" t="str">
        <f>AD!A28</f>
        <v>Conversion Efficiency</v>
      </c>
      <c r="E27" s="295" t="str">
        <f>AD!B28</f>
        <v>MWh/t</v>
      </c>
      <c r="F27" s="295" t="s">
        <v>818</v>
      </c>
      <c r="G27" s="295" t="s">
        <v>635</v>
      </c>
      <c r="H27" s="302">
        <v>4.19318820416827</v>
      </c>
      <c r="I27" s="296">
        <f>9.8*0.33</f>
        <v>3.2340000000000004</v>
      </c>
      <c r="J27" s="302">
        <f>9.8*0.45</f>
        <v>4.41</v>
      </c>
      <c r="K27" s="295" t="str">
        <f>AD!H28</f>
        <v>Ebner et al, 2014</v>
      </c>
      <c r="L27" s="309" t="s">
        <v>990</v>
      </c>
    </row>
    <row r="28" spans="1:12">
      <c r="A28" t="s">
        <v>107</v>
      </c>
      <c r="D28" t="str">
        <f>AD!A30</f>
        <v>Parasitic load</v>
      </c>
      <c r="E28" t="str">
        <f>AD!B30</f>
        <v>% KWh generated</v>
      </c>
      <c r="F28" t="s">
        <v>819</v>
      </c>
      <c r="G28" t="s">
        <v>635</v>
      </c>
      <c r="H28">
        <v>0.12</v>
      </c>
      <c r="I28">
        <v>0.1</v>
      </c>
      <c r="J28">
        <v>0.2</v>
      </c>
      <c r="K28" t="str">
        <f>AD!H30</f>
        <v>Ebner et al, 2015</v>
      </c>
      <c r="L28" t="str">
        <f>AD!J30</f>
        <v>Parasitic load</v>
      </c>
    </row>
    <row r="29" spans="1:12" s="295" customFormat="1">
      <c r="A29" t="s">
        <v>107</v>
      </c>
      <c r="D29" s="295" t="str">
        <f>AD!A36</f>
        <v>VS destruction</v>
      </c>
      <c r="E29" s="295" t="str">
        <f>AD!B36</f>
        <v>%</v>
      </c>
      <c r="F29" s="295" t="s">
        <v>820</v>
      </c>
      <c r="G29" s="295" t="s">
        <v>635</v>
      </c>
      <c r="H29" s="295">
        <v>0.55000000000000004</v>
      </c>
      <c r="I29" s="295">
        <v>0.4</v>
      </c>
      <c r="J29" s="295">
        <v>0.7</v>
      </c>
      <c r="K29" s="295" t="str">
        <f>AD!H36</f>
        <v>Ebner et al., 2014</v>
      </c>
      <c r="L29" s="295" t="str">
        <f>AD!J36</f>
        <v>assuming a 55% reduction in VS</v>
      </c>
    </row>
    <row r="30" spans="1:12" s="303" customFormat="1">
      <c r="A30" t="s">
        <v>107</v>
      </c>
      <c r="D30" s="303" t="str">
        <f>AD!A38</f>
        <v>Effluent residual methane factor</v>
      </c>
      <c r="E30" s="303" t="str">
        <f>AD!B38</f>
        <v>m3CH4/kgVS</v>
      </c>
      <c r="F30" s="303" t="s">
        <v>821</v>
      </c>
      <c r="G30" s="303" t="s">
        <v>635</v>
      </c>
      <c r="H30" s="303">
        <v>5.3999999999999999E-2</v>
      </c>
      <c r="I30" s="303">
        <v>4.0000000000000001E-3</v>
      </c>
      <c r="J30" s="303">
        <v>7.3999999999999996E-2</v>
      </c>
      <c r="K30" s="303" t="str">
        <f>AD!H38</f>
        <v>Ebner et al., 2014</v>
      </c>
    </row>
    <row r="31" spans="1:12">
      <c r="A31" t="s">
        <v>107</v>
      </c>
      <c r="D31" t="str">
        <f>AD!A43</f>
        <v xml:space="preserve">Direct N2O emission factor </v>
      </c>
      <c r="E31" t="str">
        <f>AD!B43</f>
        <v>kgCO2e/t</v>
      </c>
      <c r="F31" t="s">
        <v>822</v>
      </c>
      <c r="G31" t="s">
        <v>635</v>
      </c>
      <c r="H31">
        <f>AD!E43</f>
        <v>5.0000000000000001E-3</v>
      </c>
      <c r="I31">
        <f>H31/2</f>
        <v>2.5000000000000001E-3</v>
      </c>
      <c r="J31">
        <f>H31*2</f>
        <v>0.01</v>
      </c>
      <c r="K31" t="str">
        <f>AD!H43</f>
        <v>IPCC protocol, EF3=0.005</v>
      </c>
      <c r="L31" t="str">
        <f>AD!I43</f>
        <v>assumes that N in is the same as N out adjusted for D losses</v>
      </c>
    </row>
    <row r="32" spans="1:12">
      <c r="A32" t="s">
        <v>107</v>
      </c>
      <c r="D32" t="str">
        <f>AD!A44</f>
        <v>Indirect N volitilization factor</v>
      </c>
      <c r="E32" t="str">
        <f>AD!B44</f>
        <v>KgNvol/kg N</v>
      </c>
      <c r="F32" t="s">
        <v>823</v>
      </c>
      <c r="G32" t="s">
        <v>635</v>
      </c>
      <c r="H32">
        <f>AD!E44</f>
        <v>0.26</v>
      </c>
      <c r="I32">
        <v>0.05</v>
      </c>
      <c r="J32">
        <v>0.5</v>
      </c>
      <c r="K32" t="str">
        <f>AD!H44</f>
        <v>FracGASMS=0.26</v>
      </c>
      <c r="L32">
        <f>AD!I44</f>
        <v>0</v>
      </c>
    </row>
    <row r="33" spans="1:12" s="295" customFormat="1">
      <c r="A33" t="s">
        <v>107</v>
      </c>
      <c r="D33" s="295" t="s">
        <v>760</v>
      </c>
      <c r="E33" s="295" t="s">
        <v>23</v>
      </c>
      <c r="F33" s="299" t="s">
        <v>918</v>
      </c>
      <c r="G33" s="295" t="s">
        <v>635</v>
      </c>
      <c r="H33" s="295">
        <v>0.4</v>
      </c>
      <c r="I33" s="295">
        <v>0.15</v>
      </c>
      <c r="J33" s="295">
        <v>0.48</v>
      </c>
    </row>
    <row r="34" spans="1:12" s="295" customFormat="1">
      <c r="A34" t="s">
        <v>107</v>
      </c>
      <c r="D34" s="295" t="s">
        <v>920</v>
      </c>
      <c r="F34" s="299" t="s">
        <v>921</v>
      </c>
      <c r="G34" s="295" t="s">
        <v>635</v>
      </c>
      <c r="H34" s="295">
        <v>10</v>
      </c>
      <c r="I34" s="295">
        <v>10</v>
      </c>
      <c r="J34" s="295">
        <v>30</v>
      </c>
    </row>
    <row r="35" spans="1:12" s="59" customFormat="1">
      <c r="D35" s="59" t="s">
        <v>37</v>
      </c>
      <c r="G35" s="59" t="s">
        <v>833</v>
      </c>
    </row>
    <row r="36" spans="1:12">
      <c r="A36" t="s">
        <v>967</v>
      </c>
      <c r="D36" t="s">
        <v>892</v>
      </c>
      <c r="E36" t="s">
        <v>883</v>
      </c>
      <c r="F36" s="15" t="s">
        <v>895</v>
      </c>
      <c r="G36" t="s">
        <v>635</v>
      </c>
      <c r="H36" s="69">
        <v>0.3</v>
      </c>
      <c r="I36" s="69">
        <v>0.3</v>
      </c>
      <c r="J36" s="69">
        <v>0.6</v>
      </c>
      <c r="K36" t="s">
        <v>897</v>
      </c>
    </row>
    <row r="37" spans="1:12">
      <c r="A37" t="s">
        <v>967</v>
      </c>
      <c r="D37" t="str">
        <f>'Land application'!A10</f>
        <v>Xport to field</v>
      </c>
      <c r="E37" t="s">
        <v>12</v>
      </c>
      <c r="F37" t="s">
        <v>919</v>
      </c>
      <c r="G37" t="s">
        <v>635</v>
      </c>
      <c r="H37">
        <v>20</v>
      </c>
      <c r="I37">
        <v>10</v>
      </c>
      <c r="J37">
        <v>20</v>
      </c>
      <c r="K37" t="s">
        <v>855</v>
      </c>
      <c r="L37" t="s">
        <v>898</v>
      </c>
    </row>
    <row r="38" spans="1:12" s="305" customFormat="1">
      <c r="A38" t="s">
        <v>967</v>
      </c>
      <c r="D38" s="305" t="str">
        <f>'Land application'!A13</f>
        <v>Direct N2O emission factor</v>
      </c>
      <c r="E38" s="305" t="str">
        <f>'Land application'!B13</f>
        <v>Kg N2O-N/kg N</v>
      </c>
      <c r="F38" s="305" t="s">
        <v>824</v>
      </c>
      <c r="G38" s="305" t="s">
        <v>635</v>
      </c>
      <c r="H38" s="305">
        <f>'Land application'!E13</f>
        <v>1.2500000000000001E-2</v>
      </c>
      <c r="I38" s="305">
        <v>5.0000000000000001E-3</v>
      </c>
      <c r="J38" s="305">
        <v>0.05</v>
      </c>
      <c r="K38" s="305" t="str">
        <f>'Land application'!H13</f>
        <v>IPCC EF1=0.0125</v>
      </c>
    </row>
    <row r="39" spans="1:12">
      <c r="A39" t="s">
        <v>967</v>
      </c>
      <c r="D39" t="s">
        <v>870</v>
      </c>
      <c r="E39" t="str">
        <f>'Land application'!B16</f>
        <v>KgNvol/kg N</v>
      </c>
      <c r="F39" t="s">
        <v>826</v>
      </c>
      <c r="G39" t="s">
        <v>635</v>
      </c>
      <c r="H39">
        <f>'Land application'!E16</f>
        <v>0.2</v>
      </c>
      <c r="I39">
        <v>0.05</v>
      </c>
      <c r="J39">
        <v>0.5</v>
      </c>
      <c r="K39" t="str">
        <f>'Land application'!H16</f>
        <v>IPCC, FracGASM=0.20</v>
      </c>
    </row>
    <row r="40" spans="1:12">
      <c r="A40" t="s">
        <v>967</v>
      </c>
      <c r="D40" t="str">
        <f>'Land application'!A20</f>
        <v>Carbon storage factor</v>
      </c>
      <c r="E40" t="s">
        <v>23</v>
      </c>
      <c r="F40" s="15" t="s">
        <v>908</v>
      </c>
      <c r="G40" t="s">
        <v>635</v>
      </c>
      <c r="H40">
        <v>0.2</v>
      </c>
      <c r="I40">
        <v>0.15</v>
      </c>
      <c r="J40">
        <v>0.48</v>
      </c>
      <c r="K40" t="s">
        <v>855</v>
      </c>
      <c r="L40" t="s">
        <v>910</v>
      </c>
    </row>
    <row r="41" spans="1:12">
      <c r="A41" t="s">
        <v>967</v>
      </c>
      <c r="D41" t="s">
        <v>917</v>
      </c>
      <c r="F41" s="15" t="s">
        <v>825</v>
      </c>
      <c r="G41" t="s">
        <v>755</v>
      </c>
      <c r="H41">
        <v>0.01</v>
      </c>
    </row>
    <row r="42" spans="1:12" s="59" customFormat="1">
      <c r="D42" s="59" t="s">
        <v>106</v>
      </c>
      <c r="G42" s="59" t="s">
        <v>833</v>
      </c>
    </row>
    <row r="43" spans="1:12">
      <c r="A43" t="s">
        <v>968</v>
      </c>
      <c r="D43" t="s">
        <v>775</v>
      </c>
      <c r="E43" t="str">
        <f>compost!B13</f>
        <v>L/t</v>
      </c>
      <c r="F43" s="15" t="s">
        <v>827</v>
      </c>
      <c r="G43" t="s">
        <v>635</v>
      </c>
      <c r="H43">
        <v>3</v>
      </c>
      <c r="I43">
        <v>0.4</v>
      </c>
      <c r="J43">
        <v>6</v>
      </c>
      <c r="K43" t="s">
        <v>534</v>
      </c>
    </row>
    <row r="44" spans="1:12">
      <c r="A44" t="s">
        <v>968</v>
      </c>
      <c r="D44" t="s">
        <v>787</v>
      </c>
      <c r="E44" t="s">
        <v>788</v>
      </c>
      <c r="F44" t="s">
        <v>962</v>
      </c>
      <c r="G44" t="s">
        <v>635</v>
      </c>
      <c r="H44">
        <v>2.3E-2</v>
      </c>
      <c r="I44">
        <v>0.03</v>
      </c>
      <c r="J44">
        <v>65</v>
      </c>
      <c r="K44" t="s">
        <v>534</v>
      </c>
      <c r="L44" t="s">
        <v>963</v>
      </c>
    </row>
    <row r="45" spans="1:12" ht="13" customHeight="1">
      <c r="A45" t="s">
        <v>968</v>
      </c>
      <c r="D45" t="str">
        <f>compost!A18</f>
        <v>carbon degraded</v>
      </c>
      <c r="E45" t="str">
        <f>compost!B18</f>
        <v>%/initial C</v>
      </c>
      <c r="F45" t="s">
        <v>828</v>
      </c>
      <c r="G45" t="s">
        <v>635</v>
      </c>
      <c r="H45">
        <v>0.57999999999999996</v>
      </c>
      <c r="I45">
        <v>0.4</v>
      </c>
      <c r="J45">
        <v>0.83</v>
      </c>
      <c r="K45" t="s">
        <v>777</v>
      </c>
    </row>
    <row r="46" spans="1:12">
      <c r="A46" t="s">
        <v>968</v>
      </c>
      <c r="D46" t="s">
        <v>859</v>
      </c>
      <c r="E46" t="s">
        <v>779</v>
      </c>
      <c r="F46" t="s">
        <v>829</v>
      </c>
      <c r="G46" t="s">
        <v>635</v>
      </c>
      <c r="H46">
        <v>0.02</v>
      </c>
      <c r="I46">
        <v>8.0000000000000002E-3</v>
      </c>
      <c r="J46">
        <v>3.5999999999999997E-2</v>
      </c>
      <c r="K46" t="s">
        <v>778</v>
      </c>
    </row>
    <row r="47" spans="1:12">
      <c r="A47" t="s">
        <v>968</v>
      </c>
      <c r="D47" t="s">
        <v>860</v>
      </c>
      <c r="E47" t="s">
        <v>780</v>
      </c>
      <c r="F47" t="s">
        <v>830</v>
      </c>
      <c r="G47" t="s">
        <v>635</v>
      </c>
      <c r="H47">
        <v>5.0000000000000001E-3</v>
      </c>
      <c r="I47">
        <v>1E-3</v>
      </c>
      <c r="J47">
        <v>1.7999999999999999E-2</v>
      </c>
      <c r="K47" t="s">
        <v>868</v>
      </c>
      <c r="L47" t="str">
        <f>compost!H20</f>
        <v xml:space="preserve">Boldrin, 2009 </v>
      </c>
    </row>
    <row r="48" spans="1:12">
      <c r="A48" t="s">
        <v>968</v>
      </c>
      <c r="D48" t="s">
        <v>782</v>
      </c>
      <c r="E48" t="s">
        <v>783</v>
      </c>
      <c r="F48" s="15" t="s">
        <v>861</v>
      </c>
      <c r="G48" t="s">
        <v>635</v>
      </c>
      <c r="H48">
        <v>0.7</v>
      </c>
      <c r="I48">
        <v>0.25</v>
      </c>
      <c r="J48">
        <v>0.9</v>
      </c>
      <c r="K48" t="s">
        <v>784</v>
      </c>
      <c r="L48" t="s">
        <v>941</v>
      </c>
    </row>
    <row r="49" spans="1:11">
      <c r="A49" t="s">
        <v>968</v>
      </c>
      <c r="D49" t="s">
        <v>785</v>
      </c>
      <c r="E49" t="str">
        <f>compost!B36</f>
        <v>%compost/fw</v>
      </c>
      <c r="F49" t="s">
        <v>831</v>
      </c>
      <c r="G49" t="s">
        <v>755</v>
      </c>
      <c r="H49">
        <v>0.4</v>
      </c>
      <c r="K49" t="s">
        <v>534</v>
      </c>
    </row>
    <row r="50" spans="1:11">
      <c r="A50" t="s">
        <v>968</v>
      </c>
      <c r="D50" t="s">
        <v>786</v>
      </c>
      <c r="E50" t="s">
        <v>12</v>
      </c>
      <c r="F50" s="14" t="s">
        <v>832</v>
      </c>
      <c r="G50" t="s">
        <v>635</v>
      </c>
      <c r="H50">
        <v>30</v>
      </c>
      <c r="I50">
        <v>10</v>
      </c>
      <c r="J50">
        <v>60</v>
      </c>
    </row>
    <row r="51" spans="1:11">
      <c r="A51" t="s">
        <v>968</v>
      </c>
      <c r="D51" t="s">
        <v>789</v>
      </c>
      <c r="E51" t="s">
        <v>790</v>
      </c>
      <c r="F51" t="s">
        <v>911</v>
      </c>
      <c r="G51" t="s">
        <v>635</v>
      </c>
      <c r="H51">
        <v>0.38</v>
      </c>
      <c r="I51">
        <v>0.26</v>
      </c>
      <c r="J51">
        <v>0.51</v>
      </c>
      <c r="K51" t="s">
        <v>534</v>
      </c>
    </row>
    <row r="52" spans="1:11">
      <c r="A52" t="s">
        <v>968</v>
      </c>
      <c r="D52" t="s">
        <v>693</v>
      </c>
      <c r="E52" t="s">
        <v>872</v>
      </c>
      <c r="F52" t="s">
        <v>876</v>
      </c>
      <c r="G52" t="s">
        <v>755</v>
      </c>
      <c r="H52">
        <v>1.4999999999999999E-2</v>
      </c>
      <c r="K52" t="s">
        <v>777</v>
      </c>
    </row>
    <row r="53" spans="1:11">
      <c r="A53" t="s">
        <v>968</v>
      </c>
      <c r="D53" t="s">
        <v>869</v>
      </c>
      <c r="E53" t="s">
        <v>873</v>
      </c>
      <c r="F53" t="s">
        <v>871</v>
      </c>
      <c r="G53" t="s">
        <v>755</v>
      </c>
      <c r="H53">
        <v>1.6E-2</v>
      </c>
      <c r="K53" t="s">
        <v>777</v>
      </c>
    </row>
    <row r="54" spans="1:11" s="59" customFormat="1">
      <c r="D54" s="59" t="s">
        <v>104</v>
      </c>
      <c r="G54" s="59" t="s">
        <v>833</v>
      </c>
    </row>
    <row r="55" spans="1:11">
      <c r="A55" t="s">
        <v>969</v>
      </c>
      <c r="D55" t="s">
        <v>955</v>
      </c>
      <c r="E55" t="s">
        <v>954</v>
      </c>
      <c r="F55" t="s">
        <v>956</v>
      </c>
      <c r="G55" t="s">
        <v>957</v>
      </c>
      <c r="H55">
        <v>0.1</v>
      </c>
      <c r="I55">
        <v>0.05</v>
      </c>
      <c r="J55">
        <v>0.5</v>
      </c>
      <c r="K55" t="s">
        <v>660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6" t="s">
        <v>25</v>
      </c>
      <c r="D1" s="206" t="s">
        <v>112</v>
      </c>
      <c r="E1" s="43" t="s">
        <v>659</v>
      </c>
      <c r="F1" s="43" t="s">
        <v>653</v>
      </c>
      <c r="G1" s="43" t="s">
        <v>652</v>
      </c>
      <c r="H1" s="43" t="s">
        <v>2</v>
      </c>
      <c r="I1" s="43" t="s">
        <v>635</v>
      </c>
      <c r="J1" s="43" t="s">
        <v>2</v>
      </c>
      <c r="K1" s="43" t="s">
        <v>5</v>
      </c>
      <c r="S1" s="27">
        <v>3.7854100000000002</v>
      </c>
      <c r="T1" s="111" t="s">
        <v>441</v>
      </c>
    </row>
    <row r="2" spans="1:28" s="37" customFormat="1">
      <c r="A2" s="42" t="s">
        <v>440</v>
      </c>
      <c r="C2" s="208">
        <f>C4+C5</f>
        <v>18.482496322776335</v>
      </c>
      <c r="D2" s="209"/>
      <c r="G2" s="54"/>
      <c r="K2" s="265" t="s">
        <v>854</v>
      </c>
    </row>
    <row r="3" spans="1:28" s="47" customFormat="1">
      <c r="A3" s="116" t="s">
        <v>457</v>
      </c>
      <c r="B3" s="105" t="s">
        <v>458</v>
      </c>
      <c r="C3" s="210">
        <f>E3*G3</f>
        <v>0</v>
      </c>
      <c r="D3" s="211"/>
      <c r="E3" s="223">
        <f>Globalfactors.csv!H13</f>
        <v>5.8295314000000005</v>
      </c>
      <c r="F3" s="118"/>
      <c r="G3" s="222"/>
      <c r="H3" s="105" t="s">
        <v>478</v>
      </c>
      <c r="I3" s="264">
        <v>42010</v>
      </c>
      <c r="J3" s="263" t="s">
        <v>756</v>
      </c>
      <c r="K3" s="105" t="s">
        <v>459</v>
      </c>
    </row>
    <row r="4" spans="1:28">
      <c r="A4" s="111" t="s">
        <v>582</v>
      </c>
      <c r="B4" s="105" t="s">
        <v>642</v>
      </c>
      <c r="C4" s="212">
        <f>E3*G4</f>
        <v>15.859207192776333</v>
      </c>
      <c r="G4" s="194">
        <f>Globalfactors.csv!H4</f>
        <v>2.7204943424399999</v>
      </c>
      <c r="H4" s="111"/>
      <c r="I4" s="111"/>
      <c r="K4" s="105"/>
      <c r="M4" s="111"/>
      <c r="Q4" s="119"/>
    </row>
    <row r="5" spans="1:28">
      <c r="A5" s="111" t="s">
        <v>463</v>
      </c>
      <c r="B5" s="111" t="s">
        <v>29</v>
      </c>
      <c r="C5" s="212">
        <f>G5*E3</f>
        <v>2.6232891300000003</v>
      </c>
      <c r="G5" s="195">
        <f>Globalfactors.csv!H3</f>
        <v>0.45</v>
      </c>
      <c r="H5" s="111" t="s">
        <v>464</v>
      </c>
      <c r="I5" s="111"/>
      <c r="K5" s="27" t="s">
        <v>465</v>
      </c>
    </row>
    <row r="6" spans="1:28" s="37" customFormat="1">
      <c r="A6" s="42" t="s">
        <v>442</v>
      </c>
      <c r="B6" s="42"/>
      <c r="C6" s="208"/>
      <c r="D6" s="209"/>
    </row>
    <row r="7" spans="1:28" hidden="1">
      <c r="A7" s="27" t="s">
        <v>100</v>
      </c>
      <c r="F7" s="200">
        <v>0.14399999999999999</v>
      </c>
      <c r="H7" s="111"/>
      <c r="I7" s="111" t="s">
        <v>644</v>
      </c>
      <c r="K7" s="111" t="s">
        <v>645</v>
      </c>
    </row>
    <row r="8" spans="1:28">
      <c r="A8" s="27" t="s">
        <v>99</v>
      </c>
      <c r="B8" s="205" t="s">
        <v>23</v>
      </c>
      <c r="E8" s="36">
        <f>Globalfactors.csv!H14</f>
        <v>0.1</v>
      </c>
      <c r="F8" s="200"/>
      <c r="H8" s="114" t="s">
        <v>646</v>
      </c>
      <c r="I8" s="114"/>
      <c r="K8" s="27" t="s">
        <v>647</v>
      </c>
    </row>
    <row r="9" spans="1:28">
      <c r="A9" s="111" t="s">
        <v>626</v>
      </c>
      <c r="B9" s="205" t="s">
        <v>23</v>
      </c>
      <c r="E9" s="36">
        <v>1</v>
      </c>
      <c r="F9" s="200"/>
      <c r="H9" s="114" t="s">
        <v>117</v>
      </c>
      <c r="I9" s="114" t="s">
        <v>648</v>
      </c>
      <c r="K9" s="205" t="s">
        <v>678</v>
      </c>
    </row>
    <row r="10" spans="1:28">
      <c r="A10" s="111" t="s">
        <v>625</v>
      </c>
      <c r="B10" s="205" t="s">
        <v>23</v>
      </c>
      <c r="E10" s="36">
        <v>0.9</v>
      </c>
      <c r="F10" s="200"/>
      <c r="H10" s="111" t="s">
        <v>117</v>
      </c>
      <c r="I10" s="111" t="s">
        <v>650</v>
      </c>
      <c r="K10" s="193" t="s">
        <v>649</v>
      </c>
      <c r="Y10" s="38" t="e">
        <f>#REF!*44/12</f>
        <v>#REF!</v>
      </c>
      <c r="Z10" s="35" t="s">
        <v>82</v>
      </c>
      <c r="AB10" s="35" t="s">
        <v>81</v>
      </c>
    </row>
    <row r="11" spans="1:28">
      <c r="A11" s="27" t="s">
        <v>151</v>
      </c>
      <c r="F11" s="201">
        <f>Parameters!E27</f>
        <v>334.11111111111109</v>
      </c>
    </row>
    <row r="12" spans="1:28">
      <c r="A12" s="27" t="s">
        <v>125</v>
      </c>
      <c r="F12" s="200">
        <f>Parameters!D27</f>
        <v>0.27</v>
      </c>
    </row>
    <row r="13" spans="1:28">
      <c r="A13" s="27" t="s">
        <v>80</v>
      </c>
      <c r="B13" s="27" t="s">
        <v>135</v>
      </c>
      <c r="F13" s="202">
        <f>Parameters!F27</f>
        <v>90.21</v>
      </c>
      <c r="K13" s="27" t="s">
        <v>127</v>
      </c>
    </row>
    <row r="14" spans="1:28" s="49" customFormat="1">
      <c r="A14" s="48" t="s">
        <v>129</v>
      </c>
      <c r="B14" s="49" t="s">
        <v>136</v>
      </c>
      <c r="C14" s="213">
        <f>F13*D16*Parameters!C19*Parameters!C6</f>
        <v>680.18065018405377</v>
      </c>
      <c r="D14" s="214"/>
      <c r="H14" s="49" t="s">
        <v>118</v>
      </c>
      <c r="K14" s="49" t="s">
        <v>1010</v>
      </c>
    </row>
    <row r="15" spans="1:28">
      <c r="A15" s="27" t="s">
        <v>84</v>
      </c>
      <c r="B15" s="27" t="s">
        <v>130</v>
      </c>
      <c r="G15" s="36">
        <f>Globalfactors.csv!H19</f>
        <v>1</v>
      </c>
      <c r="K15" s="266" t="s">
        <v>763</v>
      </c>
      <c r="Q15" s="111"/>
    </row>
    <row r="16" spans="1:28" ht="15" customHeight="1">
      <c r="A16" s="27" t="s">
        <v>128</v>
      </c>
      <c r="B16" s="27" t="s">
        <v>130</v>
      </c>
      <c r="D16" s="212">
        <f>E87</f>
        <v>0.40191735168523723</v>
      </c>
      <c r="K16" s="27" t="s">
        <v>126</v>
      </c>
      <c r="Q16" s="111"/>
    </row>
    <row r="17" spans="1:25" ht="15" customHeight="1">
      <c r="A17" s="111" t="s">
        <v>473</v>
      </c>
      <c r="B17" s="111" t="s">
        <v>59</v>
      </c>
      <c r="C17" s="212">
        <f>D16*F13*G15*Parameters!C19*Parameters!C6</f>
        <v>680.18065018405377</v>
      </c>
      <c r="Q17" s="111"/>
    </row>
    <row r="18" spans="1:25" s="37" customFormat="1">
      <c r="A18" s="42" t="s">
        <v>137</v>
      </c>
      <c r="B18" s="37" t="s">
        <v>29</v>
      </c>
      <c r="C18" s="208">
        <f>-D23*Parameters!C14/1000</f>
        <v>-56.785521243807985</v>
      </c>
      <c r="D18" s="209"/>
      <c r="G18" s="37">
        <f>Parameters!C14</f>
        <v>533.66</v>
      </c>
      <c r="V18" s="37" t="s">
        <v>83</v>
      </c>
      <c r="W18" s="37" t="s">
        <v>78</v>
      </c>
    </row>
    <row r="19" spans="1:25">
      <c r="A19" s="111" t="s">
        <v>475</v>
      </c>
      <c r="B19" s="27" t="s">
        <v>130</v>
      </c>
      <c r="D19" s="215">
        <f>F87*E10</f>
        <v>0.39079134175188118</v>
      </c>
      <c r="K19" s="111" t="s">
        <v>651</v>
      </c>
      <c r="Q19" s="111"/>
    </row>
    <row r="20" spans="1:25">
      <c r="A20" s="27" t="s">
        <v>133</v>
      </c>
      <c r="B20" s="27" t="s">
        <v>22</v>
      </c>
      <c r="D20" s="215">
        <f>F13*D19</f>
        <v>35.253286939437196</v>
      </c>
      <c r="G20" s="195">
        <f>Parameters!C20</f>
        <v>35315</v>
      </c>
      <c r="H20" s="111" t="s">
        <v>479</v>
      </c>
      <c r="I20" s="111"/>
      <c r="K20" s="111" t="s">
        <v>476</v>
      </c>
    </row>
    <row r="21" spans="1:25">
      <c r="A21" s="266" t="s">
        <v>791</v>
      </c>
      <c r="B21" s="266" t="s">
        <v>23</v>
      </c>
      <c r="D21" s="215"/>
      <c r="G21" s="195"/>
      <c r="H21" s="111"/>
      <c r="I21" s="111"/>
      <c r="K21" s="266" t="s">
        <v>792</v>
      </c>
    </row>
    <row r="22" spans="1:25">
      <c r="A22" s="205" t="s">
        <v>671</v>
      </c>
      <c r="B22" s="205" t="s">
        <v>672</v>
      </c>
      <c r="D22" s="215"/>
      <c r="E22" s="195">
        <f>Globalfactors.csv!H16</f>
        <v>11700</v>
      </c>
      <c r="F22" s="195"/>
      <c r="G22" s="266"/>
      <c r="H22" s="266" t="s">
        <v>762</v>
      </c>
      <c r="I22" s="111"/>
      <c r="K22" s="266" t="s">
        <v>761</v>
      </c>
    </row>
    <row r="23" spans="1:25">
      <c r="A23" s="27" t="s">
        <v>13</v>
      </c>
      <c r="B23" s="27" t="s">
        <v>134</v>
      </c>
      <c r="D23" s="212">
        <f>D20*G20/E22</f>
        <v>106.40767762959184</v>
      </c>
      <c r="I23" s="111"/>
      <c r="K23" s="266" t="s">
        <v>477</v>
      </c>
    </row>
    <row r="24" spans="1:25" s="126" customFormat="1">
      <c r="A24" s="126" t="s">
        <v>77</v>
      </c>
      <c r="B24" s="126" t="s">
        <v>29</v>
      </c>
      <c r="C24" s="216">
        <f>D28*-44/12</f>
        <v>-84.966161861607617</v>
      </c>
      <c r="D24" s="216">
        <f>F25*G24</f>
        <v>0</v>
      </c>
      <c r="K24" s="126" t="s">
        <v>444</v>
      </c>
      <c r="X24" s="126" t="e">
        <f>#REF!*1.1</f>
        <v>#REF!</v>
      </c>
      <c r="Y24" s="126" t="s">
        <v>59</v>
      </c>
    </row>
    <row r="25" spans="1:25" s="116" customFormat="1">
      <c r="A25" s="116" t="s">
        <v>480</v>
      </c>
      <c r="B25" s="116" t="s">
        <v>443</v>
      </c>
      <c r="C25" s="210"/>
      <c r="D25" s="210"/>
      <c r="F25" s="218">
        <f>Parameters!J27</f>
        <v>145.73955722402675</v>
      </c>
      <c r="J25" s="116" t="s">
        <v>839</v>
      </c>
      <c r="K25" s="116" t="s">
        <v>837</v>
      </c>
    </row>
    <row r="26" spans="1:25" s="116" customFormat="1">
      <c r="A26" s="116" t="s">
        <v>666</v>
      </c>
      <c r="B26" s="116" t="s">
        <v>23</v>
      </c>
      <c r="C26" s="210"/>
      <c r="D26" s="210"/>
      <c r="F26" s="204">
        <f>Parameters!O27</f>
        <v>0.84099999999999997</v>
      </c>
      <c r="J26" s="116" t="s">
        <v>839</v>
      </c>
      <c r="K26" s="116" t="s">
        <v>836</v>
      </c>
    </row>
    <row r="27" spans="1:25" s="42" customFormat="1">
      <c r="A27" s="42" t="s">
        <v>840</v>
      </c>
      <c r="C27" s="208"/>
      <c r="D27" s="208"/>
      <c r="E27" s="275"/>
      <c r="F27" s="276"/>
      <c r="J27" s="42" t="s">
        <v>838</v>
      </c>
      <c r="K27" s="42" t="s">
        <v>629</v>
      </c>
    </row>
    <row r="28" spans="1:25" s="47" customFormat="1">
      <c r="A28" s="116" t="s">
        <v>533</v>
      </c>
      <c r="B28" s="203" t="s">
        <v>597</v>
      </c>
      <c r="C28" s="211"/>
      <c r="D28" s="210">
        <f>F25*(1-F26)*G29</f>
        <v>23.172589598620259</v>
      </c>
      <c r="F28" s="169"/>
      <c r="G28" s="274"/>
      <c r="H28" s="273"/>
      <c r="I28" s="273"/>
      <c r="K28" s="116" t="s">
        <v>878</v>
      </c>
    </row>
    <row r="29" spans="1:25">
      <c r="A29" s="266" t="s">
        <v>760</v>
      </c>
      <c r="B29" s="266" t="s">
        <v>841</v>
      </c>
      <c r="G29" s="195">
        <v>1</v>
      </c>
      <c r="H29" s="279">
        <f>D28/0.3/1000</f>
        <v>7.7241965328734202E-2</v>
      </c>
      <c r="I29" s="317"/>
      <c r="J29" s="29"/>
      <c r="K29" s="266" t="s">
        <v>1007</v>
      </c>
    </row>
    <row r="31" spans="1:25">
      <c r="A31" s="42" t="s">
        <v>111</v>
      </c>
      <c r="B31" s="42" t="s">
        <v>628</v>
      </c>
      <c r="C31" s="208">
        <f>SUM(C14,C18,C24,C2)</f>
        <v>556.91146340141449</v>
      </c>
      <c r="K31" s="111"/>
    </row>
    <row r="32" spans="1:25">
      <c r="C32" s="119">
        <v>3</v>
      </c>
    </row>
    <row r="34" spans="1:23">
      <c r="A34" s="39" t="s">
        <v>97</v>
      </c>
      <c r="H34" s="267" t="s">
        <v>714</v>
      </c>
      <c r="L34" s="37" t="s">
        <v>98</v>
      </c>
      <c r="M34" s="124"/>
      <c r="N34" s="37"/>
      <c r="O34" s="37"/>
      <c r="P34" s="123" t="s">
        <v>472</v>
      </c>
      <c r="Q34" s="37"/>
      <c r="R34" s="37"/>
      <c r="S34" s="37"/>
      <c r="T34" s="37"/>
      <c r="W34" s="111" t="s">
        <v>469</v>
      </c>
    </row>
    <row r="35" spans="1:23" ht="16">
      <c r="B35" s="111" t="s">
        <v>471</v>
      </c>
      <c r="C35" s="217"/>
      <c r="D35" s="119" t="s">
        <v>86</v>
      </c>
      <c r="K35" s="125" t="s">
        <v>96</v>
      </c>
      <c r="L35" s="125"/>
      <c r="M35" s="37"/>
      <c r="N35" s="123" t="s">
        <v>468</v>
      </c>
      <c r="O35" s="37" t="s">
        <v>94</v>
      </c>
      <c r="P35" s="37"/>
      <c r="Q35" s="37"/>
      <c r="R35" s="37"/>
      <c r="S35" s="37"/>
    </row>
    <row r="36" spans="1:23">
      <c r="A36" s="27" t="s">
        <v>93</v>
      </c>
      <c r="B36" s="111" t="s">
        <v>450</v>
      </c>
      <c r="C36" s="217" t="s">
        <v>95</v>
      </c>
      <c r="D36" s="318" t="s">
        <v>1008</v>
      </c>
      <c r="E36" s="111" t="s">
        <v>452</v>
      </c>
      <c r="F36" s="111" t="s">
        <v>451</v>
      </c>
      <c r="G36" s="37" t="s">
        <v>92</v>
      </c>
      <c r="H36" s="37"/>
      <c r="I36" s="37" t="s">
        <v>91</v>
      </c>
      <c r="J36" s="37" t="s">
        <v>90</v>
      </c>
      <c r="K36" s="37" t="s">
        <v>89</v>
      </c>
      <c r="L36" s="37" t="s">
        <v>88</v>
      </c>
      <c r="M36" s="37" t="s">
        <v>87</v>
      </c>
      <c r="N36" s="37" t="s">
        <v>86</v>
      </c>
      <c r="O36" s="37" t="s">
        <v>85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f>Globalfactors.csv!H14</f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</v>
      </c>
      <c r="E38" s="29">
        <f t="shared" ref="E38:E86" si="6">B38*(1-C38)*(1-D38)</f>
        <v>9.7169102354179748E-2</v>
      </c>
      <c r="F38" s="47">
        <f t="shared" ref="F38:F86" si="7">B38*(1-C38)*D38</f>
        <v>0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0.5</v>
      </c>
      <c r="E41" s="29">
        <f t="shared" si="6"/>
        <v>3.1541546186206158E-2</v>
      </c>
      <c r="F41" s="47">
        <f t="shared" si="7"/>
        <v>3.1541546186206158E-2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0.75</v>
      </c>
      <c r="E51" s="29">
        <f t="shared" si="6"/>
        <v>3.7365339216332265E-3</v>
      </c>
      <c r="F51" s="47">
        <f t="shared" si="7"/>
        <v>1.120960176489968E-2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f>Globalfactors.csv!H18</f>
        <v>0.95</v>
      </c>
      <c r="E52" s="29">
        <f t="shared" si="6"/>
        <v>6.4708378858996547E-4</v>
      </c>
      <c r="F52" s="47">
        <f t="shared" si="7"/>
        <v>1.2294591983209332E-2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0.95</v>
      </c>
      <c r="E53" s="29">
        <f t="shared" si="6"/>
        <v>5.6030192450778383E-4</v>
      </c>
      <c r="F53" s="47">
        <f t="shared" si="7"/>
        <v>1.0645736565647882E-2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0.95</v>
      </c>
      <c r="E54" s="29">
        <f t="shared" si="6"/>
        <v>4.8515857164528375E-4</v>
      </c>
      <c r="F54" s="47">
        <f t="shared" si="7"/>
        <v>9.2180128612603818E-3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0.95</v>
      </c>
      <c r="E55" s="29">
        <f t="shared" si="6"/>
        <v>4.2009286305355517E-4</v>
      </c>
      <c r="F55" s="47">
        <f t="shared" si="7"/>
        <v>7.9817643980175414E-3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0.95</v>
      </c>
      <c r="E56" s="29">
        <f t="shared" si="6"/>
        <v>3.6375326316518683E-4</v>
      </c>
      <c r="F56" s="47">
        <f t="shared" si="7"/>
        <v>6.911312000138543E-3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0.95</v>
      </c>
      <c r="E57" s="29">
        <f t="shared" si="6"/>
        <v>3.1496949389129116E-4</v>
      </c>
      <c r="F57" s="47">
        <f t="shared" si="7"/>
        <v>5.9844203839345264E-3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0.95</v>
      </c>
      <c r="E58" s="29">
        <f t="shared" si="6"/>
        <v>2.7272822577287757E-4</v>
      </c>
      <c r="F58" s="47">
        <f t="shared" si="7"/>
        <v>5.181836289684669E-3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0.95</v>
      </c>
      <c r="E59" s="29">
        <f t="shared" si="6"/>
        <v>2.361520292466594E-4</v>
      </c>
      <c r="F59" s="47">
        <f t="shared" si="7"/>
        <v>4.4868885556865242E-3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0.95</v>
      </c>
      <c r="E60" s="29">
        <f t="shared" si="6"/>
        <v>2.0448114880400149E-4</v>
      </c>
      <c r="F60" s="47">
        <f t="shared" si="7"/>
        <v>3.8851418272760245E-3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0.95</v>
      </c>
      <c r="E61" s="29">
        <f t="shared" si="6"/>
        <v>1.7705772145845599E-4</v>
      </c>
      <c r="F61" s="47">
        <f t="shared" si="7"/>
        <v>3.3640967077106605E-3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0.95</v>
      </c>
      <c r="E62" s="29">
        <f t="shared" si="6"/>
        <v>1.5331211171015644E-4</v>
      </c>
      <c r="F62" s="47">
        <f t="shared" si="7"/>
        <v>2.9129301224929695E-3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0.95</v>
      </c>
      <c r="E63" s="29">
        <f t="shared" si="6"/>
        <v>1.3275107915890861E-4</v>
      </c>
      <c r="F63" s="47">
        <f t="shared" si="7"/>
        <v>2.5222705040192613E-3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0.95</v>
      </c>
      <c r="E64" s="29">
        <f t="shared" si="6"/>
        <v>1.1494753298533662E-4</v>
      </c>
      <c r="F64" s="47">
        <f t="shared" si="7"/>
        <v>2.1840031267213937E-3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0.95</v>
      </c>
      <c r="E65" s="29">
        <f t="shared" si="6"/>
        <v>9.9531660481634398E-5</v>
      </c>
      <c r="F65" s="47">
        <f t="shared" si="7"/>
        <v>1.8911015491510517E-3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0.95</v>
      </c>
      <c r="E66" s="29">
        <f t="shared" si="6"/>
        <v>8.6183245355035766E-5</v>
      </c>
      <c r="F66" s="47">
        <f t="shared" si="7"/>
        <v>1.6374816617456779E-3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0.95</v>
      </c>
      <c r="E67" s="29">
        <f t="shared" si="6"/>
        <v>7.4625016240905835E-5</v>
      </c>
      <c r="F67" s="47">
        <f t="shared" si="7"/>
        <v>1.4178753085772097E-3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0.95</v>
      </c>
      <c r="E68" s="29">
        <f t="shared" si="6"/>
        <v>6.4616887261719546E-5</v>
      </c>
      <c r="F68" s="47">
        <f t="shared" si="7"/>
        <v>1.2277208579726702E-3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0.95</v>
      </c>
      <c r="E69" s="29">
        <f t="shared" si="6"/>
        <v>5.5950970997645866E-5</v>
      </c>
      <c r="F69" s="47">
        <f t="shared" si="7"/>
        <v>1.0630684489552704E-3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0.95</v>
      </c>
      <c r="E70" s="29">
        <f t="shared" si="6"/>
        <v>4.8447260278877477E-5</v>
      </c>
      <c r="F70" s="47">
        <f t="shared" si="7"/>
        <v>9.2049794529867109E-4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0.95</v>
      </c>
      <c r="E71" s="29">
        <f t="shared" si="6"/>
        <v>4.1949889102515381E-5</v>
      </c>
      <c r="F71" s="47">
        <f t="shared" si="7"/>
        <v>7.970478929477915E-4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0.95</v>
      </c>
      <c r="E72" s="29">
        <f t="shared" si="6"/>
        <v>3.6323895006310449E-5</v>
      </c>
      <c r="F72" s="47">
        <f t="shared" si="7"/>
        <v>6.9015400511989789E-4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0.95</v>
      </c>
      <c r="E73" s="29">
        <f t="shared" si="6"/>
        <v>3.1452415647753157E-5</v>
      </c>
      <c r="F73" s="47">
        <f t="shared" si="7"/>
        <v>5.9759589730730943E-4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0.95</v>
      </c>
      <c r="E74" s="29">
        <f t="shared" si="6"/>
        <v>2.7234261356255086E-5</v>
      </c>
      <c r="F74" s="47">
        <f t="shared" si="7"/>
        <v>5.1745096576884611E-4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0.95</v>
      </c>
      <c r="E75" s="29">
        <f t="shared" si="6"/>
        <v>2.3581813235823538E-5</v>
      </c>
      <c r="F75" s="47">
        <f t="shared" si="7"/>
        <v>4.4805445148064684E-4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0.95</v>
      </c>
      <c r="E76" s="29">
        <f t="shared" si="6"/>
        <v>2.0419203157919997E-5</v>
      </c>
      <c r="F76" s="47">
        <f t="shared" si="7"/>
        <v>3.879648600004796E-4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0.95</v>
      </c>
      <c r="E77" s="29">
        <f t="shared" si="6"/>
        <v>1.7680737839574751E-5</v>
      </c>
      <c r="F77" s="47">
        <f t="shared" si="7"/>
        <v>3.3593401895191992E-4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0.95</v>
      </c>
      <c r="E78" s="29">
        <f t="shared" si="6"/>
        <v>1.5309534271934564E-5</v>
      </c>
      <c r="F78" s="47">
        <f t="shared" si="7"/>
        <v>2.9088115116675646E-4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0.95</v>
      </c>
      <c r="E79" s="29">
        <f t="shared" si="6"/>
        <v>1.3256338154560641E-5</v>
      </c>
      <c r="F79" s="47">
        <f t="shared" si="7"/>
        <v>2.5187042493665196E-4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0.95</v>
      </c>
      <c r="E80" s="29">
        <f t="shared" si="6"/>
        <v>1.1478500792163829E-5</v>
      </c>
      <c r="F80" s="47">
        <f t="shared" si="7"/>
        <v>2.1809151505111255E-4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0.95</v>
      </c>
      <c r="E81" s="29">
        <f t="shared" si="6"/>
        <v>9.939093202022537E-6</v>
      </c>
      <c r="F81" s="47">
        <f t="shared" si="7"/>
        <v>1.8884277083842805E-4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0.95</v>
      </c>
      <c r="E82" s="29">
        <f t="shared" si="6"/>
        <v>8.6061390304498473E-6</v>
      </c>
      <c r="F82" s="47">
        <f t="shared" si="7"/>
        <v>1.6351664157854696E-4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0.95</v>
      </c>
      <c r="E83" s="29">
        <f t="shared" si="6"/>
        <v>7.4519503445606471E-6</v>
      </c>
      <c r="F83" s="47">
        <f t="shared" si="7"/>
        <v>1.4158705654665217E-4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0.95</v>
      </c>
      <c r="E84" s="29">
        <f t="shared" si="6"/>
        <v>6.4525525025006419E-6</v>
      </c>
      <c r="F84" s="47">
        <f t="shared" si="7"/>
        <v>1.2259849754751208E-4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0.95</v>
      </c>
      <c r="E85" s="29">
        <f t="shared" si="6"/>
        <v>5.5871861556240663E-6</v>
      </c>
      <c r="F85" s="47">
        <f t="shared" si="7"/>
        <v>1.0615653695685717E-4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0.95</v>
      </c>
      <c r="E86" s="29">
        <f t="shared" si="6"/>
        <v>4.8378760382808892E-6</v>
      </c>
      <c r="F86" s="47">
        <f t="shared" si="7"/>
        <v>9.1919644727336811E-5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0.40191735168523723</v>
      </c>
      <c r="N86" s="37">
        <f>SUM(F37:F86)</f>
        <v>0.43421260194653466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4">
        <f>SUM(E37:E86)</f>
        <v>0.40191735168523723</v>
      </c>
      <c r="F87" s="115">
        <f>SUM(F37:F86)</f>
        <v>0.43421260194653466</v>
      </c>
      <c r="G87" s="115">
        <f>E87+F87+C87</f>
        <v>0.93612995363177187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319" t="s">
        <v>1009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79</v>
      </c>
    </row>
    <row r="90" spans="1:30">
      <c r="A90" s="111" t="s">
        <v>470</v>
      </c>
      <c r="AD90" s="27" t="s">
        <v>73</v>
      </c>
    </row>
    <row r="91" spans="1:30">
      <c r="A91" s="27" t="s">
        <v>76</v>
      </c>
      <c r="B91" s="35" t="s">
        <v>75</v>
      </c>
      <c r="D91" s="119" t="s">
        <v>66</v>
      </c>
    </row>
    <row r="92" spans="1:30">
      <c r="A92" s="111" t="s">
        <v>446</v>
      </c>
      <c r="B92" s="112">
        <f>D20</f>
        <v>35.253286939437196</v>
      </c>
      <c r="C92" s="119" t="s">
        <v>74</v>
      </c>
      <c r="D92" s="119" t="s">
        <v>66</v>
      </c>
    </row>
    <row r="93" spans="1:30">
      <c r="A93" s="27" t="s">
        <v>72</v>
      </c>
      <c r="B93" s="27">
        <v>35315</v>
      </c>
      <c r="C93" s="119" t="s">
        <v>71</v>
      </c>
    </row>
    <row r="94" spans="1:30">
      <c r="A94" s="34" t="s">
        <v>70</v>
      </c>
      <c r="B94" s="27">
        <v>11700</v>
      </c>
      <c r="C94" s="119" t="s">
        <v>69</v>
      </c>
      <c r="D94" s="119" t="s">
        <v>62</v>
      </c>
      <c r="H94" s="33"/>
      <c r="I94" s="33"/>
      <c r="K94" s="111">
        <v>3412</v>
      </c>
      <c r="L94" s="111" t="s">
        <v>447</v>
      </c>
      <c r="M94" s="113">
        <f>K94/B94</f>
        <v>0.29162393162393163</v>
      </c>
      <c r="N94" s="111" t="s">
        <v>449</v>
      </c>
    </row>
    <row r="95" spans="1:30">
      <c r="A95" s="27" t="s">
        <v>68</v>
      </c>
      <c r="B95" s="27">
        <v>1</v>
      </c>
      <c r="C95" s="119" t="s">
        <v>67</v>
      </c>
      <c r="K95" s="111" t="s">
        <v>448</v>
      </c>
    </row>
    <row r="96" spans="1:30">
      <c r="B96" s="27">
        <f>B92*B93/B94*B95</f>
        <v>106.40767762959184</v>
      </c>
      <c r="C96" s="119" t="s">
        <v>65</v>
      </c>
    </row>
    <row r="97" spans="1:15">
      <c r="A97" s="27" t="s">
        <v>64</v>
      </c>
      <c r="B97" s="27">
        <f>-D100/1000</f>
        <v>-0.53737674279288006</v>
      </c>
      <c r="C97" s="119" t="s">
        <v>63</v>
      </c>
      <c r="D97" s="119" t="s">
        <v>58</v>
      </c>
      <c r="E97" s="27" t="s">
        <v>57</v>
      </c>
    </row>
    <row r="98" spans="1:15">
      <c r="B98" s="31">
        <f>B96*B97</f>
        <v>-57.181011212744878</v>
      </c>
      <c r="C98" s="119" t="s">
        <v>61</v>
      </c>
      <c r="D98" s="119">
        <v>1253.77</v>
      </c>
      <c r="E98" s="27">
        <v>36.83</v>
      </c>
    </row>
    <row r="99" spans="1:15">
      <c r="B99" s="32"/>
      <c r="G99" s="27" t="s">
        <v>56</v>
      </c>
    </row>
    <row r="100" spans="1:15">
      <c r="A100" s="27" t="s">
        <v>60</v>
      </c>
      <c r="B100" s="31" t="e">
        <f>#REF!+B98</f>
        <v>#REF!</v>
      </c>
      <c r="C100" s="119" t="s">
        <v>59</v>
      </c>
      <c r="D100" s="119">
        <v>537.37674279288001</v>
      </c>
      <c r="E100" s="28" t="s">
        <v>55</v>
      </c>
      <c r="F100" s="28"/>
      <c r="G100" s="27">
        <v>13.67</v>
      </c>
    </row>
    <row r="102" spans="1:15">
      <c r="A102" s="27" t="s">
        <v>536</v>
      </c>
      <c r="B102" s="27" t="s">
        <v>537</v>
      </c>
      <c r="C102" s="119" t="s">
        <v>538</v>
      </c>
      <c r="D102" s="119" t="s">
        <v>539</v>
      </c>
      <c r="E102" s="27" t="s">
        <v>540</v>
      </c>
      <c r="G102" s="27" t="s">
        <v>541</v>
      </c>
    </row>
    <row r="103" spans="1:15">
      <c r="A103" s="27" t="s">
        <v>542</v>
      </c>
      <c r="B103" s="27" t="s">
        <v>537</v>
      </c>
      <c r="C103" s="119" t="s">
        <v>543</v>
      </c>
      <c r="D103" s="119" t="s">
        <v>544</v>
      </c>
      <c r="E103" s="27" t="s">
        <v>545</v>
      </c>
      <c r="G103" s="27" t="s">
        <v>546</v>
      </c>
      <c r="H103" s="27" t="s">
        <v>547</v>
      </c>
      <c r="J103" s="27" t="s">
        <v>548</v>
      </c>
      <c r="K103" s="27" t="s">
        <v>543</v>
      </c>
      <c r="L103" s="27" t="s">
        <v>549</v>
      </c>
      <c r="M103" s="27" t="s">
        <v>550</v>
      </c>
      <c r="N103" s="27" t="s">
        <v>551</v>
      </c>
      <c r="O103" s="27">
        <v>-2009</v>
      </c>
    </row>
    <row r="104" spans="1:15">
      <c r="A104" s="27" t="s">
        <v>552</v>
      </c>
      <c r="B104" s="27" t="s">
        <v>537</v>
      </c>
      <c r="C104" s="119" t="s">
        <v>543</v>
      </c>
      <c r="D104" s="119" t="s">
        <v>544</v>
      </c>
      <c r="E104" s="27">
        <v>2.7</v>
      </c>
      <c r="G104" s="27" t="s">
        <v>546</v>
      </c>
      <c r="H104" s="27" t="s">
        <v>547</v>
      </c>
      <c r="J104" s="27" t="s">
        <v>548</v>
      </c>
      <c r="K104" s="27" t="s">
        <v>543</v>
      </c>
      <c r="L104" s="27" t="s">
        <v>549</v>
      </c>
      <c r="M104" s="27" t="s">
        <v>550</v>
      </c>
      <c r="N104" s="27" t="s">
        <v>551</v>
      </c>
      <c r="O104" s="27">
        <v>-2009</v>
      </c>
    </row>
    <row r="105" spans="1:15">
      <c r="A105" s="27" t="s">
        <v>542</v>
      </c>
      <c r="B105" s="27" t="s">
        <v>537</v>
      </c>
      <c r="C105" s="119" t="s">
        <v>553</v>
      </c>
      <c r="D105" s="119" t="s">
        <v>554</v>
      </c>
      <c r="E105" s="27" t="s">
        <v>546</v>
      </c>
      <c r="G105" s="27" t="s">
        <v>547</v>
      </c>
      <c r="H105" s="27" t="s">
        <v>555</v>
      </c>
      <c r="J105" s="27" t="s">
        <v>549</v>
      </c>
      <c r="K105" s="27" t="s">
        <v>550</v>
      </c>
      <c r="L105" s="27" t="s">
        <v>551</v>
      </c>
      <c r="M105" s="27">
        <v>-2009</v>
      </c>
    </row>
    <row r="106" spans="1:15">
      <c r="A106" s="27" t="s">
        <v>556</v>
      </c>
      <c r="B106" s="27" t="s">
        <v>537</v>
      </c>
      <c r="C106" s="119" t="s">
        <v>54</v>
      </c>
      <c r="D106" s="119" t="s">
        <v>557</v>
      </c>
      <c r="E106" s="27" t="s">
        <v>558</v>
      </c>
      <c r="G106" s="27" t="s">
        <v>546</v>
      </c>
      <c r="H106" s="27" t="s">
        <v>547</v>
      </c>
      <c r="J106" s="27" t="s">
        <v>546</v>
      </c>
      <c r="K106" s="27" t="s">
        <v>559</v>
      </c>
      <c r="L106" s="27" t="s">
        <v>560</v>
      </c>
      <c r="M106" s="27">
        <v>10</v>
      </c>
    </row>
    <row r="107" spans="1:15">
      <c r="A107" s="27" t="s">
        <v>556</v>
      </c>
      <c r="B107" s="27" t="s">
        <v>537</v>
      </c>
      <c r="C107" s="119" t="s">
        <v>561</v>
      </c>
      <c r="D107" s="119" t="s">
        <v>557</v>
      </c>
      <c r="E107" s="27" t="s">
        <v>562</v>
      </c>
      <c r="G107" s="27" t="s">
        <v>546</v>
      </c>
      <c r="H107" s="27" t="s">
        <v>547</v>
      </c>
      <c r="J107" s="27" t="s">
        <v>546</v>
      </c>
      <c r="K107" s="27" t="s">
        <v>563</v>
      </c>
      <c r="L107" s="27" t="s">
        <v>560</v>
      </c>
      <c r="M107" s="27">
        <v>10</v>
      </c>
    </row>
    <row r="108" spans="1:15">
      <c r="A108" s="27" t="s">
        <v>556</v>
      </c>
      <c r="B108" s="27" t="s">
        <v>537</v>
      </c>
      <c r="C108" s="119" t="s">
        <v>564</v>
      </c>
      <c r="D108" s="119" t="s">
        <v>557</v>
      </c>
      <c r="E108" s="27" t="s">
        <v>565</v>
      </c>
      <c r="G108" s="27" t="s">
        <v>546</v>
      </c>
      <c r="H108" s="27" t="s">
        <v>547</v>
      </c>
      <c r="J108" s="27" t="s">
        <v>546</v>
      </c>
      <c r="K108" s="27" t="s">
        <v>566</v>
      </c>
      <c r="L108" s="27" t="s">
        <v>560</v>
      </c>
      <c r="M108" s="27">
        <v>10</v>
      </c>
    </row>
    <row r="109" spans="1:15">
      <c r="A109" s="27" t="s">
        <v>556</v>
      </c>
      <c r="B109" s="27" t="s">
        <v>537</v>
      </c>
      <c r="C109" s="119" t="s">
        <v>567</v>
      </c>
      <c r="D109" s="119" t="s">
        <v>568</v>
      </c>
      <c r="E109" s="27" t="s">
        <v>546</v>
      </c>
      <c r="G109" s="27" t="s">
        <v>547</v>
      </c>
      <c r="H109" s="27" t="s">
        <v>569</v>
      </c>
      <c r="J109" s="27" t="s">
        <v>567</v>
      </c>
      <c r="K109" s="27" t="s">
        <v>570</v>
      </c>
      <c r="L109" s="27" t="s">
        <v>571</v>
      </c>
      <c r="M109" s="27" t="s">
        <v>572</v>
      </c>
      <c r="N109" s="27" t="s">
        <v>573</v>
      </c>
      <c r="O109" s="27" t="s">
        <v>574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45" workbookViewId="0">
      <selection activeCell="H72" sqref="H72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25</v>
      </c>
      <c r="D1" s="43" t="s">
        <v>112</v>
      </c>
      <c r="E1" s="43" t="s">
        <v>667</v>
      </c>
      <c r="F1" s="43" t="s">
        <v>653</v>
      </c>
      <c r="G1" s="43" t="s">
        <v>652</v>
      </c>
      <c r="H1" s="43" t="s">
        <v>2</v>
      </c>
      <c r="I1" s="43" t="s">
        <v>635</v>
      </c>
      <c r="J1" s="43" t="s">
        <v>5</v>
      </c>
      <c r="S1" s="27">
        <v>3.7854100000000002</v>
      </c>
      <c r="T1" s="111" t="s">
        <v>441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423</v>
      </c>
      <c r="B3" t="s">
        <v>4</v>
      </c>
      <c r="F3" s="10">
        <v>0.107</v>
      </c>
      <c r="G3" s="1" t="s">
        <v>7</v>
      </c>
      <c r="H3" s="6" t="s">
        <v>386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29</v>
      </c>
      <c r="C5" s="17">
        <f>E4*F3</f>
        <v>4.28</v>
      </c>
      <c r="H5" s="5" t="s">
        <v>18</v>
      </c>
    </row>
    <row r="6" spans="1:20" s="41" customFormat="1" hidden="1">
      <c r="A6" s="41" t="s">
        <v>110</v>
      </c>
    </row>
    <row r="7" spans="1:20" hidden="1">
      <c r="A7" t="s">
        <v>119</v>
      </c>
      <c r="H7" t="s">
        <v>434</v>
      </c>
    </row>
    <row r="8" spans="1:20" hidden="1">
      <c r="A8" t="s">
        <v>120</v>
      </c>
      <c r="B8" s="104"/>
      <c r="H8" t="s">
        <v>435</v>
      </c>
    </row>
    <row r="9" spans="1:20" hidden="1">
      <c r="A9" t="s">
        <v>121</v>
      </c>
      <c r="H9" t="s">
        <v>122</v>
      </c>
    </row>
    <row r="10" spans="1:20" s="45" customFormat="1">
      <c r="A10" s="45" t="s">
        <v>927</v>
      </c>
      <c r="B10" s="45" t="s">
        <v>926</v>
      </c>
      <c r="C10" s="282">
        <f>D13*(Globalfactors.csv!H4+Globalfactors.csv!H3)</f>
        <v>8.4018100074660005</v>
      </c>
    </row>
    <row r="11" spans="1:20">
      <c r="A11" t="s">
        <v>922</v>
      </c>
      <c r="B11" t="s">
        <v>788</v>
      </c>
      <c r="E11">
        <v>10.6</v>
      </c>
    </row>
    <row r="12" spans="1:20">
      <c r="A12" t="s">
        <v>925</v>
      </c>
      <c r="B12" t="s">
        <v>923</v>
      </c>
      <c r="E12">
        <v>0.25</v>
      </c>
      <c r="J12" t="s">
        <v>939</v>
      </c>
    </row>
    <row r="13" spans="1:20">
      <c r="A13" t="s">
        <v>924</v>
      </c>
      <c r="B13" t="s">
        <v>458</v>
      </c>
      <c r="D13">
        <f>E11*E12</f>
        <v>2.65</v>
      </c>
      <c r="J13" t="s">
        <v>959</v>
      </c>
    </row>
    <row r="14" spans="1:20" s="13" customFormat="1">
      <c r="A14" s="13" t="s">
        <v>8</v>
      </c>
      <c r="C14" s="40">
        <f>C25+C27+D32</f>
        <v>-143.78159197343967</v>
      </c>
    </row>
    <row r="15" spans="1:20">
      <c r="A15" s="15" t="s">
        <v>387</v>
      </c>
      <c r="B15" s="15" t="s">
        <v>22</v>
      </c>
      <c r="C15" s="2"/>
      <c r="D15" s="2"/>
      <c r="F15" s="306">
        <f>Parameters!F27</f>
        <v>90.21</v>
      </c>
      <c r="G15" s="99"/>
      <c r="I15" s="5"/>
    </row>
    <row r="16" spans="1:20" s="2" customFormat="1">
      <c r="A16" s="2" t="s">
        <v>985</v>
      </c>
      <c r="B16" s="2" t="s">
        <v>986</v>
      </c>
      <c r="F16" s="225"/>
      <c r="G16" s="307">
        <v>0.9</v>
      </c>
      <c r="I16" s="5" t="s">
        <v>987</v>
      </c>
      <c r="J16" s="2" t="s">
        <v>988</v>
      </c>
    </row>
    <row r="17" spans="1:12">
      <c r="A17" s="2" t="s">
        <v>977</v>
      </c>
      <c r="B17" s="2" t="s">
        <v>22</v>
      </c>
      <c r="C17" s="2"/>
      <c r="D17" s="2"/>
      <c r="F17" s="225">
        <f>F15*G16</f>
        <v>81.188999999999993</v>
      </c>
      <c r="H17" t="s">
        <v>978</v>
      </c>
      <c r="I17" s="5"/>
    </row>
    <row r="18" spans="1:12">
      <c r="A18" s="2" t="s">
        <v>979</v>
      </c>
      <c r="B18" s="15"/>
      <c r="C18" s="177">
        <f>F17*0.03</f>
        <v>2.4356699999999996</v>
      </c>
      <c r="D18" s="2"/>
      <c r="F18" s="225"/>
      <c r="G18" s="307">
        <v>0.03</v>
      </c>
      <c r="H18" t="s">
        <v>978</v>
      </c>
      <c r="I18" s="5"/>
    </row>
    <row r="19" spans="1:12">
      <c r="A19" s="2" t="s">
        <v>980</v>
      </c>
      <c r="B19" s="15"/>
      <c r="C19" s="177">
        <f>F17*G19</f>
        <v>2.4356699999999996</v>
      </c>
      <c r="D19" s="2"/>
      <c r="F19" s="225"/>
      <c r="G19" s="307">
        <v>0.03</v>
      </c>
      <c r="H19" t="s">
        <v>978</v>
      </c>
      <c r="I19" s="5"/>
    </row>
    <row r="20" spans="1:12">
      <c r="A20" s="2" t="s">
        <v>981</v>
      </c>
      <c r="B20" s="15"/>
      <c r="C20" s="174">
        <f>F17-C18-C19</f>
        <v>76.317659999999989</v>
      </c>
      <c r="D20" s="2"/>
      <c r="F20" s="225"/>
      <c r="G20" s="307"/>
      <c r="H20" t="s">
        <v>978</v>
      </c>
      <c r="I20" s="5"/>
    </row>
    <row r="21" spans="1:12">
      <c r="A21" s="15" t="s">
        <v>685</v>
      </c>
      <c r="B21" s="15" t="s">
        <v>23</v>
      </c>
      <c r="C21" s="2"/>
      <c r="D21" s="2"/>
      <c r="E21" s="226">
        <f>Globalfactors.csv!H23</f>
        <v>0.84</v>
      </c>
      <c r="H21" t="s">
        <v>16</v>
      </c>
      <c r="I21" t="s">
        <v>809</v>
      </c>
      <c r="J21" s="14" t="s">
        <v>973</v>
      </c>
    </row>
    <row r="22" spans="1:12" s="6" customFormat="1" ht="14" customHeight="1">
      <c r="A22" s="14" t="s">
        <v>421</v>
      </c>
      <c r="B22" s="14" t="s">
        <v>22</v>
      </c>
      <c r="D22" s="9">
        <f>F15*E21</f>
        <v>75.776399999999995</v>
      </c>
      <c r="E22" s="5"/>
      <c r="I22" s="6" t="s">
        <v>19</v>
      </c>
    </row>
    <row r="23" spans="1:12" s="295" customFormat="1" ht="14" customHeight="1">
      <c r="A23" s="299" t="s">
        <v>686</v>
      </c>
      <c r="B23" s="299" t="s">
        <v>687</v>
      </c>
      <c r="C23" s="300"/>
      <c r="D23" s="301"/>
      <c r="E23" s="295">
        <v>0.03</v>
      </c>
      <c r="H23" s="295" t="s">
        <v>10</v>
      </c>
      <c r="I23" s="295" t="s">
        <v>668</v>
      </c>
      <c r="J23" s="295" t="s">
        <v>17</v>
      </c>
    </row>
    <row r="24" spans="1:12" s="6" customFormat="1" ht="14" customHeight="1">
      <c r="A24" s="14" t="s">
        <v>982</v>
      </c>
      <c r="B24" s="14" t="s">
        <v>588</v>
      </c>
      <c r="C24" s="308">
        <f>D24*Parameters!C19</f>
        <v>1.5231056399999998</v>
      </c>
      <c r="D24" s="232">
        <f>D22*E23</f>
        <v>2.2732919999999996</v>
      </c>
      <c r="J24" s="6" t="s">
        <v>983</v>
      </c>
    </row>
    <row r="25" spans="1:12" s="6" customFormat="1" ht="14" customHeight="1">
      <c r="A25" s="227" t="s">
        <v>689</v>
      </c>
      <c r="B25" s="14" t="s">
        <v>29</v>
      </c>
      <c r="C25" s="9">
        <f>D24*Parameters!C19*Parameters!C6</f>
        <v>42.646957919999991</v>
      </c>
      <c r="J25" s="6" t="s">
        <v>984</v>
      </c>
    </row>
    <row r="26" spans="1:12" s="6" customFormat="1" ht="14" customHeight="1">
      <c r="A26" s="227" t="s">
        <v>688</v>
      </c>
      <c r="B26" s="14" t="s">
        <v>687</v>
      </c>
      <c r="C26" s="89"/>
      <c r="D26" s="232"/>
      <c r="E26" s="10">
        <v>5.0000000000000001E-3</v>
      </c>
      <c r="F26"/>
      <c r="G26" s="4"/>
      <c r="H26" t="s">
        <v>30</v>
      </c>
      <c r="I26"/>
      <c r="J26" t="s">
        <v>31</v>
      </c>
    </row>
    <row r="27" spans="1:12">
      <c r="A27" s="227" t="s">
        <v>422</v>
      </c>
      <c r="B27" s="14" t="s">
        <v>29</v>
      </c>
      <c r="C27" s="21">
        <f>D27*Parameters!C19*Parameters!C6</f>
        <v>7.1078263200000009</v>
      </c>
      <c r="D27" s="233">
        <f>D22*E26</f>
        <v>0.378882</v>
      </c>
    </row>
    <row r="28" spans="1:12" s="295" customFormat="1">
      <c r="A28" s="299" t="s">
        <v>388</v>
      </c>
      <c r="B28" s="299" t="s">
        <v>36</v>
      </c>
      <c r="D28" s="302"/>
      <c r="E28" s="302">
        <f>Globalfactors.csv!H27</f>
        <v>4.19318820416827</v>
      </c>
      <c r="F28" s="295">
        <f>3.6</f>
        <v>3.6</v>
      </c>
      <c r="G28" s="302">
        <f>4.5</f>
        <v>4.5</v>
      </c>
      <c r="H28" s="295" t="s">
        <v>16</v>
      </c>
      <c r="I28" s="295" t="s">
        <v>853</v>
      </c>
      <c r="J28" s="295" t="s">
        <v>989</v>
      </c>
    </row>
    <row r="29" spans="1:12">
      <c r="A29" s="227" t="s">
        <v>13</v>
      </c>
      <c r="B29" s="227" t="s">
        <v>36</v>
      </c>
      <c r="D29" s="110">
        <f>E28*D22/1000</f>
        <v>0.31774470663433646</v>
      </c>
      <c r="F29" s="91">
        <f>0.02*K29/0.6</f>
        <v>1.1771566666666669</v>
      </c>
      <c r="G29" s="91">
        <f>0.04*K29/0.6</f>
        <v>2.3543133333333337</v>
      </c>
      <c r="J29" s="86" t="s">
        <v>948</v>
      </c>
      <c r="K29">
        <v>35.314700000000002</v>
      </c>
      <c r="L29" t="s">
        <v>947</v>
      </c>
    </row>
    <row r="30" spans="1:12">
      <c r="A30" s="227" t="s">
        <v>669</v>
      </c>
      <c r="B30" s="14" t="s">
        <v>690</v>
      </c>
      <c r="D30" s="110"/>
      <c r="E30" s="10">
        <f>Globalfactors.csv!H28</f>
        <v>0.12</v>
      </c>
      <c r="G30" s="4"/>
      <c r="H30" t="s">
        <v>32</v>
      </c>
      <c r="I30" t="s">
        <v>670</v>
      </c>
      <c r="J30" t="s">
        <v>669</v>
      </c>
    </row>
    <row r="31" spans="1:12">
      <c r="A31" t="s">
        <v>418</v>
      </c>
      <c r="B31" t="s">
        <v>36</v>
      </c>
      <c r="D31" s="26">
        <f>D29*(1-0.12)</f>
        <v>0.27961534183821607</v>
      </c>
    </row>
    <row r="32" spans="1:12">
      <c r="A32" s="3" t="s">
        <v>34</v>
      </c>
      <c r="B32" s="16" t="s">
        <v>29</v>
      </c>
      <c r="D32" s="234">
        <f>D31*G32</f>
        <v>-193.53637621343967</v>
      </c>
      <c r="G32" s="294">
        <f>Globalfactors.csv!H5</f>
        <v>-692.15220789071998</v>
      </c>
      <c r="H32" t="s">
        <v>33</v>
      </c>
    </row>
    <row r="33" spans="1:10">
      <c r="A33" s="3" t="s">
        <v>707</v>
      </c>
      <c r="B33" s="16" t="s">
        <v>29</v>
      </c>
      <c r="G33" s="25"/>
    </row>
    <row r="34" spans="1:10" s="12" customFormat="1">
      <c r="A34" s="13" t="s">
        <v>35</v>
      </c>
      <c r="C34" s="107">
        <f>D40+D41</f>
        <v>140.80756</v>
      </c>
    </row>
    <row r="35" spans="1:10" s="6" customFormat="1">
      <c r="A35" s="88" t="s">
        <v>675</v>
      </c>
      <c r="C35" s="89"/>
      <c r="F35" s="220">
        <f>Parameters!D27</f>
        <v>0.27</v>
      </c>
    </row>
    <row r="36" spans="1:10" s="6" customFormat="1">
      <c r="A36" s="46" t="s">
        <v>674</v>
      </c>
      <c r="B36" s="6" t="s">
        <v>23</v>
      </c>
      <c r="C36" s="89"/>
      <c r="E36" s="10">
        <f>Globalfactors.csv!H29</f>
        <v>0.55000000000000004</v>
      </c>
      <c r="F36" s="219"/>
      <c r="H36" s="6" t="s">
        <v>10</v>
      </c>
      <c r="I36" s="6" t="s">
        <v>673</v>
      </c>
      <c r="J36" s="6" t="s">
        <v>389</v>
      </c>
    </row>
    <row r="37" spans="1:10" s="6" customFormat="1">
      <c r="A37" s="46" t="s">
        <v>390</v>
      </c>
      <c r="B37" s="6" t="s">
        <v>392</v>
      </c>
      <c r="D37" s="221">
        <f>F35*1000*(1-E36)</f>
        <v>121.49999999999999</v>
      </c>
    </row>
    <row r="38" spans="1:10" s="295" customFormat="1">
      <c r="A38" s="297" t="s">
        <v>680</v>
      </c>
      <c r="B38" s="295" t="s">
        <v>676</v>
      </c>
      <c r="D38" s="296"/>
      <c r="E38" s="295">
        <f>Globalfactors.csv!H30</f>
        <v>5.3999999999999999E-2</v>
      </c>
      <c r="H38" s="295" t="s">
        <v>10</v>
      </c>
      <c r="I38" s="298" t="s">
        <v>711</v>
      </c>
    </row>
    <row r="39" spans="1:10">
      <c r="A39" t="s">
        <v>705</v>
      </c>
      <c r="B39" t="s">
        <v>706</v>
      </c>
      <c r="D39" s="90">
        <f>D37*E38</f>
        <v>6.5609999999999991</v>
      </c>
    </row>
    <row r="40" spans="1:10">
      <c r="A40" t="s">
        <v>679</v>
      </c>
      <c r="B40" t="s">
        <v>29</v>
      </c>
      <c r="D40" s="87">
        <f>D39*Parameters!C19*Parameters!C6</f>
        <v>123.08435999999999</v>
      </c>
      <c r="F40" s="4"/>
      <c r="G40" s="4"/>
    </row>
    <row r="41" spans="1:10">
      <c r="A41" t="s">
        <v>391</v>
      </c>
      <c r="B41" t="s">
        <v>29</v>
      </c>
      <c r="D41" s="87">
        <f>D43+D46</f>
        <v>17.723199999999999</v>
      </c>
      <c r="F41" s="4"/>
      <c r="G41" s="4"/>
    </row>
    <row r="42" spans="1:10">
      <c r="A42" t="s">
        <v>124</v>
      </c>
      <c r="B42" t="s">
        <v>393</v>
      </c>
      <c r="C42" s="5"/>
      <c r="F42" s="8">
        <f>Parameters!G34</f>
        <v>5600</v>
      </c>
      <c r="G42" s="4"/>
    </row>
    <row r="43" spans="1:10">
      <c r="A43" t="s">
        <v>681</v>
      </c>
      <c r="B43" t="s">
        <v>29</v>
      </c>
      <c r="D43" s="9">
        <f>F42/1000*Parameters!C$16*Parameters!$C$5*E43</f>
        <v>11.659999999999998</v>
      </c>
      <c r="E43" s="10">
        <v>5.0000000000000001E-3</v>
      </c>
      <c r="G43" s="4"/>
      <c r="H43" t="s">
        <v>41</v>
      </c>
      <c r="I43" s="2" t="s">
        <v>42</v>
      </c>
    </row>
    <row r="44" spans="1:10">
      <c r="A44" t="s">
        <v>695</v>
      </c>
      <c r="B44" t="s">
        <v>684</v>
      </c>
      <c r="D44" s="9"/>
      <c r="E44" s="10">
        <v>0.26</v>
      </c>
      <c r="G44" s="6"/>
      <c r="H44" t="s">
        <v>432</v>
      </c>
      <c r="I44" s="2"/>
    </row>
    <row r="45" spans="1:10">
      <c r="A45" t="s">
        <v>698</v>
      </c>
      <c r="B45" t="s">
        <v>683</v>
      </c>
      <c r="E45" s="10">
        <f>0.01</f>
        <v>0.01</v>
      </c>
      <c r="G45" s="6"/>
      <c r="H45" t="s">
        <v>424</v>
      </c>
      <c r="I45" s="2" t="s">
        <v>43</v>
      </c>
    </row>
    <row r="46" spans="1:10">
      <c r="A46" t="s">
        <v>682</v>
      </c>
      <c r="B46" t="s">
        <v>29</v>
      </c>
      <c r="D46" s="9">
        <f>E45/1000*F42*E44*Parameters!C16*Parameters!C5</f>
        <v>6.0632000000000001</v>
      </c>
    </row>
    <row r="47" spans="1:10" s="3" customFormat="1">
      <c r="A47" s="3" t="s">
        <v>709</v>
      </c>
      <c r="B47" s="3" t="s">
        <v>29</v>
      </c>
      <c r="D47" s="20"/>
    </row>
    <row r="48" spans="1:10" s="12" customFormat="1">
      <c r="A48" s="13" t="s">
        <v>37</v>
      </c>
      <c r="C48" s="107">
        <f>D52+D57</f>
        <v>33.688493027320007</v>
      </c>
    </row>
    <row r="49" spans="1:11" s="6" customFormat="1">
      <c r="A49" s="46" t="s">
        <v>886</v>
      </c>
      <c r="B49" s="6" t="s">
        <v>883</v>
      </c>
      <c r="G49" s="268">
        <f>Globalfactors.csv!H8</f>
        <v>0.3</v>
      </c>
      <c r="H49" s="6" t="s">
        <v>884</v>
      </c>
      <c r="I49" s="6" t="s">
        <v>888</v>
      </c>
      <c r="J49" s="6" t="s">
        <v>885</v>
      </c>
    </row>
    <row r="50" spans="1:11" s="6" customFormat="1">
      <c r="A50" s="46" t="s">
        <v>887</v>
      </c>
      <c r="B50" s="6" t="s">
        <v>12</v>
      </c>
      <c r="E50" s="230">
        <f>Globalfactors.csv!H34</f>
        <v>10</v>
      </c>
      <c r="G50" s="10"/>
    </row>
    <row r="51" spans="1:11" s="6" customFormat="1">
      <c r="A51" s="46" t="s">
        <v>889</v>
      </c>
      <c r="B51" s="6" t="s">
        <v>890</v>
      </c>
      <c r="D51" s="6">
        <f>E50*G49</f>
        <v>3</v>
      </c>
      <c r="E51" s="230"/>
      <c r="G51" s="10"/>
    </row>
    <row r="52" spans="1:11" s="295" customFormat="1">
      <c r="A52" s="295" t="s">
        <v>696</v>
      </c>
      <c r="B52" s="295" t="s">
        <v>29</v>
      </c>
      <c r="D52" s="296">
        <f>E50*G49*(Globalfactors.csv!H4+Globalfactors.csv!H3)</f>
        <v>9.5114830273200006</v>
      </c>
      <c r="H52" s="295" t="s">
        <v>44</v>
      </c>
      <c r="I52" s="295" t="s">
        <v>697</v>
      </c>
    </row>
    <row r="53" spans="1:11">
      <c r="A53" t="s">
        <v>46</v>
      </c>
      <c r="B53" t="s">
        <v>53</v>
      </c>
      <c r="D53" s="92">
        <f>F42*(1-E43-E44-E53)</f>
        <v>4004</v>
      </c>
      <c r="E53" s="10">
        <v>0.02</v>
      </c>
      <c r="G53" s="4"/>
      <c r="H53" t="s">
        <v>427</v>
      </c>
      <c r="J53" t="s">
        <v>425</v>
      </c>
    </row>
    <row r="54" spans="1:11">
      <c r="A54" t="s">
        <v>693</v>
      </c>
      <c r="B54" t="s">
        <v>683</v>
      </c>
      <c r="D54" s="9">
        <f>D53*Parameters!C$16*Parameters!$C$5/1000*E54</f>
        <v>20.842250000000003</v>
      </c>
      <c r="E54" s="10">
        <f>Globalfactors.csv!H38</f>
        <v>1.2500000000000001E-2</v>
      </c>
      <c r="H54" t="s">
        <v>426</v>
      </c>
    </row>
    <row r="55" spans="1:11">
      <c r="A55" t="s">
        <v>694</v>
      </c>
      <c r="B55" t="s">
        <v>684</v>
      </c>
      <c r="D55" s="9"/>
      <c r="E55" s="10">
        <f>Globalfactors.csv!H39</f>
        <v>0.2</v>
      </c>
      <c r="H55" t="s">
        <v>691</v>
      </c>
    </row>
    <row r="56" spans="1:11">
      <c r="A56" t="s">
        <v>698</v>
      </c>
      <c r="B56" t="s">
        <v>683</v>
      </c>
      <c r="D56" s="9">
        <f>E56*E55*D53*Parameters!C16*Parameters!C5/1000</f>
        <v>3.3347600000000002</v>
      </c>
      <c r="E56" s="10">
        <f>0.01</f>
        <v>0.01</v>
      </c>
      <c r="H56" t="s">
        <v>692</v>
      </c>
    </row>
    <row r="57" spans="1:11">
      <c r="A57" t="s">
        <v>391</v>
      </c>
      <c r="B57" t="s">
        <v>29</v>
      </c>
      <c r="D57" s="18">
        <f>D54+D56</f>
        <v>24.177010000000003</v>
      </c>
    </row>
    <row r="58" spans="1:11" s="13" customFormat="1">
      <c r="A58" s="13" t="s">
        <v>431</v>
      </c>
      <c r="C58" s="40">
        <f>C72</f>
        <v>-26.552952148809812</v>
      </c>
      <c r="D58" s="107"/>
    </row>
    <row r="59" spans="1:11" s="116" customFormat="1" ht="14">
      <c r="A59" s="116" t="s">
        <v>480</v>
      </c>
      <c r="B59" s="116" t="s">
        <v>704</v>
      </c>
      <c r="C59" s="210"/>
      <c r="D59" s="210"/>
      <c r="F59" s="218">
        <f>Parameters!J27</f>
        <v>145.73955722402675</v>
      </c>
      <c r="H59" s="116" t="s">
        <v>661</v>
      </c>
      <c r="I59" s="116" t="s">
        <v>701</v>
      </c>
      <c r="J59" s="116" t="s">
        <v>700</v>
      </c>
    </row>
    <row r="60" spans="1:11" s="116" customFormat="1" ht="14">
      <c r="A60" s="116" t="s">
        <v>712</v>
      </c>
      <c r="B60" s="116" t="s">
        <v>703</v>
      </c>
      <c r="C60" s="210"/>
      <c r="D60" s="210"/>
      <c r="F60" s="204">
        <f>Parameters!O27</f>
        <v>0.84099999999999997</v>
      </c>
      <c r="I60" s="116">
        <f>+-3%</f>
        <v>-0.03</v>
      </c>
    </row>
    <row r="61" spans="1:11" s="47" customFormat="1">
      <c r="A61" s="116" t="s">
        <v>972</v>
      </c>
      <c r="B61" s="228" t="s">
        <v>702</v>
      </c>
      <c r="C61" s="315"/>
      <c r="D61" s="280">
        <f>F59*(1-F60)</f>
        <v>23.172589598620259</v>
      </c>
      <c r="F61" s="169">
        <f>D61/F59</f>
        <v>0.15900000000000003</v>
      </c>
      <c r="J61" s="263" t="s">
        <v>905</v>
      </c>
      <c r="K61" s="190"/>
    </row>
    <row r="62" spans="1:11" s="190" customFormat="1">
      <c r="A62" s="311" t="s">
        <v>900</v>
      </c>
      <c r="B62" s="190" t="s">
        <v>22</v>
      </c>
      <c r="D62" s="312">
        <f>F17</f>
        <v>81.188999999999993</v>
      </c>
      <c r="F62" s="313"/>
      <c r="J62" s="190" t="s">
        <v>974</v>
      </c>
    </row>
    <row r="63" spans="1:11" s="190" customFormat="1">
      <c r="A63" s="311" t="s">
        <v>900</v>
      </c>
      <c r="B63" s="190" t="s">
        <v>588</v>
      </c>
      <c r="D63" s="312">
        <f>D62*Parameters!C19</f>
        <v>54.396630000000002</v>
      </c>
      <c r="F63" s="321"/>
      <c r="G63" s="321"/>
    </row>
    <row r="64" spans="1:11" s="2" customFormat="1">
      <c r="A64" s="311" t="s">
        <v>992</v>
      </c>
      <c r="B64" s="2" t="s">
        <v>1045</v>
      </c>
      <c r="D64" s="314">
        <f>(D63)*F64</f>
        <v>40.797472499999998</v>
      </c>
      <c r="F64" s="2">
        <f>12/16</f>
        <v>0.75</v>
      </c>
      <c r="G64" s="2" t="s">
        <v>1040</v>
      </c>
    </row>
    <row r="65" spans="1:10" s="190" customFormat="1">
      <c r="A65" s="311" t="s">
        <v>1037</v>
      </c>
      <c r="B65" s="190" t="s">
        <v>22</v>
      </c>
      <c r="D65" s="312">
        <f>D62/0.6</f>
        <v>135.315</v>
      </c>
      <c r="F65" s="321"/>
      <c r="G65" s="321"/>
    </row>
    <row r="66" spans="1:10" s="2" customFormat="1">
      <c r="A66" s="311" t="s">
        <v>1038</v>
      </c>
      <c r="B66" s="2" t="s">
        <v>975</v>
      </c>
      <c r="D66" s="314">
        <f>D62/0.6*0.4</f>
        <v>54.126000000000005</v>
      </c>
      <c r="E66" s="177"/>
      <c r="J66" s="2" t="s">
        <v>899</v>
      </c>
    </row>
    <row r="67" spans="1:10">
      <c r="A67" s="311" t="s">
        <v>1038</v>
      </c>
      <c r="B67" s="190" t="s">
        <v>1039</v>
      </c>
      <c r="D67" s="86">
        <f>D66*F67</f>
        <v>107.16948000000001</v>
      </c>
      <c r="F67" s="2">
        <v>1.98</v>
      </c>
      <c r="G67" s="2" t="s">
        <v>993</v>
      </c>
    </row>
    <row r="68" spans="1:10" s="2" customFormat="1">
      <c r="A68" s="311" t="s">
        <v>991</v>
      </c>
      <c r="B68" s="2" t="s">
        <v>1044</v>
      </c>
      <c r="D68" s="314">
        <f>D67*F68</f>
        <v>29.22804</v>
      </c>
      <c r="F68" s="2">
        <f>12/44</f>
        <v>0.27272727272727271</v>
      </c>
      <c r="G68" s="2" t="s">
        <v>1041</v>
      </c>
    </row>
    <row r="69" spans="1:10" s="2" customFormat="1">
      <c r="A69" s="311" t="s">
        <v>1042</v>
      </c>
      <c r="B69" s="2" t="s">
        <v>1043</v>
      </c>
      <c r="D69" s="314">
        <f>D39*Parameters!C19/Parameters!C18</f>
        <v>3.2969024999999998</v>
      </c>
    </row>
    <row r="70" spans="1:10" s="2" customFormat="1">
      <c r="A70" s="311" t="s">
        <v>901</v>
      </c>
      <c r="B70" s="2" t="s">
        <v>902</v>
      </c>
      <c r="D70" s="177">
        <f>F59-D64-D68-D69</f>
        <v>72.417142224026762</v>
      </c>
      <c r="G70" s="177"/>
    </row>
    <row r="71" spans="1:10">
      <c r="A71" s="116" t="s">
        <v>995</v>
      </c>
      <c r="B71" s="15" t="s">
        <v>996</v>
      </c>
      <c r="D71" s="86">
        <f>D70*F71</f>
        <v>7.2417142224026767</v>
      </c>
      <c r="F71" s="10">
        <f>0.1</f>
        <v>0.1</v>
      </c>
      <c r="G71" s="53"/>
      <c r="I71" t="s">
        <v>904</v>
      </c>
      <c r="J71" t="s">
        <v>976</v>
      </c>
    </row>
    <row r="72" spans="1:10">
      <c r="A72" s="311" t="s">
        <v>994</v>
      </c>
      <c r="B72" s="2" t="s">
        <v>29</v>
      </c>
      <c r="C72" s="86">
        <f>D71*-44/12</f>
        <v>-26.552952148809812</v>
      </c>
      <c r="E72" s="53">
        <f>D71/F59</f>
        <v>4.9689421049021833E-2</v>
      </c>
      <c r="H72" s="2" t="s">
        <v>997</v>
      </c>
    </row>
    <row r="73" spans="1:10" s="44" customFormat="1">
      <c r="A73" s="45" t="s">
        <v>384</v>
      </c>
      <c r="C73" s="183">
        <f>C14+C34+C48+C58+C10</f>
        <v>12.563318912536516</v>
      </c>
    </row>
    <row r="74" spans="1:10" s="45" customFormat="1">
      <c r="A74" s="45" t="s">
        <v>109</v>
      </c>
    </row>
    <row r="75" spans="1:10">
      <c r="A75" t="s">
        <v>46</v>
      </c>
      <c r="C75" s="91"/>
      <c r="D75" s="93">
        <f>D53-D53*E54-D53*E55-D53*0.02</f>
        <v>3073.0699999999997</v>
      </c>
    </row>
    <row r="76" spans="1:10" s="6" customFormat="1">
      <c r="A76" s="6" t="s">
        <v>397</v>
      </c>
      <c r="B76" s="6" t="s">
        <v>47</v>
      </c>
      <c r="D76" s="18">
        <f>D75*E76</f>
        <v>1229.2280000000001</v>
      </c>
      <c r="E76" s="10">
        <v>0.4</v>
      </c>
      <c r="H76" s="94">
        <f>-'[2]Fertilizer literature'!I1</f>
        <v>0</v>
      </c>
      <c r="I76" s="6" t="s">
        <v>428</v>
      </c>
    </row>
    <row r="77" spans="1:10">
      <c r="A77" t="s">
        <v>395</v>
      </c>
      <c r="B77" t="s">
        <v>396</v>
      </c>
      <c r="D77" s="18">
        <f>G77*D76/1000</f>
        <v>-8.3587504000000017</v>
      </c>
      <c r="G77" s="4">
        <f>Globalfactors.csv!H6</f>
        <v>-6.8</v>
      </c>
      <c r="I77" t="s">
        <v>429</v>
      </c>
    </row>
    <row r="78" spans="1:10">
      <c r="A78" t="s">
        <v>400</v>
      </c>
      <c r="B78" t="s">
        <v>396</v>
      </c>
      <c r="D78" s="18">
        <f>G78*D76/1000</f>
        <v>-6.6378312000000008</v>
      </c>
      <c r="G78">
        <v>-5.4</v>
      </c>
      <c r="I78" t="s">
        <v>430</v>
      </c>
    </row>
    <row r="79" spans="1:10" s="3" customFormat="1">
      <c r="A79" s="3" t="s">
        <v>708</v>
      </c>
      <c r="B79" s="3" t="s">
        <v>29</v>
      </c>
      <c r="C79" s="20">
        <f>D77+D78</f>
        <v>-14.996581600000003</v>
      </c>
      <c r="D79" s="235"/>
    </row>
    <row r="80" spans="1:10" s="6" customFormat="1">
      <c r="A80" s="88" t="s">
        <v>710</v>
      </c>
      <c r="C80" s="236">
        <f>C73+C79</f>
        <v>-2.4332626874634862</v>
      </c>
      <c r="D80" s="7"/>
    </row>
    <row r="81" spans="1:8" s="6" customFormat="1">
      <c r="A81" s="88"/>
      <c r="C81" s="108"/>
    </row>
    <row r="82" spans="1:8" s="6" customFormat="1">
      <c r="A82" s="88"/>
      <c r="C82" s="108"/>
    </row>
    <row r="83" spans="1:8">
      <c r="C83" s="86"/>
    </row>
    <row r="84" spans="1:8">
      <c r="A84" s="7"/>
      <c r="C84" s="86"/>
      <c r="E84" s="7"/>
    </row>
    <row r="85" spans="1:8">
      <c r="A85" s="7" t="s">
        <v>433</v>
      </c>
      <c r="H85" s="104"/>
    </row>
    <row r="86" spans="1:8">
      <c r="A86" s="7"/>
    </row>
    <row r="91" spans="1:8" ht="16">
      <c r="F91" s="75"/>
      <c r="G91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25</v>
      </c>
      <c r="D1" s="43" t="s">
        <v>112</v>
      </c>
      <c r="E1" s="43" t="s">
        <v>765</v>
      </c>
      <c r="F1" s="43" t="s">
        <v>653</v>
      </c>
      <c r="G1" s="43" t="s">
        <v>652</v>
      </c>
      <c r="H1" s="43" t="s">
        <v>2</v>
      </c>
      <c r="I1" s="43" t="s">
        <v>635</v>
      </c>
      <c r="J1" s="43" t="s">
        <v>5</v>
      </c>
      <c r="S1" s="27">
        <v>3.7854100000000002</v>
      </c>
      <c r="T1" s="111" t="s">
        <v>441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140</v>
      </c>
      <c r="H4" s="81" t="s">
        <v>385</v>
      </c>
      <c r="I4" s="52" t="s">
        <v>83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29</v>
      </c>
      <c r="C6" s="17">
        <f>E5*F3</f>
        <v>4.28</v>
      </c>
      <c r="H6" s="5" t="s">
        <v>18</v>
      </c>
    </row>
    <row r="7" spans="1:20" s="12" customFormat="1">
      <c r="A7" s="13" t="s">
        <v>37</v>
      </c>
      <c r="C7" s="281">
        <f>C10+C12</f>
        <v>52.836966054640001</v>
      </c>
    </row>
    <row r="8" spans="1:20" s="6" customFormat="1">
      <c r="A8" s="46" t="s">
        <v>891</v>
      </c>
      <c r="B8" s="6" t="s">
        <v>883</v>
      </c>
      <c r="C8" s="229"/>
      <c r="E8" s="232">
        <f>Globalfactors.csv!H8</f>
        <v>0.3</v>
      </c>
    </row>
    <row r="9" spans="1:20" s="6" customFormat="1">
      <c r="A9" s="46" t="s">
        <v>887</v>
      </c>
      <c r="B9" s="6" t="s">
        <v>12</v>
      </c>
      <c r="C9" s="229"/>
      <c r="E9" s="5">
        <f>Globalfactors.csv!H37</f>
        <v>20</v>
      </c>
    </row>
    <row r="10" spans="1:20">
      <c r="A10" t="s">
        <v>45</v>
      </c>
      <c r="B10" t="s">
        <v>29</v>
      </c>
      <c r="C10" s="9">
        <f>E9*E8*(Globalfactors.csv!H3+Globalfactors.csv!H4)</f>
        <v>19.022966054640001</v>
      </c>
      <c r="G10" s="237" t="s">
        <v>713</v>
      </c>
      <c r="H10" t="s">
        <v>44</v>
      </c>
    </row>
    <row r="11" spans="1:20">
      <c r="A11" t="s">
        <v>401</v>
      </c>
      <c r="B11" t="s">
        <v>53</v>
      </c>
      <c r="D11" s="92"/>
      <c r="F11" s="8">
        <f>Parameters!G34</f>
        <v>5600</v>
      </c>
      <c r="H11" t="s">
        <v>394</v>
      </c>
    </row>
    <row r="12" spans="1:20">
      <c r="A12" t="s">
        <v>391</v>
      </c>
      <c r="B12" t="s">
        <v>29</v>
      </c>
      <c r="C12" s="18">
        <f>D14+D17</f>
        <v>33.814</v>
      </c>
    </row>
    <row r="13" spans="1:20">
      <c r="A13" t="s">
        <v>693</v>
      </c>
      <c r="B13" t="s">
        <v>683</v>
      </c>
      <c r="C13" s="18"/>
      <c r="E13" s="4">
        <v>1.2500000000000001E-2</v>
      </c>
      <c r="H13" t="s">
        <v>426</v>
      </c>
    </row>
    <row r="14" spans="1:20">
      <c r="A14" t="s">
        <v>39</v>
      </c>
      <c r="B14" t="s">
        <v>29</v>
      </c>
      <c r="D14" s="9">
        <f>F11*Parameters!C$16*Parameters!$C$5/1000*E13</f>
        <v>29.150000000000002</v>
      </c>
    </row>
    <row r="15" spans="1:20">
      <c r="A15" t="s">
        <v>698</v>
      </c>
      <c r="B15" t="s">
        <v>683</v>
      </c>
      <c r="D15" s="9"/>
      <c r="E15" s="4">
        <v>0.01</v>
      </c>
      <c r="H15" t="s">
        <v>692</v>
      </c>
    </row>
    <row r="16" spans="1:20">
      <c r="A16" t="s">
        <v>694</v>
      </c>
      <c r="B16" t="s">
        <v>684</v>
      </c>
      <c r="D16" s="9"/>
      <c r="E16" s="10">
        <v>0.2</v>
      </c>
      <c r="H16" t="s">
        <v>691</v>
      </c>
    </row>
    <row r="17" spans="1:11">
      <c r="A17" t="s">
        <v>40</v>
      </c>
      <c r="B17" t="s">
        <v>29</v>
      </c>
      <c r="D17" s="9">
        <f>F11*Parameters!C$16*Parameters!$C$5/1000*E15*E16</f>
        <v>4.6640000000000006</v>
      </c>
    </row>
    <row r="18" spans="1:11" s="13" customFormat="1">
      <c r="A18" s="13" t="s">
        <v>431</v>
      </c>
      <c r="D18" s="107"/>
    </row>
    <row r="19" spans="1:11" s="116" customFormat="1" ht="14">
      <c r="A19" s="116" t="s">
        <v>480</v>
      </c>
      <c r="B19" s="116" t="s">
        <v>704</v>
      </c>
      <c r="C19" s="210"/>
      <c r="D19" s="210"/>
      <c r="F19" s="218">
        <f>Parameters!J27</f>
        <v>145.73955722402675</v>
      </c>
      <c r="H19" s="116" t="s">
        <v>661</v>
      </c>
      <c r="I19" s="116" t="s">
        <v>701</v>
      </c>
      <c r="J19" s="116" t="s">
        <v>700</v>
      </c>
    </row>
    <row r="20" spans="1:11" s="116" customFormat="1" ht="14">
      <c r="A20" s="116" t="s">
        <v>760</v>
      </c>
      <c r="C20" s="210"/>
      <c r="D20" s="210"/>
      <c r="E20" s="116">
        <v>1</v>
      </c>
      <c r="F20" s="218"/>
    </row>
    <row r="21" spans="1:11" s="116" customFormat="1" ht="14">
      <c r="A21" s="116" t="s">
        <v>712</v>
      </c>
      <c r="B21" s="116" t="s">
        <v>703</v>
      </c>
      <c r="C21" s="210"/>
      <c r="D21" s="210"/>
      <c r="F21" s="204">
        <f>Parameters!O27</f>
        <v>0.84099999999999997</v>
      </c>
      <c r="I21" s="116">
        <f>+-3%</f>
        <v>-0.03</v>
      </c>
    </row>
    <row r="22" spans="1:11" s="47" customFormat="1" ht="14">
      <c r="A22" s="116" t="s">
        <v>533</v>
      </c>
      <c r="B22" s="228" t="s">
        <v>702</v>
      </c>
      <c r="D22" s="210">
        <f>F19*(1-F21)</f>
        <v>23.172589598620259</v>
      </c>
      <c r="F22" s="169"/>
      <c r="J22" s="203" t="s">
        <v>660</v>
      </c>
      <c r="K22" s="190"/>
    </row>
    <row r="23" spans="1:11">
      <c r="A23" s="116" t="s">
        <v>903</v>
      </c>
      <c r="C23" s="231">
        <f>-D23*Parameters!C17</f>
        <v>-59.47631330312533</v>
      </c>
      <c r="D23" s="86">
        <f>D22*(F23)</f>
        <v>16.220812719034182</v>
      </c>
      <c r="E23">
        <v>1</v>
      </c>
      <c r="F23" s="10">
        <f>Globalfactors.csv!H48</f>
        <v>0.7</v>
      </c>
      <c r="G23" s="53">
        <f>D23/F19</f>
        <v>0.11130000000000002</v>
      </c>
      <c r="H23" t="s">
        <v>914</v>
      </c>
      <c r="I23" t="s">
        <v>904</v>
      </c>
      <c r="J23" t="s">
        <v>906</v>
      </c>
    </row>
    <row r="24" spans="1:11" s="44" customFormat="1">
      <c r="A24" s="45" t="s">
        <v>384</v>
      </c>
      <c r="C24" s="183">
        <f>C23+C7</f>
        <v>-6.6393472484853291</v>
      </c>
    </row>
    <row r="25" spans="1:11" s="45" customFormat="1">
      <c r="A25" s="45" t="s">
        <v>109</v>
      </c>
      <c r="C25" s="239">
        <f>D29+D30</f>
        <v>-20.974240000000002</v>
      </c>
    </row>
    <row r="26" spans="1:11" s="45" customFormat="1">
      <c r="A26" s="88" t="s">
        <v>427</v>
      </c>
      <c r="B26" s="88" t="s">
        <v>23</v>
      </c>
      <c r="C26" s="238"/>
      <c r="D26" s="88"/>
      <c r="E26" s="88"/>
      <c r="F26" s="10">
        <v>0.02</v>
      </c>
      <c r="G26" s="4"/>
      <c r="H26" t="s">
        <v>427</v>
      </c>
      <c r="I26"/>
      <c r="J26"/>
    </row>
    <row r="27" spans="1:11">
      <c r="A27" t="s">
        <v>46</v>
      </c>
      <c r="B27" t="s">
        <v>610</v>
      </c>
      <c r="C27" s="91"/>
      <c r="D27" s="93">
        <f>F11-F11*E13-F11*E16-F11*F26</f>
        <v>4298</v>
      </c>
      <c r="F27">
        <v>0.02</v>
      </c>
    </row>
    <row r="28" spans="1:11">
      <c r="A28" t="s">
        <v>397</v>
      </c>
      <c r="B28" t="s">
        <v>47</v>
      </c>
      <c r="D28" s="9">
        <f>D27*F28</f>
        <v>1719.2</v>
      </c>
      <c r="F28" s="4">
        <f>Globalfactors.csv!H7</f>
        <v>0.4</v>
      </c>
      <c r="G28" s="94"/>
      <c r="H28" t="s">
        <v>398</v>
      </c>
    </row>
    <row r="29" spans="1:11">
      <c r="A29" t="s">
        <v>603</v>
      </c>
      <c r="B29" t="s">
        <v>396</v>
      </c>
      <c r="D29" s="9">
        <f>F29*D28/1000</f>
        <v>-11.69056</v>
      </c>
      <c r="F29" s="4">
        <v>-6.8</v>
      </c>
      <c r="G29" t="s">
        <v>608</v>
      </c>
      <c r="H29" t="s">
        <v>399</v>
      </c>
    </row>
    <row r="30" spans="1:11">
      <c r="A30" t="s">
        <v>535</v>
      </c>
      <c r="B30" t="s">
        <v>396</v>
      </c>
      <c r="D30" s="9">
        <f>F30*D28/1000</f>
        <v>-9.2836800000000004</v>
      </c>
      <c r="F30" s="10">
        <f>AD!G78</f>
        <v>-5.4</v>
      </c>
      <c r="G30" t="s">
        <v>607</v>
      </c>
      <c r="H30" t="s">
        <v>430</v>
      </c>
    </row>
    <row r="31" spans="1:11">
      <c r="A31" t="s">
        <v>604</v>
      </c>
      <c r="B31" t="s">
        <v>605</v>
      </c>
      <c r="D31" s="9">
        <f>F31*D28/1000</f>
        <v>3.4384000000000001</v>
      </c>
      <c r="F31" s="10">
        <v>2</v>
      </c>
      <c r="G31" t="s">
        <v>714</v>
      </c>
    </row>
    <row r="32" spans="1:11">
      <c r="A32" t="s">
        <v>602</v>
      </c>
      <c r="D32" s="9"/>
      <c r="F32" s="4">
        <v>0.75</v>
      </c>
      <c r="G32" t="s">
        <v>714</v>
      </c>
    </row>
    <row r="33" spans="1:3" s="44" customFormat="1">
      <c r="A33" s="45" t="s">
        <v>384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3" workbookViewId="0">
      <selection activeCell="A24" sqref="A24:XFD24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25</v>
      </c>
      <c r="D1" s="43" t="s">
        <v>112</v>
      </c>
      <c r="E1" s="43" t="s">
        <v>768</v>
      </c>
      <c r="F1" s="43" t="s">
        <v>653</v>
      </c>
      <c r="G1" s="43" t="s">
        <v>652</v>
      </c>
      <c r="H1" s="43" t="s">
        <v>2</v>
      </c>
      <c r="I1" s="43" t="s">
        <v>635</v>
      </c>
      <c r="J1" s="43" t="s">
        <v>5</v>
      </c>
      <c r="S1" s="27">
        <v>3.7854100000000002</v>
      </c>
      <c r="T1" s="111" t="s">
        <v>441</v>
      </c>
    </row>
    <row r="2" spans="1:20" s="43" customFormat="1" ht="45">
      <c r="B2" s="43" t="s">
        <v>14</v>
      </c>
      <c r="C2" s="43" t="s">
        <v>25</v>
      </c>
      <c r="D2" s="43" t="s">
        <v>112</v>
      </c>
      <c r="E2" s="43" t="s">
        <v>113</v>
      </c>
      <c r="F2" s="43" t="s">
        <v>114</v>
      </c>
      <c r="H2" s="43" t="s">
        <v>2</v>
      </c>
      <c r="I2" s="43" t="s">
        <v>635</v>
      </c>
      <c r="J2" s="43" t="s">
        <v>5</v>
      </c>
    </row>
    <row r="3" spans="1:20" s="12" customFormat="1" hidden="1">
      <c r="A3" s="13" t="s">
        <v>437</v>
      </c>
      <c r="C3" s="11">
        <f>C7</f>
        <v>4.28</v>
      </c>
      <c r="D3" s="11"/>
      <c r="E3" s="11"/>
    </row>
    <row r="4" spans="1:20" hidden="1">
      <c r="A4" t="s">
        <v>423</v>
      </c>
      <c r="B4" t="s">
        <v>4</v>
      </c>
      <c r="F4" s="10">
        <v>0.107</v>
      </c>
      <c r="G4" s="10"/>
      <c r="H4" s="1" t="s">
        <v>7</v>
      </c>
      <c r="I4" s="1"/>
      <c r="J4" s="6" t="s">
        <v>386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438</v>
      </c>
      <c r="J6" t="s">
        <v>439</v>
      </c>
    </row>
    <row r="7" spans="1:20" hidden="1">
      <c r="A7" s="16" t="s">
        <v>15</v>
      </c>
      <c r="B7" s="16" t="s">
        <v>29</v>
      </c>
      <c r="C7" s="17">
        <f>E5*F4</f>
        <v>4.28</v>
      </c>
      <c r="J7" s="5" t="s">
        <v>18</v>
      </c>
    </row>
    <row r="8" spans="1:20" s="41" customFormat="1" hidden="1">
      <c r="A8" s="41" t="s">
        <v>110</v>
      </c>
    </row>
    <row r="9" spans="1:20" hidden="1">
      <c r="A9" t="s">
        <v>119</v>
      </c>
      <c r="F9">
        <f>118*0.021*16/12</f>
        <v>3.3040000000000003</v>
      </c>
      <c r="J9" t="s">
        <v>434</v>
      </c>
    </row>
    <row r="10" spans="1:20" hidden="1">
      <c r="A10" t="s">
        <v>120</v>
      </c>
      <c r="J10" t="s">
        <v>435</v>
      </c>
    </row>
    <row r="11" spans="1:20" hidden="1">
      <c r="A11" t="s">
        <v>121</v>
      </c>
      <c r="J11" t="s">
        <v>122</v>
      </c>
    </row>
    <row r="12" spans="1:20" s="13" customFormat="1">
      <c r="A12" s="13" t="s">
        <v>576</v>
      </c>
      <c r="C12" s="40">
        <f>C14+C15</f>
        <v>9.523757207320001</v>
      </c>
    </row>
    <row r="13" spans="1:20" s="46" customFormat="1">
      <c r="A13" s="46" t="s">
        <v>586</v>
      </c>
      <c r="B13" s="46" t="s">
        <v>458</v>
      </c>
      <c r="C13" s="109"/>
      <c r="E13" s="269">
        <f>Globalfactors.csv!H43</f>
        <v>3</v>
      </c>
      <c r="H13" s="46" t="s">
        <v>534</v>
      </c>
      <c r="I13" s="46">
        <f>Globalfactors.csv!I43</f>
        <v>0.4</v>
      </c>
      <c r="J13" s="192" t="s">
        <v>960</v>
      </c>
    </row>
    <row r="14" spans="1:20" s="46" customFormat="1">
      <c r="A14" s="46" t="s">
        <v>587</v>
      </c>
      <c r="B14" s="46" t="s">
        <v>29</v>
      </c>
      <c r="C14" s="173">
        <f>E13*F14</f>
        <v>9.5114830273200006</v>
      </c>
      <c r="F14" s="46">
        <f>'Landfill '!G4+'Landfill '!G5</f>
        <v>3.1704943424400001</v>
      </c>
      <c r="H14" s="46" t="s">
        <v>575</v>
      </c>
      <c r="J14" s="46" t="s">
        <v>585</v>
      </c>
    </row>
    <row r="15" spans="1:20" s="46" customFormat="1">
      <c r="A15" s="46" t="s">
        <v>961</v>
      </c>
      <c r="B15" s="46" t="s">
        <v>29</v>
      </c>
      <c r="C15" s="173">
        <f>E15/1000*Parameters!C14</f>
        <v>1.2274179999999999E-2</v>
      </c>
      <c r="E15" s="46">
        <f>Globalfactors.csv!H44</f>
        <v>2.3E-2</v>
      </c>
      <c r="H15" s="46" t="s">
        <v>964</v>
      </c>
    </row>
    <row r="16" spans="1:20" s="13" customFormat="1">
      <c r="A16" s="13" t="s">
        <v>436</v>
      </c>
      <c r="C16" s="40">
        <f>C22+C27</f>
        <v>81.854229962770901</v>
      </c>
    </row>
    <row r="17" spans="1:11">
      <c r="A17" s="15" t="s">
        <v>480</v>
      </c>
      <c r="B17" s="15" t="s">
        <v>443</v>
      </c>
      <c r="C17" s="2"/>
      <c r="D17" s="2"/>
      <c r="F17" s="191">
        <f>Parameters!J27</f>
        <v>145.73955722402675</v>
      </c>
      <c r="I17" t="s">
        <v>577</v>
      </c>
      <c r="J17" s="5"/>
    </row>
    <row r="18" spans="1:11">
      <c r="A18" s="15" t="s">
        <v>715</v>
      </c>
      <c r="B18" s="15" t="s">
        <v>595</v>
      </c>
      <c r="C18" s="2"/>
      <c r="D18" s="177">
        <f>F17*E18</f>
        <v>84.528943189935518</v>
      </c>
      <c r="E18" s="4">
        <f>Globalfactors.csv!H45</f>
        <v>0.57999999999999996</v>
      </c>
      <c r="H18" t="s">
        <v>534</v>
      </c>
      <c r="I18">
        <f>Globalfactors.csv!I45</f>
        <v>0.4</v>
      </c>
      <c r="J18" s="6" t="s">
        <v>776</v>
      </c>
    </row>
    <row r="19" spans="1:11">
      <c r="A19" s="15" t="s">
        <v>856</v>
      </c>
      <c r="B19" s="15" t="s">
        <v>779</v>
      </c>
      <c r="C19" s="2"/>
      <c r="D19" s="177"/>
      <c r="E19" s="4">
        <f>Globalfactors.csv!H46</f>
        <v>0.02</v>
      </c>
      <c r="J19" s="6"/>
    </row>
    <row r="20" spans="1:11">
      <c r="A20" s="15" t="s">
        <v>578</v>
      </c>
      <c r="B20" s="15" t="s">
        <v>717</v>
      </c>
      <c r="C20" s="2"/>
      <c r="D20" s="240">
        <f>D18*E19</f>
        <v>1.6905788637987105</v>
      </c>
      <c r="H20" s="6" t="s">
        <v>589</v>
      </c>
      <c r="I20" s="6"/>
      <c r="J20" s="5" t="s">
        <v>951</v>
      </c>
    </row>
    <row r="21" spans="1:11">
      <c r="A21" s="15" t="s">
        <v>578</v>
      </c>
      <c r="B21" s="15" t="s">
        <v>588</v>
      </c>
      <c r="C21" s="2"/>
      <c r="D21" s="175">
        <f>D20*Parameters!C18</f>
        <v>2.254105151731614</v>
      </c>
      <c r="E21" s="6"/>
    </row>
    <row r="22" spans="1:11" s="6" customFormat="1">
      <c r="A22" s="14" t="s">
        <v>857</v>
      </c>
      <c r="B22" s="14" t="s">
        <v>29</v>
      </c>
      <c r="C22" s="174">
        <f>D21*Parameters!C6</f>
        <v>63.114944248485187</v>
      </c>
      <c r="D22" s="5"/>
      <c r="E22" s="5"/>
      <c r="J22" s="14" t="s">
        <v>722</v>
      </c>
    </row>
    <row r="23" spans="1:11">
      <c r="A23" t="s">
        <v>124</v>
      </c>
      <c r="B23" t="s">
        <v>47</v>
      </c>
      <c r="D23" s="176"/>
      <c r="F23" s="99">
        <f>Parameters!G27</f>
        <v>9000</v>
      </c>
    </row>
    <row r="24" spans="1:11" s="2" customFormat="1">
      <c r="A24" s="5" t="s">
        <v>950</v>
      </c>
      <c r="B24" s="5" t="s">
        <v>1005</v>
      </c>
      <c r="C24" s="2">
        <v>0.40600000000000003</v>
      </c>
      <c r="D24" s="316"/>
      <c r="F24" s="99"/>
    </row>
    <row r="25" spans="1:11">
      <c r="A25" s="14" t="s">
        <v>622</v>
      </c>
      <c r="B25" s="14" t="s">
        <v>797</v>
      </c>
      <c r="E25" s="4">
        <f>Globalfactors.csv!H47</f>
        <v>5.0000000000000001E-3</v>
      </c>
      <c r="H25" t="s">
        <v>877</v>
      </c>
      <c r="I25">
        <f>Globalfactors.csv!I47</f>
        <v>1E-3</v>
      </c>
      <c r="J25" t="s">
        <v>590</v>
      </c>
    </row>
    <row r="26" spans="1:11">
      <c r="A26" s="15" t="s">
        <v>391</v>
      </c>
      <c r="B26" s="15" t="s">
        <v>591</v>
      </c>
      <c r="C26" s="177"/>
      <c r="D26" s="21">
        <f>E25*F23*Parameters!C16/1000</f>
        <v>7.0714285714285702E-2</v>
      </c>
      <c r="J26" s="5"/>
    </row>
    <row r="27" spans="1:11">
      <c r="A27" s="15" t="s">
        <v>858</v>
      </c>
      <c r="B27" s="15" t="s">
        <v>29</v>
      </c>
      <c r="C27" s="177">
        <f>D26*Parameters!C5</f>
        <v>18.73928571428571</v>
      </c>
      <c r="D27" s="21"/>
      <c r="J27" s="186" t="s">
        <v>593</v>
      </c>
    </row>
    <row r="28" spans="1:11" s="13" customFormat="1">
      <c r="A28" s="13" t="s">
        <v>579</v>
      </c>
      <c r="C28" s="40">
        <f>C34</f>
        <v>-16.993232372321526</v>
      </c>
    </row>
    <row r="29" spans="1:11" s="6" customFormat="1" hidden="1">
      <c r="A29" s="14" t="s">
        <v>596</v>
      </c>
      <c r="B29" s="14" t="s">
        <v>597</v>
      </c>
      <c r="D29" s="110">
        <f>F17*(1-E18)</f>
        <v>61.210614034091243</v>
      </c>
      <c r="J29" s="6" t="s">
        <v>630</v>
      </c>
      <c r="K29" s="108"/>
    </row>
    <row r="30" spans="1:11" s="6" customFormat="1" hidden="1">
      <c r="A30" s="14" t="s">
        <v>598</v>
      </c>
      <c r="B30" s="14" t="s">
        <v>599</v>
      </c>
      <c r="D30" s="110">
        <f>D29*F30</f>
        <v>6.1210614034091249</v>
      </c>
      <c r="E30" s="108"/>
      <c r="F30" s="6">
        <v>0.1</v>
      </c>
      <c r="J30" s="6" t="s">
        <v>629</v>
      </c>
      <c r="K30" s="108"/>
    </row>
    <row r="31" spans="1:11" s="6" customFormat="1">
      <c r="A31" s="14" t="s">
        <v>781</v>
      </c>
      <c r="B31" s="14"/>
      <c r="C31" s="86"/>
      <c r="D31" s="110">
        <f>F17-D18</f>
        <v>61.210614034091236</v>
      </c>
      <c r="E31" s="108"/>
      <c r="F31" s="108"/>
      <c r="J31" s="6" t="s">
        <v>867</v>
      </c>
      <c r="K31" s="108"/>
    </row>
    <row r="32" spans="1:11">
      <c r="A32" s="14" t="s">
        <v>863</v>
      </c>
      <c r="D32" s="86">
        <f>F17*(1-F32)</f>
        <v>23.172589598620259</v>
      </c>
      <c r="F32" s="277">
        <f>Parameters!O27</f>
        <v>0.84099999999999997</v>
      </c>
      <c r="G32" s="86">
        <f>D32/D31</f>
        <v>0.37857142857142867</v>
      </c>
      <c r="H32" t="s">
        <v>864</v>
      </c>
      <c r="I32" s="104"/>
      <c r="J32" s="7" t="s">
        <v>594</v>
      </c>
    </row>
    <row r="33" spans="1:10">
      <c r="A33" s="14" t="s">
        <v>862</v>
      </c>
      <c r="B33" s="14"/>
      <c r="C33" s="86"/>
      <c r="D33" s="86">
        <f>D32*(E33)</f>
        <v>4.6345179197240522</v>
      </c>
      <c r="E33" s="4">
        <v>0.2</v>
      </c>
      <c r="F33" s="6"/>
      <c r="G33" s="86">
        <f>D33/D31</f>
        <v>7.5714285714285734E-2</v>
      </c>
      <c r="H33" t="s">
        <v>664</v>
      </c>
      <c r="I33" s="86"/>
      <c r="J33" s="7" t="s">
        <v>907</v>
      </c>
    </row>
    <row r="34" spans="1:10">
      <c r="A34" s="14" t="s">
        <v>619</v>
      </c>
      <c r="B34" s="14" t="s">
        <v>600</v>
      </c>
      <c r="C34" s="86">
        <f>D33*-44/12</f>
        <v>-16.993232372321526</v>
      </c>
      <c r="D34" s="86"/>
      <c r="F34" s="270"/>
      <c r="I34" s="168"/>
      <c r="J34" s="7" t="s">
        <v>865</v>
      </c>
    </row>
    <row r="35" spans="1:10" s="45" customFormat="1">
      <c r="A35" s="171" t="s">
        <v>623</v>
      </c>
      <c r="B35" s="171"/>
      <c r="C35" s="184">
        <f>C37+C40</f>
        <v>37.105071428571421</v>
      </c>
      <c r="D35" s="172">
        <v>3</v>
      </c>
      <c r="E35" s="170"/>
      <c r="J35" s="172"/>
    </row>
    <row r="36" spans="1:10">
      <c r="A36" s="14" t="s">
        <v>613</v>
      </c>
      <c r="B36" t="s">
        <v>614</v>
      </c>
      <c r="C36" s="86"/>
      <c r="D36">
        <f>E36*1000</f>
        <v>400</v>
      </c>
      <c r="E36" s="4">
        <v>0.4</v>
      </c>
      <c r="H36" t="s">
        <v>620</v>
      </c>
      <c r="J36" s="7"/>
    </row>
    <row r="37" spans="1:10">
      <c r="A37" t="s">
        <v>45</v>
      </c>
      <c r="B37" t="s">
        <v>29</v>
      </c>
      <c r="C37" s="22">
        <f>1.5*F37/20</f>
        <v>2.25</v>
      </c>
      <c r="F37" s="8">
        <f>Globalfactors.csv!H50</f>
        <v>30</v>
      </c>
      <c r="J37" t="s">
        <v>632</v>
      </c>
    </row>
    <row r="38" spans="1:10" s="46" customFormat="1">
      <c r="A38" s="14" t="s">
        <v>46</v>
      </c>
      <c r="B38" s="14" t="s">
        <v>610</v>
      </c>
      <c r="C38" s="5"/>
      <c r="D38" s="174">
        <f>F23/1000*(1-E38)</f>
        <v>5.58</v>
      </c>
      <c r="E38" s="269">
        <v>0.38</v>
      </c>
      <c r="H38" s="46" t="s">
        <v>720</v>
      </c>
      <c r="J38" s="181" t="s">
        <v>606</v>
      </c>
    </row>
    <row r="39" spans="1:10">
      <c r="A39" s="14" t="s">
        <v>622</v>
      </c>
      <c r="B39" t="s">
        <v>23</v>
      </c>
      <c r="E39" s="4">
        <f>Globalfactors.csv!H52</f>
        <v>1.4999999999999999E-2</v>
      </c>
      <c r="H39" t="s">
        <v>534</v>
      </c>
      <c r="J39" s="7" t="s">
        <v>719</v>
      </c>
    </row>
    <row r="40" spans="1:10">
      <c r="A40" s="14" t="s">
        <v>718</v>
      </c>
      <c r="B40" t="s">
        <v>29</v>
      </c>
      <c r="C40" s="278">
        <f>D40*Parameters!C16*Parameters!C5</f>
        <v>34.855071428571421</v>
      </c>
      <c r="D40" s="86">
        <f>D38*E39</f>
        <v>8.3699999999999997E-2</v>
      </c>
    </row>
    <row r="41" spans="1:10">
      <c r="A41" s="14" t="s">
        <v>874</v>
      </c>
      <c r="C41" s="86"/>
      <c r="D41" s="86"/>
      <c r="J41" t="s">
        <v>875</v>
      </c>
    </row>
    <row r="42" spans="1:10" s="12" customFormat="1">
      <c r="A42" s="243" t="s">
        <v>721</v>
      </c>
      <c r="C42" s="242">
        <f>C12+C16+C28+C35</f>
        <v>111.4898262263408</v>
      </c>
      <c r="D42" s="242"/>
    </row>
    <row r="43" spans="1:10" s="45" customFormat="1">
      <c r="A43" s="171" t="s">
        <v>580</v>
      </c>
      <c r="B43" s="171"/>
      <c r="C43" s="183">
        <f>C46+C47</f>
        <v>3.1248000000000005</v>
      </c>
      <c r="D43" s="172"/>
      <c r="E43" s="170"/>
      <c r="J43" s="172"/>
    </row>
    <row r="44" spans="1:10" s="46" customFormat="1">
      <c r="A44" s="14" t="s">
        <v>912</v>
      </c>
      <c r="B44" s="14"/>
      <c r="C44" s="5"/>
      <c r="E44" s="180"/>
      <c r="F44" s="46">
        <v>0.4</v>
      </c>
      <c r="J44" s="181"/>
    </row>
    <row r="45" spans="1:10" s="46" customFormat="1">
      <c r="A45" s="14" t="s">
        <v>609</v>
      </c>
      <c r="B45" s="19" t="s">
        <v>597</v>
      </c>
      <c r="C45" s="5"/>
      <c r="D45" s="174">
        <f>D38*F44</f>
        <v>2.2320000000000002</v>
      </c>
      <c r="E45" s="241"/>
      <c r="J45" s="181"/>
    </row>
    <row r="46" spans="1:10" s="88" customFormat="1">
      <c r="A46" s="14" t="s">
        <v>601</v>
      </c>
      <c r="B46" s="88" t="s">
        <v>29</v>
      </c>
      <c r="C46" s="182">
        <f>D45*G46</f>
        <v>15.177600000000002</v>
      </c>
      <c r="D46" s="178"/>
      <c r="E46" s="179"/>
      <c r="G46" s="88">
        <f>-Globalfactors.csv!H6</f>
        <v>6.8</v>
      </c>
      <c r="H46" s="88" t="s">
        <v>608</v>
      </c>
      <c r="J46" s="178" t="s">
        <v>631</v>
      </c>
    </row>
    <row r="47" spans="1:10" s="88" customFormat="1">
      <c r="A47" s="14" t="s">
        <v>611</v>
      </c>
      <c r="B47" s="19" t="s">
        <v>29</v>
      </c>
      <c r="C47" s="182">
        <f>D45*G47</f>
        <v>-12.052800000000001</v>
      </c>
      <c r="D47" s="178"/>
      <c r="E47" s="179"/>
      <c r="G47" s="88">
        <f>'Land application'!F30</f>
        <v>-5.4</v>
      </c>
      <c r="H47" s="88" t="s">
        <v>607</v>
      </c>
      <c r="J47" s="178"/>
    </row>
    <row r="48" spans="1:10">
      <c r="A48" t="s">
        <v>633</v>
      </c>
      <c r="B48" t="s">
        <v>612</v>
      </c>
      <c r="H48" t="s">
        <v>621</v>
      </c>
    </row>
    <row r="49" spans="1:10">
      <c r="A49" s="14" t="s">
        <v>634</v>
      </c>
      <c r="B49" t="s">
        <v>612</v>
      </c>
    </row>
    <row r="51" spans="1:10" s="45" customFormat="1">
      <c r="A51" s="171" t="s">
        <v>581</v>
      </c>
      <c r="B51" s="45" t="s">
        <v>29</v>
      </c>
      <c r="C51" s="45">
        <f>C54</f>
        <v>-388</v>
      </c>
    </row>
    <row r="52" spans="1:10">
      <c r="A52" s="14" t="s">
        <v>615</v>
      </c>
      <c r="F52">
        <v>1</v>
      </c>
    </row>
    <row r="53" spans="1:10">
      <c r="A53" s="14" t="s">
        <v>616</v>
      </c>
      <c r="B53" t="s">
        <v>617</v>
      </c>
      <c r="D53">
        <f>D36</f>
        <v>400</v>
      </c>
    </row>
    <row r="54" spans="1:10" ht="255">
      <c r="A54" t="s">
        <v>581</v>
      </c>
      <c r="B54" t="s">
        <v>618</v>
      </c>
      <c r="C54">
        <f>F54*D53/1000</f>
        <v>-388</v>
      </c>
      <c r="F54">
        <v>-970</v>
      </c>
      <c r="H54" t="s">
        <v>620</v>
      </c>
      <c r="J54" s="1" t="s">
        <v>624</v>
      </c>
    </row>
    <row r="56" spans="1:10">
      <c r="C56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3"/>
      <c r="B1" s="43" t="s">
        <v>14</v>
      </c>
      <c r="C1" s="43" t="s">
        <v>25</v>
      </c>
      <c r="D1" s="43" t="s">
        <v>112</v>
      </c>
      <c r="E1" s="43" t="s">
        <v>113</v>
      </c>
      <c r="F1" s="43" t="s">
        <v>114</v>
      </c>
      <c r="G1" s="43" t="s">
        <v>2</v>
      </c>
      <c r="H1" s="43" t="s">
        <v>5</v>
      </c>
    </row>
    <row r="2" spans="1:10">
      <c r="A2" s="13" t="s">
        <v>0</v>
      </c>
      <c r="B2" s="12" t="s">
        <v>29</v>
      </c>
      <c r="C2" s="83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10">
      <c r="A4" t="s">
        <v>379</v>
      </c>
      <c r="B4" t="s">
        <v>12</v>
      </c>
      <c r="C4" s="82"/>
      <c r="E4" s="8">
        <v>50</v>
      </c>
    </row>
    <row r="5" spans="1:10" s="45" customFormat="1">
      <c r="A5" s="45" t="s">
        <v>927</v>
      </c>
      <c r="B5" s="45" t="s">
        <v>926</v>
      </c>
      <c r="C5" s="282" t="e">
        <f>D8*(Globalfactors.csv!#REF!+Globalfactors.csv!#REF!)</f>
        <v>#REF!</v>
      </c>
    </row>
    <row r="6" spans="1:10">
      <c r="A6" t="s">
        <v>922</v>
      </c>
      <c r="B6" t="s">
        <v>788</v>
      </c>
      <c r="E6">
        <v>10.6</v>
      </c>
    </row>
    <row r="7" spans="1:10">
      <c r="A7" t="s">
        <v>925</v>
      </c>
      <c r="B7" t="s">
        <v>923</v>
      </c>
      <c r="E7">
        <v>0.25</v>
      </c>
      <c r="J7" t="s">
        <v>939</v>
      </c>
    </row>
    <row r="8" spans="1:10">
      <c r="A8" t="s">
        <v>924</v>
      </c>
      <c r="B8" t="s">
        <v>458</v>
      </c>
      <c r="D8">
        <f>E6*E7</f>
        <v>2.65</v>
      </c>
      <c r="J8" t="s">
        <v>959</v>
      </c>
    </row>
    <row r="9" spans="1:10" s="45" customFormat="1">
      <c r="A9" s="45" t="s">
        <v>380</v>
      </c>
      <c r="C9" s="84">
        <f>F16*E15*(1-C14)</f>
        <v>-563.3479338842975</v>
      </c>
    </row>
    <row r="10" spans="1:10" s="45" customFormat="1">
      <c r="A10" s="45" t="s">
        <v>949</v>
      </c>
      <c r="C10" s="84"/>
    </row>
    <row r="11" spans="1:10" s="88" customFormat="1">
      <c r="A11" s="46" t="s">
        <v>57</v>
      </c>
      <c r="C11" s="238"/>
    </row>
    <row r="12" spans="1:10" s="88" customFormat="1">
      <c r="A12" s="46" t="s">
        <v>391</v>
      </c>
      <c r="C12" s="238"/>
    </row>
    <row r="13" spans="1:10" s="45" customFormat="1">
      <c r="A13" s="45" t="s">
        <v>958</v>
      </c>
      <c r="C13" s="84"/>
    </row>
    <row r="14" spans="1:10" s="88" customFormat="1">
      <c r="A14" s="46" t="s">
        <v>952</v>
      </c>
      <c r="B14" s="88" t="s">
        <v>23</v>
      </c>
      <c r="C14" s="293">
        <f>Globalfactors.csv!H55</f>
        <v>0.1</v>
      </c>
    </row>
    <row r="15" spans="1:10">
      <c r="A15" t="s">
        <v>381</v>
      </c>
      <c r="B15" t="s">
        <v>953</v>
      </c>
      <c r="C15" s="82"/>
      <c r="E15" s="106">
        <f>D32</f>
        <v>1.0573347107438016</v>
      </c>
    </row>
    <row r="16" spans="1:10">
      <c r="A16" t="s">
        <v>383</v>
      </c>
      <c r="B16" t="s">
        <v>29</v>
      </c>
      <c r="C16" s="82"/>
      <c r="F16" s="4">
        <v>-592</v>
      </c>
    </row>
    <row r="17" spans="1:14" s="44" customFormat="1">
      <c r="A17" s="45" t="s">
        <v>384</v>
      </c>
      <c r="B17" s="44" t="s">
        <v>29</v>
      </c>
      <c r="C17" s="85">
        <f>C2+C9</f>
        <v>-557.99793388429748</v>
      </c>
    </row>
    <row r="27" spans="1:14" ht="17">
      <c r="A27" s="68" t="s">
        <v>367</v>
      </c>
      <c r="B27" s="1"/>
      <c r="C27" s="1"/>
      <c r="D27" s="1"/>
    </row>
    <row r="28" spans="1:14" ht="45">
      <c r="B28" s="1" t="s">
        <v>336</v>
      </c>
      <c r="C28" s="1" t="s">
        <v>337</v>
      </c>
      <c r="D28" s="1" t="s">
        <v>382</v>
      </c>
      <c r="E28" s="1" t="s">
        <v>2</v>
      </c>
      <c r="F28" s="1" t="s">
        <v>29</v>
      </c>
      <c r="J28" s="51"/>
      <c r="K28" s="73"/>
      <c r="L28" s="51"/>
      <c r="M28" s="51"/>
      <c r="N28" s="74"/>
    </row>
    <row r="29" spans="1:14">
      <c r="A29" t="s">
        <v>334</v>
      </c>
      <c r="B29">
        <v>88</v>
      </c>
      <c r="C29">
        <v>88</v>
      </c>
      <c r="D29">
        <f>B29*C29/(B$29*C$29)</f>
        <v>1</v>
      </c>
      <c r="E29" t="s">
        <v>375</v>
      </c>
      <c r="J29" s="51"/>
      <c r="K29" s="73"/>
      <c r="L29" s="51"/>
      <c r="M29" s="51"/>
      <c r="N29" s="51"/>
    </row>
    <row r="30" spans="1:14">
      <c r="A30" t="s">
        <v>163</v>
      </c>
      <c r="B30">
        <v>22</v>
      </c>
      <c r="C30">
        <v>68.900000000000006</v>
      </c>
      <c r="D30" s="69">
        <f>B30*C30/(B$29*C$29)</f>
        <v>0.19573863636363639</v>
      </c>
      <c r="E30" t="s">
        <v>376</v>
      </c>
      <c r="F30" s="82">
        <v>-110.52727272727275</v>
      </c>
      <c r="J30" s="51"/>
      <c r="K30" s="73"/>
      <c r="L30" s="51"/>
      <c r="M30" s="51"/>
      <c r="N30" s="51"/>
    </row>
    <row r="31" spans="1:14">
      <c r="A31" t="s">
        <v>52</v>
      </c>
      <c r="B31">
        <v>7</v>
      </c>
      <c r="C31">
        <v>81</v>
      </c>
      <c r="D31" s="69">
        <f>B31*C31/(B$29*C$29)</f>
        <v>7.3217975206611566E-2</v>
      </c>
      <c r="E31" t="s">
        <v>378</v>
      </c>
      <c r="F31" s="82">
        <v>-37.995041322314044</v>
      </c>
      <c r="J31" s="51"/>
      <c r="K31" s="51"/>
      <c r="L31" s="51"/>
      <c r="M31" s="51"/>
      <c r="N31" s="51"/>
    </row>
    <row r="32" spans="1:14">
      <c r="A32" t="s">
        <v>335</v>
      </c>
      <c r="B32">
        <v>92</v>
      </c>
      <c r="C32">
        <v>89</v>
      </c>
      <c r="D32" s="69">
        <f>B32*C32/(B$29*C$29)</f>
        <v>1.0573347107438016</v>
      </c>
      <c r="E32" t="s">
        <v>377</v>
      </c>
      <c r="F32" s="82">
        <v>-620.59214876033047</v>
      </c>
      <c r="J32" s="51"/>
      <c r="K32" s="73"/>
      <c r="L32" s="51"/>
      <c r="M32" s="51"/>
      <c r="N32" s="74"/>
    </row>
    <row r="33" spans="1:14">
      <c r="J33" s="51"/>
      <c r="K33" s="73"/>
      <c r="L33" s="51"/>
      <c r="M33" s="51"/>
      <c r="N33" s="51"/>
    </row>
    <row r="34" spans="1:14">
      <c r="J34" s="51"/>
      <c r="K34" s="51"/>
      <c r="L34" s="51"/>
      <c r="M34" s="51"/>
      <c r="N34" s="51"/>
    </row>
    <row r="35" spans="1:14" ht="16" thickBot="1">
      <c r="A35" s="148" t="s">
        <v>509</v>
      </c>
      <c r="B35" s="66"/>
      <c r="C35" s="66"/>
      <c r="D35" s="66"/>
      <c r="J35" s="51"/>
      <c r="K35" s="51"/>
      <c r="L35" s="51"/>
      <c r="M35" s="51"/>
      <c r="N35" s="51"/>
    </row>
    <row r="36" spans="1:14" ht="16" thickBot="1">
      <c r="A36" s="148" t="s">
        <v>510</v>
      </c>
      <c r="J36" s="51"/>
      <c r="K36" s="51"/>
      <c r="L36" s="51"/>
      <c r="M36" s="51"/>
      <c r="N36" s="51"/>
    </row>
    <row r="37" spans="1:14" ht="16" thickBot="1">
      <c r="A37" s="148" t="s">
        <v>511</v>
      </c>
      <c r="J37" s="51"/>
      <c r="K37" s="51"/>
      <c r="L37" s="51"/>
      <c r="M37" s="51"/>
      <c r="N37" s="51"/>
    </row>
    <row r="38" spans="1:14" ht="16" thickBot="1">
      <c r="A38" s="148" t="s">
        <v>512</v>
      </c>
    </row>
    <row r="39" spans="1:14" ht="16" thickBot="1">
      <c r="A39" s="148" t="s">
        <v>513</v>
      </c>
    </row>
    <row r="40" spans="1:14" ht="16" thickBot="1">
      <c r="A40" s="148" t="s">
        <v>662</v>
      </c>
    </row>
    <row r="41" spans="1:14" ht="16" thickBot="1">
      <c r="A41" s="148" t="s">
        <v>515</v>
      </c>
    </row>
    <row r="42" spans="1:14" ht="16" thickBot="1">
      <c r="A42" s="148" t="s">
        <v>516</v>
      </c>
    </row>
    <row r="43" spans="1:14" ht="16" thickBot="1">
      <c r="A43" s="148" t="s">
        <v>517</v>
      </c>
    </row>
    <row r="44" spans="1:14" ht="16" thickBot="1">
      <c r="A44" s="149" t="s">
        <v>518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6" t="s">
        <v>25</v>
      </c>
      <c r="D1" s="206" t="s">
        <v>112</v>
      </c>
      <c r="E1" s="43" t="s">
        <v>659</v>
      </c>
      <c r="F1" s="43" t="s">
        <v>653</v>
      </c>
      <c r="G1" s="43" t="s">
        <v>652</v>
      </c>
      <c r="H1" s="43" t="s">
        <v>2</v>
      </c>
      <c r="I1" s="43" t="s">
        <v>635</v>
      </c>
      <c r="J1" s="43" t="s">
        <v>5</v>
      </c>
      <c r="S1" s="27">
        <v>3.7854100000000002</v>
      </c>
      <c r="T1" s="111" t="s">
        <v>441</v>
      </c>
    </row>
    <row r="2" spans="1:20" s="12" customFormat="1">
      <c r="A2" s="13" t="s">
        <v>731</v>
      </c>
      <c r="C2" s="207"/>
      <c r="D2" s="207"/>
      <c r="E2" s="11"/>
      <c r="F2" s="11"/>
    </row>
    <row r="3" spans="1:20">
      <c r="B3" t="s">
        <v>749</v>
      </c>
      <c r="H3">
        <f>2.6/16</f>
        <v>0.16250000000000001</v>
      </c>
      <c r="J3" t="s">
        <v>752</v>
      </c>
    </row>
    <row r="4" spans="1:20" ht="45">
      <c r="A4" t="s">
        <v>736</v>
      </c>
      <c r="B4" t="s">
        <v>748</v>
      </c>
      <c r="G4">
        <v>-1225</v>
      </c>
      <c r="H4" s="256" t="s">
        <v>743</v>
      </c>
      <c r="I4" t="s">
        <v>744</v>
      </c>
      <c r="J4" s="1" t="s">
        <v>737</v>
      </c>
    </row>
    <row r="5" spans="1:20">
      <c r="A5" t="s">
        <v>732</v>
      </c>
      <c r="B5" t="s">
        <v>739</v>
      </c>
      <c r="G5">
        <v>6.8</v>
      </c>
      <c r="H5" s="256" t="s">
        <v>740</v>
      </c>
      <c r="I5">
        <v>6.8</v>
      </c>
      <c r="J5" t="s">
        <v>738</v>
      </c>
    </row>
    <row r="6" spans="1:20">
      <c r="A6" t="s">
        <v>733</v>
      </c>
      <c r="B6" t="s">
        <v>739</v>
      </c>
      <c r="G6">
        <v>30</v>
      </c>
      <c r="H6" s="256" t="s">
        <v>741</v>
      </c>
      <c r="I6" t="s">
        <v>735</v>
      </c>
      <c r="J6" t="s">
        <v>734</v>
      </c>
    </row>
    <row r="7" spans="1:20">
      <c r="A7" t="s">
        <v>747</v>
      </c>
      <c r="B7" t="s">
        <v>739</v>
      </c>
      <c r="G7">
        <f>-1081*1.1</f>
        <v>-1189.1000000000001</v>
      </c>
      <c r="H7" s="256" t="s">
        <v>742</v>
      </c>
      <c r="I7" s="255" t="s">
        <v>746</v>
      </c>
      <c r="J7" t="s">
        <v>745</v>
      </c>
    </row>
    <row r="8" spans="1:20">
      <c r="A8" t="s">
        <v>751</v>
      </c>
      <c r="B8" t="s">
        <v>750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103</v>
      </c>
      <c r="D1" s="55" t="s">
        <v>104</v>
      </c>
      <c r="E1" s="55" t="s">
        <v>37</v>
      </c>
      <c r="F1" s="55" t="s">
        <v>107</v>
      </c>
      <c r="G1" s="56" t="s">
        <v>105</v>
      </c>
      <c r="H1" s="56" t="s">
        <v>106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150</v>
      </c>
      <c r="H2" s="56" t="s">
        <v>149</v>
      </c>
    </row>
    <row r="3" spans="2:8">
      <c r="B3" s="55" t="s">
        <v>50</v>
      </c>
      <c r="C3" s="56"/>
      <c r="D3" s="57">
        <v>-37.995041322314044</v>
      </c>
      <c r="E3" s="57">
        <v>7</v>
      </c>
      <c r="F3" s="96">
        <v>7</v>
      </c>
      <c r="G3" s="56" t="s">
        <v>108</v>
      </c>
      <c r="H3" s="56" t="s">
        <v>54</v>
      </c>
    </row>
    <row r="4" spans="2:8">
      <c r="B4" s="55" t="s">
        <v>101</v>
      </c>
      <c r="C4" s="56"/>
      <c r="D4" s="57">
        <v>-110.52727272727275</v>
      </c>
      <c r="E4" s="57">
        <v>8.25</v>
      </c>
      <c r="F4" s="98"/>
      <c r="G4" s="56" t="s">
        <v>54</v>
      </c>
      <c r="H4" s="56" t="s">
        <v>149</v>
      </c>
    </row>
    <row r="5" spans="2:8">
      <c r="B5" s="55" t="s">
        <v>102</v>
      </c>
      <c r="C5" s="57">
        <v>1924</v>
      </c>
      <c r="D5" s="57">
        <v>-620.59214876033047</v>
      </c>
      <c r="E5" s="56"/>
      <c r="F5" s="97">
        <v>-479</v>
      </c>
      <c r="G5" s="56" t="s">
        <v>54</v>
      </c>
      <c r="H5" s="56" t="s">
        <v>54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413</v>
      </c>
      <c r="C46" s="70" t="s">
        <v>412</v>
      </c>
      <c r="D46" s="70" t="s">
        <v>408</v>
      </c>
      <c r="E46" s="70" t="s">
        <v>410</v>
      </c>
      <c r="F46" s="70" t="s">
        <v>406</v>
      </c>
      <c r="G46" s="70" t="s">
        <v>407</v>
      </c>
      <c r="H46" s="55" t="s">
        <v>405</v>
      </c>
      <c r="I46" s="70" t="s">
        <v>409</v>
      </c>
      <c r="J46" s="70" t="s">
        <v>411</v>
      </c>
      <c r="K46" s="70" t="s">
        <v>415</v>
      </c>
      <c r="L46" s="70" t="s">
        <v>414</v>
      </c>
      <c r="M46" s="70" t="s">
        <v>416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50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101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102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404</v>
      </c>
    </row>
    <row r="84" spans="2:8">
      <c r="B84" s="55"/>
      <c r="C84" s="55" t="s">
        <v>103</v>
      </c>
      <c r="D84" s="55" t="s">
        <v>104</v>
      </c>
      <c r="E84" s="56" t="s">
        <v>105</v>
      </c>
      <c r="F84" s="56" t="s">
        <v>106</v>
      </c>
      <c r="G84" s="55" t="s">
        <v>37</v>
      </c>
      <c r="H84" s="55" t="s">
        <v>107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50</v>
      </c>
      <c r="C86" s="57"/>
      <c r="D86" s="57"/>
      <c r="E86" s="57"/>
      <c r="F86" s="57"/>
      <c r="G86" s="57"/>
      <c r="H86" s="57"/>
    </row>
    <row r="87" spans="2:8">
      <c r="B87" s="55" t="s">
        <v>101</v>
      </c>
      <c r="C87" s="57"/>
      <c r="D87" s="57"/>
      <c r="E87" s="57"/>
      <c r="F87" s="57"/>
      <c r="G87" s="57"/>
      <c r="H87" s="57"/>
    </row>
    <row r="88" spans="2:8">
      <c r="B88" s="55" t="s">
        <v>102</v>
      </c>
      <c r="C88" s="57"/>
      <c r="D88" s="57"/>
      <c r="E88" s="57"/>
      <c r="F88" s="57"/>
      <c r="G88" s="57"/>
      <c r="H88" s="57"/>
    </row>
    <row r="91" spans="2:8" ht="45">
      <c r="C91" s="1" t="s">
        <v>336</v>
      </c>
      <c r="D91" s="1" t="s">
        <v>337</v>
      </c>
      <c r="E91" s="1" t="s">
        <v>382</v>
      </c>
      <c r="F91" s="1" t="s">
        <v>2</v>
      </c>
    </row>
    <row r="92" spans="2:8">
      <c r="B92" t="s">
        <v>334</v>
      </c>
      <c r="C92">
        <v>88</v>
      </c>
      <c r="D92">
        <v>88</v>
      </c>
      <c r="E92">
        <v>1</v>
      </c>
      <c r="F92" t="s">
        <v>375</v>
      </c>
    </row>
    <row r="93" spans="2:8">
      <c r="B93" t="s">
        <v>163</v>
      </c>
      <c r="C93">
        <v>22</v>
      </c>
      <c r="D93">
        <v>68.900000000000006</v>
      </c>
      <c r="E93" s="69">
        <v>0.19573863636363639</v>
      </c>
      <c r="F93" t="s">
        <v>376</v>
      </c>
    </row>
    <row r="94" spans="2:8">
      <c r="B94" t="s">
        <v>52</v>
      </c>
      <c r="C94">
        <v>7</v>
      </c>
      <c r="D94">
        <v>81</v>
      </c>
      <c r="E94" s="69">
        <v>7.3217975206611566E-2</v>
      </c>
      <c r="F94" t="s">
        <v>378</v>
      </c>
    </row>
    <row r="95" spans="2:8">
      <c r="B95" t="s">
        <v>335</v>
      </c>
      <c r="C95">
        <v>92</v>
      </c>
      <c r="D95">
        <v>89</v>
      </c>
      <c r="E95" s="69">
        <v>1.0573347107438016</v>
      </c>
      <c r="F95" t="s">
        <v>377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2015-10-21T13:26:06Z</dcterms:modified>
</cp:coreProperties>
</file>