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880" yWindow="0" windowWidth="25600" windowHeight="15840" tabRatio="500" activeTab="6"/>
  </bookViews>
  <sheets>
    <sheet name="Parameters" sheetId="9" r:id="rId1"/>
    <sheet name="Globalfactors.csv" sheetId="19" r:id="rId2"/>
    <sheet name="Landfill " sheetId="17" r:id="rId3"/>
    <sheet name="AD" sheetId="15" r:id="rId4"/>
    <sheet name="Land application" sheetId="1" r:id="rId5"/>
    <sheet name="compost" sheetId="10" r:id="rId6"/>
    <sheet name="Animal Feed " sheetId="14" r:id="rId7"/>
    <sheet name="Recycling" sheetId="18" r:id="rId8"/>
    <sheet name="Results" sheetId="7" r:id="rId9"/>
    <sheet name="Animal Feed lit" sheetId="13" r:id="rId10"/>
    <sheet name="WWTF" sheetId="6" r:id="rId11"/>
    <sheet name="carbon storage" sheetId="11" r:id="rId12"/>
    <sheet name="Sheet1" sheetId="16" r:id="rId13"/>
  </sheets>
  <externalReferences>
    <externalReference r:id="rId14"/>
    <externalReference r:id="rId15"/>
  </externalReferences>
  <definedNames>
    <definedName name="carbon">Parameters!$B$62</definedName>
    <definedName name="ClientList" localSheetId="3">#REF!</definedName>
    <definedName name="ClientList" localSheetId="6">#REF!</definedName>
    <definedName name="ClientList" localSheetId="2">#REF!</definedName>
    <definedName name="ClientList">#REF!</definedName>
    <definedName name="day" localSheetId="3">#REF!</definedName>
    <definedName name="day" localSheetId="6">#REF!</definedName>
    <definedName name="day" localSheetId="2">#REF!</definedName>
    <definedName name="day">#REF!</definedName>
    <definedName name="hydrogen">Parameters!$C$62</definedName>
    <definedName name="inputs" localSheetId="3">#REF!</definedName>
    <definedName name="inputs" localSheetId="6">#REF!</definedName>
    <definedName name="inputs" localSheetId="2">#REF!</definedName>
    <definedName name="inputs">#REF!</definedName>
    <definedName name="Name" localSheetId="3">#REF!</definedName>
    <definedName name="Name" localSheetId="6">#REF!</definedName>
    <definedName name="Name" localSheetId="2">#REF!</definedName>
    <definedName name="Name">#REF!</definedName>
    <definedName name="nitrogen">Parameters!$E$62</definedName>
    <definedName name="nullinvoice" localSheetId="3">'[1]2013 OVERALL'!#REF!</definedName>
    <definedName name="nullinvoice" localSheetId="6">'[1]2013 OVERALL'!#REF!</definedName>
    <definedName name="nullinvoice" localSheetId="2">'[1]2013 OVERALL'!#REF!</definedName>
    <definedName name="nullinvoice">'[1]2013 OVERALL'!#REF!</definedName>
    <definedName name="oxygen">Parameters!$D$62</definedName>
    <definedName name="sensitivityFW" localSheetId="3">#REF!</definedName>
    <definedName name="sensitivityFW" localSheetId="6">#REF!</definedName>
    <definedName name="sensitivityFW" localSheetId="2">#REF!</definedName>
    <definedName name="sensitivityFW">#REF!</definedName>
    <definedName name="Sulfur">Parameters!$F$62</definedName>
    <definedName name="what" localSheetId="3">#REF!</definedName>
    <definedName name="what" localSheetId="6">#REF!</definedName>
    <definedName name="what" localSheetId="2">#REF!</definedName>
    <definedName name="what">#REF!</definedName>
    <definedName name="xxx" localSheetId="3">#REF!</definedName>
    <definedName name="xxx" localSheetId="6">#REF!</definedName>
    <definedName name="xxx" localSheetId="2">#REF!</definedName>
    <definedName name="xxx">#REF!</definedName>
    <definedName name="xxy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1" l="1"/>
  <c r="D8" i="11"/>
  <c r="G65" i="9"/>
  <c r="J65" i="9"/>
  <c r="C3" i="9"/>
  <c r="G67" i="9"/>
  <c r="J67" i="9"/>
  <c r="C4" i="9"/>
  <c r="G66" i="9"/>
  <c r="J66" i="9"/>
  <c r="C2" i="9"/>
  <c r="J27" i="9"/>
  <c r="F17" i="10"/>
  <c r="F31" i="10"/>
  <c r="D31" i="10"/>
  <c r="D32" i="10"/>
  <c r="D18" i="10"/>
  <c r="D30" i="10"/>
  <c r="G32" i="10"/>
  <c r="G31" i="10"/>
  <c r="R44" i="9"/>
  <c r="Q44" i="9"/>
  <c r="R42" i="9"/>
  <c r="Q42" i="9"/>
  <c r="C10" i="15"/>
  <c r="D13" i="15"/>
  <c r="E9" i="1"/>
  <c r="E44" i="15"/>
  <c r="F23" i="1"/>
  <c r="F19" i="1"/>
  <c r="F21" i="1"/>
  <c r="D22" i="1"/>
  <c r="D23" i="1"/>
  <c r="C17" i="9"/>
  <c r="C23" i="1"/>
  <c r="E8" i="1"/>
  <c r="N4" i="19"/>
  <c r="E5" i="19"/>
  <c r="G26" i="15"/>
  <c r="F27" i="9"/>
  <c r="F15" i="15"/>
  <c r="D17" i="15"/>
  <c r="D23" i="15"/>
  <c r="D25" i="15"/>
  <c r="D26" i="15"/>
  <c r="D19" i="15"/>
  <c r="C19" i="15"/>
  <c r="D21" i="15"/>
  <c r="C21" i="15"/>
  <c r="C27" i="15"/>
  <c r="G43" i="15"/>
  <c r="D46" i="15"/>
  <c r="G34" i="9"/>
  <c r="F36" i="15"/>
  <c r="D47" i="15"/>
  <c r="C16" i="9"/>
  <c r="D48" i="15"/>
  <c r="D50" i="15"/>
  <c r="D51" i="15"/>
  <c r="C52" i="15"/>
  <c r="D27" i="9"/>
  <c r="F29" i="15"/>
  <c r="D31" i="15"/>
  <c r="D33" i="15"/>
  <c r="D34" i="15"/>
  <c r="D37" i="15"/>
  <c r="E39" i="15"/>
  <c r="D40" i="15"/>
  <c r="D35" i="15"/>
  <c r="C41" i="15"/>
  <c r="F54" i="15"/>
  <c r="F55" i="15"/>
  <c r="D56" i="15"/>
  <c r="D62" i="15"/>
  <c r="C56" i="15"/>
  <c r="C64" i="15"/>
  <c r="G68" i="15"/>
  <c r="L4" i="19"/>
  <c r="D66" i="15"/>
  <c r="D67" i="15"/>
  <c r="D68" i="15"/>
  <c r="D69" i="15"/>
  <c r="C70" i="15"/>
  <c r="C71" i="15"/>
  <c r="G23" i="1"/>
  <c r="F11" i="1"/>
  <c r="D14" i="1"/>
  <c r="D17" i="1"/>
  <c r="C12" i="1"/>
  <c r="D27" i="1"/>
  <c r="F28" i="1"/>
  <c r="D28" i="1"/>
  <c r="D29" i="1"/>
  <c r="F30" i="1"/>
  <c r="D30" i="1"/>
  <c r="C25" i="1"/>
  <c r="F23" i="10"/>
  <c r="D37" i="10"/>
  <c r="E18" i="10"/>
  <c r="D57" i="15"/>
  <c r="D59" i="15"/>
  <c r="D60" i="15"/>
  <c r="D58" i="15"/>
  <c r="D61" i="15"/>
  <c r="G62" i="15"/>
  <c r="E50" i="15"/>
  <c r="I23" i="19"/>
  <c r="F25" i="17"/>
  <c r="F26" i="17"/>
  <c r="D28" i="17"/>
  <c r="E24" i="10"/>
  <c r="D25" i="10"/>
  <c r="C26" i="10"/>
  <c r="E38" i="10"/>
  <c r="N6" i="19"/>
  <c r="F5" i="19"/>
  <c r="N7" i="19"/>
  <c r="G5" i="19"/>
  <c r="G45" i="10"/>
  <c r="C33" i="10"/>
  <c r="D4" i="11"/>
  <c r="C24" i="17"/>
  <c r="E30" i="19"/>
  <c r="G30" i="19"/>
  <c r="F30" i="19"/>
  <c r="G26" i="19"/>
  <c r="F26" i="19"/>
  <c r="G22" i="15"/>
  <c r="F22" i="15"/>
  <c r="N5" i="19"/>
  <c r="A22" i="19"/>
  <c r="H29" i="17"/>
  <c r="F13" i="17"/>
  <c r="C17" i="17"/>
  <c r="E3" i="17"/>
  <c r="G5" i="17"/>
  <c r="G4" i="17"/>
  <c r="D20" i="17"/>
  <c r="F36" i="10"/>
  <c r="I24" i="10"/>
  <c r="E19" i="10"/>
  <c r="I18" i="10"/>
  <c r="I13" i="10"/>
  <c r="E13" i="10"/>
  <c r="B43" i="19"/>
  <c r="B45" i="19"/>
  <c r="B49" i="19"/>
  <c r="B3" i="19"/>
  <c r="A3" i="19"/>
  <c r="I47" i="19"/>
  <c r="A45" i="19"/>
  <c r="B38" i="19"/>
  <c r="E38" i="19"/>
  <c r="H38" i="19"/>
  <c r="B39" i="19"/>
  <c r="E39" i="19"/>
  <c r="H39" i="19"/>
  <c r="A40" i="19"/>
  <c r="A38" i="19"/>
  <c r="A37" i="19"/>
  <c r="B30" i="19"/>
  <c r="H30" i="19"/>
  <c r="I30" i="19"/>
  <c r="B31" i="19"/>
  <c r="E31" i="19"/>
  <c r="H31" i="19"/>
  <c r="I31" i="19"/>
  <c r="B32" i="19"/>
  <c r="E32" i="19"/>
  <c r="H32" i="19"/>
  <c r="I32" i="19"/>
  <c r="A31" i="19"/>
  <c r="A32" i="19"/>
  <c r="A30" i="19"/>
  <c r="B22" i="19"/>
  <c r="E22" i="19"/>
  <c r="H22" i="19"/>
  <c r="B23" i="19"/>
  <c r="E23" i="19"/>
  <c r="H23" i="19"/>
  <c r="B24" i="19"/>
  <c r="E24" i="19"/>
  <c r="H24" i="19"/>
  <c r="I24" i="19"/>
  <c r="B25" i="19"/>
  <c r="E25" i="19"/>
  <c r="H25" i="19"/>
  <c r="B26" i="19"/>
  <c r="E26" i="19"/>
  <c r="H26" i="19"/>
  <c r="I26" i="19"/>
  <c r="B27" i="19"/>
  <c r="E27" i="19"/>
  <c r="H27" i="19"/>
  <c r="I27" i="19"/>
  <c r="B28" i="19"/>
  <c r="E28" i="19"/>
  <c r="H28" i="19"/>
  <c r="I28" i="19"/>
  <c r="B29" i="19"/>
  <c r="E29" i="19"/>
  <c r="H29" i="19"/>
  <c r="A23" i="19"/>
  <c r="A24" i="19"/>
  <c r="A25" i="19"/>
  <c r="A26" i="19"/>
  <c r="A27" i="19"/>
  <c r="A28" i="19"/>
  <c r="A29" i="19"/>
  <c r="I19" i="19"/>
  <c r="I16" i="19"/>
  <c r="H16" i="19"/>
  <c r="B16" i="19"/>
  <c r="E16" i="19"/>
  <c r="A16" i="19"/>
  <c r="B19" i="19"/>
  <c r="B14" i="19"/>
  <c r="H14" i="19"/>
  <c r="I14" i="19"/>
  <c r="B15" i="19"/>
  <c r="E15" i="19"/>
  <c r="H15" i="19"/>
  <c r="I15" i="19"/>
  <c r="A15" i="19"/>
  <c r="A14" i="19"/>
  <c r="I13" i="19"/>
  <c r="H13" i="19"/>
  <c r="B13" i="19"/>
  <c r="A13" i="19"/>
  <c r="C8" i="18"/>
  <c r="H3" i="18"/>
  <c r="G7" i="18"/>
  <c r="B37" i="17"/>
  <c r="E37" i="17"/>
  <c r="B38" i="17"/>
  <c r="E38" i="17"/>
  <c r="B39" i="17"/>
  <c r="E39" i="17"/>
  <c r="B40" i="17"/>
  <c r="E40" i="17"/>
  <c r="B41" i="17"/>
  <c r="E41" i="17"/>
  <c r="B42" i="17"/>
  <c r="E42" i="17"/>
  <c r="B43" i="17"/>
  <c r="E43" i="17"/>
  <c r="B44" i="17"/>
  <c r="E44" i="17"/>
  <c r="B45" i="17"/>
  <c r="E45" i="17"/>
  <c r="B46" i="17"/>
  <c r="E46" i="17"/>
  <c r="B47" i="17"/>
  <c r="E47" i="17"/>
  <c r="B48" i="17"/>
  <c r="E48" i="17"/>
  <c r="B49" i="17"/>
  <c r="E49" i="17"/>
  <c r="B50" i="17"/>
  <c r="E50" i="17"/>
  <c r="B51" i="17"/>
  <c r="E51" i="17"/>
  <c r="B52" i="17"/>
  <c r="E52" i="17"/>
  <c r="B53" i="17"/>
  <c r="E53" i="17"/>
  <c r="B54" i="17"/>
  <c r="E54" i="17"/>
  <c r="B55" i="17"/>
  <c r="E55" i="17"/>
  <c r="B56" i="17"/>
  <c r="E56" i="17"/>
  <c r="B57" i="17"/>
  <c r="E57" i="17"/>
  <c r="B58" i="17"/>
  <c r="E58" i="17"/>
  <c r="B59" i="17"/>
  <c r="E59" i="17"/>
  <c r="B60" i="17"/>
  <c r="E60" i="17"/>
  <c r="B61" i="17"/>
  <c r="E61" i="17"/>
  <c r="B62" i="17"/>
  <c r="E62" i="17"/>
  <c r="B63" i="17"/>
  <c r="E63" i="17"/>
  <c r="B64" i="17"/>
  <c r="E64" i="17"/>
  <c r="B65" i="17"/>
  <c r="E65" i="17"/>
  <c r="B66" i="17"/>
  <c r="E66" i="17"/>
  <c r="B67" i="17"/>
  <c r="E67" i="17"/>
  <c r="B68" i="17"/>
  <c r="E68" i="17"/>
  <c r="B69" i="17"/>
  <c r="E69" i="17"/>
  <c r="B70" i="17"/>
  <c r="E70" i="17"/>
  <c r="B71" i="17"/>
  <c r="E71" i="17"/>
  <c r="B72" i="17"/>
  <c r="E72" i="17"/>
  <c r="B73" i="17"/>
  <c r="E73" i="17"/>
  <c r="B74" i="17"/>
  <c r="E74" i="17"/>
  <c r="B75" i="17"/>
  <c r="E75" i="17"/>
  <c r="B76" i="17"/>
  <c r="E76" i="17"/>
  <c r="B77" i="17"/>
  <c r="E77" i="17"/>
  <c r="B78" i="17"/>
  <c r="E78" i="17"/>
  <c r="B79" i="17"/>
  <c r="E79" i="17"/>
  <c r="B80" i="17"/>
  <c r="E80" i="17"/>
  <c r="B81" i="17"/>
  <c r="E81" i="17"/>
  <c r="B82" i="17"/>
  <c r="E82" i="17"/>
  <c r="B83" i="17"/>
  <c r="E83" i="17"/>
  <c r="B84" i="17"/>
  <c r="E84" i="17"/>
  <c r="B85" i="17"/>
  <c r="E85" i="17"/>
  <c r="B86" i="17"/>
  <c r="E86" i="17"/>
  <c r="E87" i="17"/>
  <c r="D16" i="17"/>
  <c r="C14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D19" i="17"/>
  <c r="G20" i="17"/>
  <c r="D23" i="17"/>
  <c r="C18" i="17"/>
  <c r="F8" i="9"/>
  <c r="D10" i="9"/>
  <c r="D11" i="9"/>
  <c r="D12" i="9"/>
  <c r="C13" i="9"/>
  <c r="C4" i="17"/>
  <c r="C5" i="17"/>
  <c r="C2" i="17"/>
  <c r="C30" i="17"/>
  <c r="B38" i="9"/>
  <c r="D38" i="9"/>
  <c r="N38" i="9"/>
  <c r="L38" i="9"/>
  <c r="M38" i="9"/>
  <c r="B35" i="9"/>
  <c r="N35" i="9"/>
  <c r="M35" i="9"/>
  <c r="L35" i="9"/>
  <c r="C35" i="9"/>
  <c r="C34" i="9"/>
  <c r="D35" i="10"/>
  <c r="D52" i="10"/>
  <c r="C53" i="10"/>
  <c r="F14" i="10"/>
  <c r="C14" i="10"/>
  <c r="C12" i="10"/>
  <c r="D20" i="10"/>
  <c r="C18" i="9"/>
  <c r="D21" i="10"/>
  <c r="C22" i="10"/>
  <c r="C16" i="10"/>
  <c r="C27" i="10"/>
  <c r="D39" i="10"/>
  <c r="C39" i="10"/>
  <c r="C36" i="10"/>
  <c r="C34" i="10"/>
  <c r="C41" i="10"/>
  <c r="D44" i="10"/>
  <c r="G46" i="10"/>
  <c r="C46" i="10"/>
  <c r="C45" i="10"/>
  <c r="C6" i="1"/>
  <c r="C2" i="1"/>
  <c r="D31" i="1"/>
  <c r="I21" i="1"/>
  <c r="I55" i="15"/>
  <c r="C5" i="15"/>
  <c r="C2" i="15"/>
  <c r="C3" i="17"/>
  <c r="G87" i="17"/>
  <c r="N87" i="17"/>
  <c r="B87" i="17"/>
  <c r="D28" i="10"/>
  <c r="B83" i="9"/>
  <c r="B84" i="9"/>
  <c r="B85" i="9"/>
  <c r="B86" i="9"/>
  <c r="E27" i="9"/>
  <c r="J31" i="9"/>
  <c r="F12" i="17"/>
  <c r="F11" i="17"/>
  <c r="D29" i="10"/>
  <c r="C42" i="10"/>
  <c r="C50" i="10"/>
  <c r="F9" i="10"/>
  <c r="N83" i="9"/>
  <c r="N84" i="9"/>
  <c r="N85" i="9"/>
  <c r="N86" i="9"/>
  <c r="O86" i="9"/>
  <c r="G68" i="9"/>
  <c r="G69" i="9"/>
  <c r="H65" i="9"/>
  <c r="H66" i="9"/>
  <c r="N87" i="9"/>
  <c r="M83" i="9"/>
  <c r="M84" i="9"/>
  <c r="M85" i="9"/>
  <c r="M86" i="9"/>
  <c r="M87" i="9"/>
  <c r="L83" i="9"/>
  <c r="L84" i="9"/>
  <c r="L85" i="9"/>
  <c r="L86" i="9"/>
  <c r="L87" i="9"/>
  <c r="K83" i="9"/>
  <c r="K84" i="9"/>
  <c r="K85" i="9"/>
  <c r="K86" i="9"/>
  <c r="K87" i="9"/>
  <c r="H83" i="9"/>
  <c r="H84" i="9"/>
  <c r="H85" i="9"/>
  <c r="H86" i="9"/>
  <c r="H87" i="9"/>
  <c r="G83" i="9"/>
  <c r="G84" i="9"/>
  <c r="G85" i="9"/>
  <c r="G86" i="9"/>
  <c r="G87" i="9"/>
  <c r="F83" i="9"/>
  <c r="F84" i="9"/>
  <c r="F85" i="9"/>
  <c r="F86" i="9"/>
  <c r="F87" i="9"/>
  <c r="E83" i="9"/>
  <c r="E84" i="9"/>
  <c r="E85" i="9"/>
  <c r="E86" i="9"/>
  <c r="E87" i="9"/>
  <c r="D83" i="9"/>
  <c r="D84" i="9"/>
  <c r="D85" i="9"/>
  <c r="D86" i="9"/>
  <c r="D87" i="9"/>
  <c r="C83" i="9"/>
  <c r="C84" i="9"/>
  <c r="C85" i="9"/>
  <c r="C86" i="9"/>
  <c r="C87" i="9"/>
  <c r="B87" i="9"/>
  <c r="H69" i="9"/>
  <c r="L69" i="9"/>
  <c r="K69" i="9"/>
  <c r="J69" i="9"/>
  <c r="I69" i="9"/>
  <c r="H68" i="9"/>
  <c r="L68" i="9"/>
  <c r="I68" i="9"/>
  <c r="H67" i="9"/>
  <c r="L67" i="9"/>
  <c r="K67" i="9"/>
  <c r="I67" i="9"/>
  <c r="L66" i="9"/>
  <c r="K66" i="9"/>
  <c r="I66" i="9"/>
  <c r="L65" i="9"/>
  <c r="K65" i="9"/>
  <c r="I65" i="9"/>
  <c r="D24" i="17"/>
  <c r="B92" i="17"/>
  <c r="T87" i="17"/>
  <c r="U87" i="17"/>
  <c r="AD87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W87" i="17"/>
  <c r="Y87" i="17"/>
  <c r="Z87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I38" i="17"/>
  <c r="N38" i="17"/>
  <c r="I37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AC87" i="17"/>
  <c r="AB88" i="17"/>
  <c r="K86" i="17"/>
  <c r="M86" i="17"/>
  <c r="N86" i="17"/>
  <c r="L86" i="17"/>
  <c r="O86" i="17"/>
  <c r="M94" i="17"/>
  <c r="B96" i="17"/>
  <c r="B97" i="17"/>
  <c r="B98" i="17"/>
  <c r="B100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AA87" i="17"/>
  <c r="Z88" i="17"/>
  <c r="X24" i="17"/>
  <c r="G18" i="17"/>
  <c r="Y10" i="17"/>
  <c r="C7" i="10"/>
  <c r="C3" i="10"/>
  <c r="F47" i="7"/>
  <c r="K48" i="7"/>
  <c r="J48" i="7"/>
  <c r="C48" i="7"/>
  <c r="L50" i="7"/>
  <c r="G47" i="7"/>
  <c r="E47" i="7"/>
  <c r="M50" i="7"/>
  <c r="K50" i="7"/>
  <c r="J50" i="7"/>
  <c r="I50" i="7"/>
  <c r="H50" i="7"/>
  <c r="B48" i="7"/>
  <c r="I47" i="7"/>
  <c r="D47" i="7"/>
  <c r="H47" i="7"/>
  <c r="E48" i="7"/>
  <c r="D48" i="7"/>
  <c r="C49" i="7"/>
  <c r="B49" i="7"/>
  <c r="H67" i="15"/>
  <c r="C2" i="14"/>
  <c r="D23" i="14"/>
  <c r="E6" i="14"/>
  <c r="C5" i="14"/>
  <c r="C8" i="14"/>
  <c r="D22" i="14"/>
  <c r="D21" i="14"/>
  <c r="D20" i="14"/>
  <c r="Q44" i="13"/>
  <c r="Q43" i="13"/>
  <c r="Q42" i="13"/>
  <c r="Q40" i="13"/>
  <c r="Q39" i="13"/>
  <c r="M46" i="13"/>
  <c r="M45" i="13"/>
  <c r="D48" i="13"/>
  <c r="M44" i="13"/>
  <c r="M43" i="13"/>
  <c r="M42" i="13"/>
  <c r="M41" i="13"/>
  <c r="M40" i="13"/>
  <c r="M39" i="13"/>
  <c r="I51" i="13"/>
  <c r="I50" i="13"/>
  <c r="I49" i="13"/>
  <c r="I47" i="13"/>
  <c r="I46" i="13"/>
  <c r="D50" i="13"/>
  <c r="D51" i="13"/>
  <c r="D49" i="13"/>
  <c r="D47" i="13"/>
  <c r="D46" i="13"/>
  <c r="C6" i="13"/>
  <c r="B6" i="13"/>
  <c r="D5" i="13"/>
  <c r="D4" i="13"/>
  <c r="I5" i="11"/>
  <c r="I4" i="11"/>
  <c r="D5" i="11"/>
  <c r="D6" i="11"/>
  <c r="D7" i="11"/>
  <c r="E8" i="17"/>
  <c r="J37" i="17"/>
  <c r="L37" i="17"/>
  <c r="M37" i="17"/>
  <c r="N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AB87" i="17"/>
  <c r="AA88" i="17"/>
  <c r="AC88" i="17"/>
  <c r="C10" i="1"/>
  <c r="C7" i="1"/>
  <c r="C24" i="1"/>
  <c r="C33" i="1"/>
</calcChain>
</file>

<file path=xl/comments1.xml><?xml version="1.0" encoding="utf-8"?>
<comments xmlns="http://schemas.openxmlformats.org/spreadsheetml/2006/main">
  <authors>
    <author>Rodrigo A Labatut</author>
  </authors>
  <commentList>
    <comment ref="A68" authorId="0">
      <text>
        <r>
          <rPr>
            <b/>
            <sz val="8"/>
            <color indexed="81"/>
            <rFont val="Tahoma"/>
            <family val="2"/>
          </rPr>
          <t>Rodrigo A Labatut:</t>
        </r>
        <r>
          <rPr>
            <sz val="8"/>
            <color indexed="81"/>
            <rFont val="Tahoma"/>
            <family val="2"/>
          </rPr>
          <t xml:space="preserve">
formula from Boruff &amp; Buswell, 1933</t>
        </r>
      </text>
    </comment>
  </commentList>
</comments>
</file>

<file path=xl/sharedStrings.xml><?xml version="1.0" encoding="utf-8"?>
<sst xmlns="http://schemas.openxmlformats.org/spreadsheetml/2006/main" count="1498" uniqueCount="984">
  <si>
    <t>Hauling</t>
  </si>
  <si>
    <t>Hauling (solid waste colletctiion)</t>
  </si>
  <si>
    <t>Source</t>
  </si>
  <si>
    <t>Hauling (industrial)</t>
  </si>
  <si>
    <t>kgCO2e/t-km</t>
  </si>
  <si>
    <t>Description</t>
  </si>
  <si>
    <t>Transport, combination truck, diesel powered/Northeast US</t>
  </si>
  <si>
    <t>USLCI,</t>
  </si>
  <si>
    <t>Digester</t>
  </si>
  <si>
    <t>Hauling distance</t>
  </si>
  <si>
    <t>Ebner et al., 2014</t>
  </si>
  <si>
    <t>GTW</t>
  </si>
  <si>
    <t>km</t>
  </si>
  <si>
    <t>Electricity generated</t>
  </si>
  <si>
    <t>Units</t>
  </si>
  <si>
    <t>Hauling emissions</t>
  </si>
  <si>
    <t>Ebner et al, 2014</t>
  </si>
  <si>
    <t>3% of methane utilized</t>
  </si>
  <si>
    <t>calculated</t>
  </si>
  <si>
    <t>calculated as 84% of B0</t>
  </si>
  <si>
    <t>I</t>
  </si>
  <si>
    <t>SW</t>
  </si>
  <si>
    <t>m3/t</t>
  </si>
  <si>
    <t>%</t>
  </si>
  <si>
    <t>data, obtained from maps</t>
  </si>
  <si>
    <t>scaling factor for lab B0 to commercial Methane yeild</t>
  </si>
  <si>
    <t>Results (kgCO2e/MT)</t>
  </si>
  <si>
    <t>GWPCH4</t>
  </si>
  <si>
    <t>kgCH4/m3CH4</t>
  </si>
  <si>
    <t>kgCO2e/kgCH4</t>
  </si>
  <si>
    <t>kgCO2e/t</t>
  </si>
  <si>
    <t>Dressler, 2012</t>
  </si>
  <si>
    <t>Hildesheim, Gottingen, Celle</t>
  </si>
  <si>
    <t>Ebner et al, 2015</t>
  </si>
  <si>
    <t>egrid kgCO2e/MWh</t>
  </si>
  <si>
    <t>Avoided electicity emissions</t>
  </si>
  <si>
    <t>Storage</t>
  </si>
  <si>
    <t>MWh/t</t>
  </si>
  <si>
    <t>Land Application</t>
  </si>
  <si>
    <t>GWPN2O</t>
  </si>
  <si>
    <t>Direct N2O</t>
  </si>
  <si>
    <t>Indirect N2O</t>
  </si>
  <si>
    <t>IPCC protocol, EF3=0.005</t>
  </si>
  <si>
    <t>assumes that N in is the same as N out adjusted for D losses</t>
  </si>
  <si>
    <t>assumes that N is is the same as N out adjusted for D losses</t>
  </si>
  <si>
    <t>Moller,2006  based upon 20km to field and scalable</t>
  </si>
  <si>
    <t>Xport to field</t>
  </si>
  <si>
    <t>Nremaining</t>
  </si>
  <si>
    <t>mg/kg</t>
  </si>
  <si>
    <t>Bo (ml/g VS)</t>
  </si>
  <si>
    <t>Lo (m3/MT)</t>
  </si>
  <si>
    <t>Whey</t>
  </si>
  <si>
    <t xml:space="preserve">Labutut, Kavacik, Jelgava, Comino, Moody, Ghaly, </t>
  </si>
  <si>
    <t>whey</t>
  </si>
  <si>
    <t>mg/l</t>
  </si>
  <si>
    <t>N</t>
  </si>
  <si>
    <t>kg/MWh</t>
  </si>
  <si>
    <t>N2O</t>
  </si>
  <si>
    <t>CH4</t>
  </si>
  <si>
    <t>CO2 (lb/MWh)</t>
  </si>
  <si>
    <t>kgCO2e/MT</t>
  </si>
  <si>
    <t>Net missions</t>
  </si>
  <si>
    <t>kg CO2e/MT</t>
  </si>
  <si>
    <t>Egrid National average Grid  non baseload (same as NE central)</t>
  </si>
  <si>
    <t>KWh generated</t>
  </si>
  <si>
    <t>kg CO2 avoided</t>
  </si>
  <si>
    <t>KWh generated/MT</t>
  </si>
  <si>
    <t>EPA  2010 b</t>
  </si>
  <si>
    <t>percent</t>
  </si>
  <si>
    <t>(a) Elec. Gen efficiency</t>
  </si>
  <si>
    <t>BTU/KWh</t>
  </si>
  <si>
    <t>HRf</t>
  </si>
  <si>
    <t xml:space="preserve"> BTU</t>
  </si>
  <si>
    <t>1m3 CH4</t>
  </si>
  <si>
    <t>ratio of MTCO2e avoided to MTCO2e emitted</t>
  </si>
  <si>
    <t>m3 CH4/MT</t>
  </si>
  <si>
    <t>Landfilling EPA chapter on waste</t>
  </si>
  <si>
    <t>Avoided emissions</t>
  </si>
  <si>
    <t>carbon storage</t>
  </si>
  <si>
    <t>tansportation and processing fossil fuel use</t>
  </si>
  <si>
    <t>** taken from De La Cruz and Barlaz, 2010</t>
  </si>
  <si>
    <t>* taken from Levis and Barlaz, 2011</t>
  </si>
  <si>
    <t>Lo</t>
  </si>
  <si>
    <t>44kg CO2/12kg C</t>
  </si>
  <si>
    <t>kgCO2e/dry kg</t>
  </si>
  <si>
    <t>???</t>
  </si>
  <si>
    <t>Correction factor</t>
  </si>
  <si>
    <t>RATE</t>
  </si>
  <si>
    <t>CAPTURED</t>
  </si>
  <si>
    <t>OX</t>
  </si>
  <si>
    <t>RELEASED</t>
  </si>
  <si>
    <t>1-(GC*LCE))</t>
  </si>
  <si>
    <t>(1-OX)</t>
  </si>
  <si>
    <t>1-e-k</t>
  </si>
  <si>
    <t>e-k (x-1)</t>
  </si>
  <si>
    <t>X</t>
  </si>
  <si>
    <t>% released</t>
  </si>
  <si>
    <t>Oxidized</t>
  </si>
  <si>
    <t>METHANE PRODUCED</t>
  </si>
  <si>
    <t>The fraction of the methane generated that is emitted to the
atmosphere over a ten year time horizon,</t>
  </si>
  <si>
    <t>FE=(e-k(x-1) (1-e-k) (1-(GC*LCE))) (1-OX)</t>
  </si>
  <si>
    <t>Factor of oxidation</t>
  </si>
  <si>
    <t>decay rate (k)**</t>
  </si>
  <si>
    <t>Apple Pomace</t>
  </si>
  <si>
    <t>Bakery Waste</t>
  </si>
  <si>
    <t>Landfill</t>
  </si>
  <si>
    <t>Animal Feed</t>
  </si>
  <si>
    <t>WWTP</t>
  </si>
  <si>
    <t>Compost</t>
  </si>
  <si>
    <t>AD</t>
  </si>
  <si>
    <t>Y</t>
  </si>
  <si>
    <t>Displaced fertilizer</t>
  </si>
  <si>
    <t>Separation/Pretreatment</t>
  </si>
  <si>
    <t>FOD model</t>
  </si>
  <si>
    <t>Intermediate results</t>
  </si>
  <si>
    <t>Input variables</t>
  </si>
  <si>
    <t xml:space="preserve"> Factors</t>
  </si>
  <si>
    <t>ratio</t>
  </si>
  <si>
    <t>kgCO2e/kgN2O</t>
  </si>
  <si>
    <t>WARM</t>
  </si>
  <si>
    <t>Ebner</t>
  </si>
  <si>
    <t>EMCH4r= Lo*den*FE*GWPCH4</t>
  </si>
  <si>
    <t>separation</t>
  </si>
  <si>
    <t>grinding</t>
  </si>
  <si>
    <t>reclaimed recyclables</t>
  </si>
  <si>
    <t>not included at this time</t>
  </si>
  <si>
    <t xml:space="preserve"> kgCO2e/MWh  </t>
  </si>
  <si>
    <t>N content</t>
  </si>
  <si>
    <t>%VS</t>
  </si>
  <si>
    <t>calculated from FOD model</t>
  </si>
  <si>
    <t>Bo*%VS</t>
  </si>
  <si>
    <t>Fraction emitted (FE)</t>
  </si>
  <si>
    <t>Methane emissions EMCH4</t>
  </si>
  <si>
    <t>fraction</t>
  </si>
  <si>
    <t>Energy content methane  BTU/m3CH4</t>
  </si>
  <si>
    <t xml:space="preserve">BTU/m3 </t>
  </si>
  <si>
    <t xml:space="preserve">Methane recovered </t>
  </si>
  <si>
    <t>KWh /MT</t>
  </si>
  <si>
    <t>m3CH4/t</t>
  </si>
  <si>
    <t>kg CO2e/t</t>
  </si>
  <si>
    <t>Displaced emissions (Emavoided)</t>
  </si>
  <si>
    <t>Egrid</t>
  </si>
  <si>
    <t xml:space="preserve"> non baseload NPCC</t>
  </si>
  <si>
    <t>EcoInvent, Transport, Municipal Waste Collection, Lorry 21t / CH U</t>
  </si>
  <si>
    <t>Boldrin high</t>
  </si>
  <si>
    <t>Baky and Eriksson, 2003</t>
  </si>
  <si>
    <t>Smith</t>
  </si>
  <si>
    <t>Compost C sink summary (taken from A. Bernstad)</t>
  </si>
  <si>
    <t>C sink</t>
  </si>
  <si>
    <t>C tot initial</t>
  </si>
  <si>
    <t>AD C sink summary (taken from A. Bernstad)</t>
  </si>
  <si>
    <t>Moller high</t>
  </si>
  <si>
    <t>Moller low</t>
  </si>
  <si>
    <t>Yb</t>
  </si>
  <si>
    <t>Na</t>
  </si>
  <si>
    <t>B0</t>
  </si>
  <si>
    <t>Baily, 2009;Baily, 2009
Razaviarani et al., 2013
Davidson,2008
Luste, 2009</t>
  </si>
  <si>
    <r>
      <t>Based upon the nutritional content of the dairy wastewater to the cows (and a 4% solids content), 0.05 kg of corn was assumed to be displaced by 1kg of diary processing waste.</t>
    </r>
    <r>
      <rPr>
        <vertAlign val="superscript"/>
        <sz val="10"/>
        <color theme="1"/>
        <rFont val="Times New Roman"/>
        <family val="1"/>
      </rPr>
      <t>36</t>
    </r>
    <r>
      <rPr>
        <sz val="10"/>
        <color theme="1"/>
        <rFont val="Times New Roman"/>
        <family val="2"/>
      </rPr>
      <t xml:space="preserve">   </t>
    </r>
  </si>
  <si>
    <t>Gassara et al., 2011</t>
  </si>
  <si>
    <t>calculated based upon C and N content</t>
  </si>
  <si>
    <t>standard ration</t>
  </si>
  <si>
    <t>1kg of pomace</t>
  </si>
  <si>
    <t>Miaze</t>
  </si>
  <si>
    <t>Soy</t>
  </si>
  <si>
    <t>change</t>
  </si>
  <si>
    <t>CP</t>
  </si>
  <si>
    <t>NDF</t>
  </si>
  <si>
    <t>apple pomace</t>
  </si>
  <si>
    <t>ADF</t>
  </si>
  <si>
    <t>Apple pomace</t>
  </si>
  <si>
    <t>EE</t>
  </si>
  <si>
    <t>Cannery wastes</t>
  </si>
  <si>
    <t>DM</t>
  </si>
  <si>
    <t>Ash</t>
  </si>
  <si>
    <t>OM</t>
  </si>
  <si>
    <t>NDS</t>
  </si>
  <si>
    <t>HC</t>
  </si>
  <si>
    <t>CEL</t>
  </si>
  <si>
    <t>21.0d</t>
  </si>
  <si>
    <t>78.9c</t>
  </si>
  <si>
    <t>21.9g</t>
  </si>
  <si>
    <t>3.5d</t>
  </si>
  <si>
    <t>42.3c</t>
  </si>
  <si>
    <t>57.8c</t>
  </si>
  <si>
    <t>21.1b</t>
  </si>
  <si>
    <t>21.2e</t>
  </si>
  <si>
    <t>11.4a</t>
  </si>
  <si>
    <t>Cauliflower</t>
  </si>
  <si>
    <t>13.7b</t>
  </si>
  <si>
    <t>86.4e</t>
  </si>
  <si>
    <t>17.0d</t>
  </si>
  <si>
    <t>4.2e</t>
  </si>
  <si>
    <t>27.5a</t>
  </si>
  <si>
    <t>72.5f</t>
  </si>
  <si>
    <t>19.4a</t>
  </si>
  <si>
    <t>8.1c</t>
  </si>
  <si>
    <t>15.2c</t>
  </si>
  <si>
    <t>9.8a</t>
  </si>
  <si>
    <t>90.2f</t>
  </si>
  <si>
    <t>13.6b</t>
  </si>
  <si>
    <t>3.4d</t>
  </si>
  <si>
    <t>46.4d</t>
  </si>
  <si>
    <t>53.6b</t>
  </si>
  <si>
    <t>38.2e</t>
  </si>
  <si>
    <t>8.3c</t>
  </si>
  <si>
    <t>25.3e</t>
  </si>
  <si>
    <t>15.8c</t>
  </si>
  <si>
    <t>84.2d</t>
  </si>
  <si>
    <t>19.9f</t>
  </si>
  <si>
    <t>2.6ab</t>
  </si>
  <si>
    <t>33.7b</t>
  </si>
  <si>
    <t>66.3e</t>
  </si>
  <si>
    <t>22.6d</t>
  </si>
  <si>
    <t>11.1d</t>
  </si>
  <si>
    <t>10.0a</t>
  </si>
  <si>
    <t>89.9f</t>
  </si>
  <si>
    <t>11.8a</t>
  </si>
  <si>
    <t>2.4a</t>
  </si>
  <si>
    <t>60.0e</t>
  </si>
  <si>
    <t>40.0a</t>
  </si>
  <si>
    <t>49.9g</t>
  </si>
  <si>
    <t>10.0d</t>
  </si>
  <si>
    <t>36.8f</t>
  </si>
  <si>
    <t>22.1e</t>
  </si>
  <si>
    <t>77.9b</t>
  </si>
  <si>
    <t>19.4e</t>
  </si>
  <si>
    <t>4.5e</t>
  </si>
  <si>
    <t>27.9a</t>
  </si>
  <si>
    <t>72.1f</t>
  </si>
  <si>
    <t>21.9c</t>
  </si>
  <si>
    <t>5.9b</t>
  </si>
  <si>
    <t>14.9c</t>
  </si>
  <si>
    <t>23.3f</t>
  </si>
  <si>
    <t>76.8a</t>
  </si>
  <si>
    <t>13.9c</t>
  </si>
  <si>
    <t>2.9b</t>
  </si>
  <si>
    <t>41.1c</t>
  </si>
  <si>
    <t>58.9d</t>
  </si>
  <si>
    <t>40.4f</t>
  </si>
  <si>
    <t>0.7a</t>
  </si>
  <si>
    <t>16.9d</t>
  </si>
  <si>
    <t>Pooled</t>
  </si>
  <si>
    <t>SE</t>
  </si>
  <si>
    <t>Carrot3</t>
  </si>
  <si>
    <t>Potato3</t>
  </si>
  <si>
    <t>−</t>
  </si>
  <si>
    <t>8.04b</t>
  </si>
  <si>
    <t>92.0a</t>
  </si>
  <si>
    <t>19.8d</t>
  </si>
  <si>
    <t>1.0a</t>
  </si>
  <si>
    <t>48.1c</t>
  </si>
  <si>
    <t>52.9b</t>
  </si>
  <si>
    <t>35.4c</t>
  </si>
  <si>
    <t>12.7b</t>
  </si>
  <si>
    <t>24.0c</t>
  </si>
  <si>
    <t>7.5b</t>
  </si>
  <si>
    <t>92.5a</t>
  </si>
  <si>
    <t>7.2a</t>
  </si>
  <si>
    <t>1.8b</t>
  </si>
  <si>
    <t>24.0a</t>
  </si>
  <si>
    <t>76.0c</t>
  </si>
  <si>
    <t>20.0a</t>
  </si>
  <si>
    <t>4.0a</t>
  </si>
  <si>
    <t>15.3b</t>
  </si>
  <si>
    <t>4.5a</t>
  </si>
  <si>
    <t>95.5b</t>
  </si>
  <si>
    <t>10.5b</t>
  </si>
  <si>
    <t>5.8c</t>
  </si>
  <si>
    <t>26.5b</t>
  </si>
  <si>
    <t>73.5c</t>
  </si>
  <si>
    <t>24.5b</t>
  </si>
  <si>
    <t>2.0a</t>
  </si>
  <si>
    <t>12.8a</t>
  </si>
  <si>
    <t>6.9b</t>
  </si>
  <si>
    <t>93.1a</t>
  </si>
  <si>
    <t>15.0c</t>
  </si>
  <si>
    <t>63.3d</t>
  </si>
  <si>
    <t>36.7a</t>
  </si>
  <si>
    <t>45.6d</t>
  </si>
  <si>
    <t>17.7c</t>
  </si>
  <si>
    <t>34.8d</t>
  </si>
  <si>
    <t>-</t>
  </si>
  <si>
    <t>Botanical name</t>
  </si>
  <si>
    <t>Vegetablewastes</t>
  </si>
  <si>
    <t>sugar leaves</t>
  </si>
  <si>
    <t xml:space="preserve"> Black chick pea</t>
  </si>
  <si>
    <t>Cabbage leaves</t>
  </si>
  <si>
    <t>Pea vines</t>
  </si>
  <si>
    <t>Radish leaves</t>
  </si>
  <si>
    <t>Summer squash vines</t>
  </si>
  <si>
    <t xml:space="preserve">Pooled SE </t>
  </si>
  <si>
    <t>Ensiled pea vines</t>
  </si>
  <si>
    <t>Snow peas 4</t>
  </si>
  <si>
    <t>Baby corn husk s</t>
  </si>
  <si>
    <t>Pea podsr</t>
  </si>
  <si>
    <t>Carrot pulp 5</t>
  </si>
  <si>
    <t>Citrus pulp 5</t>
  </si>
  <si>
    <t>Sarson saag</t>
  </si>
  <si>
    <t>Bottle gourd</t>
  </si>
  <si>
    <t>Fruit wastes</t>
  </si>
  <si>
    <t>8.9−12.2</t>
  </si>
  <si>
    <t>5.0−7.1</t>
  </si>
  <si>
    <t>51.5−58.0</t>
  </si>
  <si>
    <t>42.0−48.5</t>
  </si>
  <si>
    <t>48.4−52.6</t>
  </si>
  <si>
    <t>3.1−5.4</t>
  </si>
  <si>
    <t>Pineapple</t>
  </si>
  <si>
    <t>11.1b</t>
  </si>
  <si>
    <t>88.9b</t>
  </si>
  <si>
    <t>8.1a</t>
  </si>
  <si>
    <t>6.2b</t>
  </si>
  <si>
    <t>35.8a</t>
  </si>
  <si>
    <t>64.2b</t>
  </si>
  <si>
    <t>25.3a</t>
  </si>
  <si>
    <t>18.2b</t>
  </si>
  <si>
    <t>85.1a</t>
  </si>
  <si>
    <t>9.5b</t>
  </si>
  <si>
    <t>5.8b</t>
  </si>
  <si>
    <t>59.3b</t>
  </si>
  <si>
    <t>40.7a</t>
  </si>
  <si>
    <t>35.7c</t>
  </si>
  <si>
    <t>23.6c</t>
  </si>
  <si>
    <t>14.8a</t>
  </si>
  <si>
    <t>7.9a</t>
  </si>
  <si>
    <t>92.1c</t>
  </si>
  <si>
    <t>1.8a</t>
  </si>
  <si>
    <t>33.8a</t>
  </si>
  <si>
    <t>66.2b</t>
  </si>
  <si>
    <t>30.7b</t>
  </si>
  <si>
    <t>3.1a</t>
  </si>
  <si>
    <t>26.4c</t>
  </si>
  <si>
    <t>Grape pomace</t>
  </si>
  <si>
    <t>Sugar beet</t>
  </si>
  <si>
    <t>Tomato pomace 9</t>
  </si>
  <si>
    <t>Banana peels</t>
  </si>
  <si>
    <t>Muskmelon peels</t>
  </si>
  <si>
    <t>Watermelon peels</t>
  </si>
  <si>
    <t>FAO, p. 19</t>
  </si>
  <si>
    <t>corn</t>
  </si>
  <si>
    <t>bakery waste</t>
  </si>
  <si>
    <t>%DM</t>
  </si>
  <si>
    <t>TDN (%M)</t>
  </si>
  <si>
    <t>Displacement (kg corn/kg food waste)</t>
  </si>
  <si>
    <t>grape pomace</t>
  </si>
  <si>
    <t>tomato</t>
  </si>
  <si>
    <t>whey?????</t>
  </si>
  <si>
    <t>Feed</t>
  </si>
  <si>
    <t>% Dry</t>
  </si>
  <si>
    <t>TDN</t>
  </si>
  <si>
    <t>RELATIVE VALUE</t>
  </si>
  <si>
    <t>Beet Pulp, dried</t>
  </si>
  <si>
    <t>Beans, cull</t>
  </si>
  <si>
    <t>Grain Screenings</t>
  </si>
  <si>
    <t>88*</t>
  </si>
  <si>
    <t>Carrots</t>
  </si>
  <si>
    <t>Corn silage, mature</t>
  </si>
  <si>
    <t>Corn &amp; Cob meal</t>
  </si>
  <si>
    <t>Corn Cannery Silage</t>
  </si>
  <si>
    <t>Corn Dstlr grain</t>
  </si>
  <si>
    <t>w/ solubles</t>
  </si>
  <si>
    <t>Vegetable Oil</t>
  </si>
  <si>
    <t>Grain Dust</t>
  </si>
  <si>
    <t>Oat Hulls</t>
  </si>
  <si>
    <t>Peas, cull</t>
  </si>
  <si>
    <t>Potatoes, cull</t>
  </si>
  <si>
    <t>Potato waste</t>
  </si>
  <si>
    <t>Wheat, millrun</t>
  </si>
  <si>
    <t>85**</t>
  </si>
  <si>
    <t>Onions, cull</t>
  </si>
  <si>
    <t>Lentil screenings</t>
  </si>
  <si>
    <t>Pulses 89 84 95</t>
  </si>
  <si>
    <t> Nutrient Requirements of Beef Cattle 1996</t>
  </si>
  <si>
    <t>NRC 2011</t>
  </si>
  <si>
    <t>http://www.omafra.gov.on.ca/english/livestock/dairy/facts/03-005.htm</t>
  </si>
  <si>
    <t>Fact Sheet Ontario</t>
  </si>
  <si>
    <t>Potatoes</t>
  </si>
  <si>
    <t>Lettuce</t>
  </si>
  <si>
    <t>beef magazine</t>
  </si>
  <si>
    <t>NDSU</t>
  </si>
  <si>
    <t>NRC, 2000</t>
  </si>
  <si>
    <t>NRC, 2001</t>
  </si>
  <si>
    <t>NRC, 2003</t>
  </si>
  <si>
    <t>NDSU, 2012</t>
  </si>
  <si>
    <t>Distance to farm</t>
  </si>
  <si>
    <t>Displaced Animal Feed</t>
  </si>
  <si>
    <t>Displacement factor</t>
  </si>
  <si>
    <t>DF(kg corn/kg food waste)</t>
  </si>
  <si>
    <t xml:space="preserve">Corn feed impacts </t>
  </si>
  <si>
    <t>Net emissions</t>
  </si>
  <si>
    <t xml:space="preserve"> IPCC GWP 100a. 1tkm yielded 1.31 kg CO2e Full life cycle impact including road, vehicle, and tire wear. NOTE: The emissions factor is per ton, therefore can be applied directly to a ton of food scraps without needing to ratio between MSW and food scraps.</t>
  </si>
  <si>
    <t>Calculated using the emission factor for Transport, combination truck, diesel powered/Northeast US</t>
  </si>
  <si>
    <t>Lo of substrate</t>
  </si>
  <si>
    <t>Conversion Efficiency</t>
  </si>
  <si>
    <r>
      <rPr>
        <sz val="12"/>
        <color rgb="FFFF0000"/>
        <rFont val="Calibri"/>
        <family val="2"/>
        <charset val="128"/>
        <scheme val="minor"/>
      </rPr>
      <t>assuming a 55% reduction in VS</t>
    </r>
  </si>
  <si>
    <t>TVS (g/kg) in digestate</t>
  </si>
  <si>
    <t>N2O emissions</t>
  </si>
  <si>
    <t>kgVS/t FW</t>
  </si>
  <si>
    <t xml:space="preserve">mg/l </t>
  </si>
  <si>
    <t>N land applied net of storage losses</t>
  </si>
  <si>
    <t>Avoided N fertilizer emissions</t>
  </si>
  <si>
    <t>kgCO2e/kg N applied</t>
  </si>
  <si>
    <t>Effective N applied</t>
  </si>
  <si>
    <t>purely arbitrary mineralization factor of 40%</t>
  </si>
  <si>
    <t>Wood and Cowie emission factor</t>
  </si>
  <si>
    <t xml:space="preserve">Avoided N fertilizer direct and indirect </t>
  </si>
  <si>
    <t>Napplied</t>
  </si>
  <si>
    <t>%TS (TS/FW)</t>
  </si>
  <si>
    <t>TKN (mg/kg)</t>
  </si>
  <si>
    <t>per ton waste</t>
  </si>
  <si>
    <t>LF to AD</t>
  </si>
  <si>
    <t>LF to LA</t>
  </si>
  <si>
    <t>LA to LF</t>
  </si>
  <si>
    <t>LA to AD</t>
  </si>
  <si>
    <t>AD to LF</t>
  </si>
  <si>
    <t>AD to LA</t>
  </si>
  <si>
    <t>AF to AD</t>
  </si>
  <si>
    <t>LA-to AF</t>
  </si>
  <si>
    <t>AF to LA</t>
  </si>
  <si>
    <t>LF to AF</t>
  </si>
  <si>
    <t>AD to AF</t>
  </si>
  <si>
    <t>AF to LF</t>
  </si>
  <si>
    <t>humanure</t>
  </si>
  <si>
    <t>Electricity utilized</t>
  </si>
  <si>
    <t>density_CH4</t>
  </si>
  <si>
    <t>Efgrid</t>
  </si>
  <si>
    <t>Methane utilized (CH4U)</t>
  </si>
  <si>
    <t>Incomplete combustion CH4IC</t>
  </si>
  <si>
    <t>Hauling (industrial) Effreight</t>
  </si>
  <si>
    <t>IPCC, EF4=0.01</t>
  </si>
  <si>
    <t>N land applied net of storage losses and other N=0.02</t>
  </si>
  <si>
    <t>IPCC EF1=0.0125</t>
  </si>
  <si>
    <t>Other N losses</t>
  </si>
  <si>
    <t>purely arbitrary availability factor of 40% takes into account all remaining TAN and some ON mineralization</t>
  </si>
  <si>
    <t>Wood and Cowie emission factor for production</t>
  </si>
  <si>
    <t>IPCC emissions for land app, FracGASF=0.1, Ef4=0.01, EF1=0.0125</t>
  </si>
  <si>
    <t>Carbon Sequestration and SOM</t>
  </si>
  <si>
    <t>FracGASMS=0.26</t>
  </si>
  <si>
    <t>SOM- humic development</t>
  </si>
  <si>
    <t>if packaged</t>
  </si>
  <si>
    <t>if TS&gt;20%</t>
  </si>
  <si>
    <t>fugative emissions biochemical</t>
  </si>
  <si>
    <t>Collection and xport</t>
  </si>
  <si>
    <t>MSW collection (MTCO2e/t)</t>
  </si>
  <si>
    <t>0.02MTCO2e/short ton, assumes 20mile xport distance, from WARM model</t>
  </si>
  <si>
    <t>Operation</t>
  </si>
  <si>
    <t>L/gallon</t>
  </si>
  <si>
    <t xml:space="preserve">Decay </t>
  </si>
  <si>
    <t>kg/t</t>
  </si>
  <si>
    <t>WARM v13 Exh.12</t>
  </si>
  <si>
    <t>high compared to Barlaz experiments.</t>
  </si>
  <si>
    <t>TVS  (VS/FW)</t>
  </si>
  <si>
    <t>Methane recovered</t>
  </si>
  <si>
    <t>Btu/Kwh</t>
  </si>
  <si>
    <t>uptime</t>
  </si>
  <si>
    <t>efficiency</t>
  </si>
  <si>
    <t>k*e-kt</t>
  </si>
  <si>
    <t>captured</t>
  </si>
  <si>
    <t>released</t>
  </si>
  <si>
    <t>(g/mBTU)</t>
  </si>
  <si>
    <t>diesel emissions CO2</t>
  </si>
  <si>
    <t>diesel emissions (CH4)</t>
  </si>
  <si>
    <t>diesel emissions (N2O)</t>
  </si>
  <si>
    <t xml:space="preserve">diesel use at landfill </t>
  </si>
  <si>
    <t>L/t</t>
  </si>
  <si>
    <t>0.7 gal/1000lbs; high compared to 1–3 L diesel tonne–1 waste (Hunziker)</t>
  </si>
  <si>
    <t>LHV mbtu/L</t>
  </si>
  <si>
    <t>GREET</t>
  </si>
  <si>
    <t>Iowa sate extension</t>
  </si>
  <si>
    <t xml:space="preserve">provision of deisel </t>
  </si>
  <si>
    <t>Fruergaard et al. (2009)</t>
  </si>
  <si>
    <t xml:space="preserve"> kgCO2/L</t>
  </si>
  <si>
    <t>Levis and Barlaz, 2014</t>
  </si>
  <si>
    <t>k</t>
  </si>
  <si>
    <r>
      <t>Oxidized</t>
    </r>
    <r>
      <rPr>
        <vertAlign val="superscript"/>
        <sz val="11"/>
        <color theme="1"/>
        <rFont val="Calibri"/>
        <scheme val="minor"/>
      </rPr>
      <t>c</t>
    </r>
  </si>
  <si>
    <r>
      <t>CCAR v.2</t>
    </r>
    <r>
      <rPr>
        <sz val="11"/>
        <color theme="1"/>
        <rFont val="Calibri"/>
        <family val="2"/>
        <scheme val="minor"/>
      </rPr>
      <t xml:space="preserve"> not used</t>
    </r>
  </si>
  <si>
    <t>cWarmv13 oxidation rates</t>
  </si>
  <si>
    <t>LCE</t>
  </si>
  <si>
    <t>Methane Produced Q</t>
  </si>
  <si>
    <t xml:space="preserve">NOT USED </t>
  </si>
  <si>
    <t>Methane emissions</t>
  </si>
  <si>
    <t>m3/tTS)</t>
  </si>
  <si>
    <r>
      <t xml:space="preserve">Fraction </t>
    </r>
    <r>
      <rPr>
        <sz val="11"/>
        <color theme="1"/>
        <rFont val="Calibri"/>
        <family val="2"/>
        <scheme val="minor"/>
      </rPr>
      <t>recovered for LFG</t>
    </r>
  </si>
  <si>
    <t>BTU/m3</t>
  </si>
  <si>
    <r>
      <t>Heat rate of landfill gas to energy conversion</t>
    </r>
    <r>
      <rPr>
        <sz val="11"/>
        <color theme="1"/>
        <rFont val="Calibri"/>
        <family val="2"/>
        <scheme val="minor"/>
      </rPr>
      <t xml:space="preserve"> (HLFGTE)</t>
    </r>
    <r>
      <rPr>
        <sz val="11"/>
        <color theme="1"/>
        <rFont val="Calibri"/>
        <family val="2"/>
        <scheme val="minor"/>
      </rPr>
      <t>; assumed to be 11,700 Btu per kWh generated (EPA, 2013)</t>
    </r>
  </si>
  <si>
    <t>WARM v.13</t>
  </si>
  <si>
    <t>Warm v.13</t>
  </si>
  <si>
    <t>Initial carbon content</t>
  </si>
  <si>
    <t>Protein</t>
  </si>
  <si>
    <t>C5H7O2N</t>
  </si>
  <si>
    <t>C16H24O5N4</t>
  </si>
  <si>
    <t>Lipids</t>
  </si>
  <si>
    <r>
      <t>C</t>
    </r>
    <r>
      <rPr>
        <vertAlign val="subscript"/>
        <sz val="12"/>
        <rFont val="Times New Roman"/>
      </rPr>
      <t>57</t>
    </r>
    <r>
      <rPr>
        <sz val="12"/>
        <rFont val="Times New Roman"/>
      </rPr>
      <t>H</t>
    </r>
    <r>
      <rPr>
        <vertAlign val="subscript"/>
        <sz val="12"/>
        <rFont val="Times New Roman"/>
      </rPr>
      <t>104</t>
    </r>
    <r>
      <rPr>
        <sz val="12"/>
        <rFont val="Times New Roman"/>
      </rPr>
      <t>O</t>
    </r>
    <r>
      <rPr>
        <vertAlign val="subscript"/>
        <sz val="12"/>
        <rFont val="Times New Roman"/>
      </rPr>
      <t>6</t>
    </r>
  </si>
  <si>
    <t>C8H16O</t>
  </si>
  <si>
    <t>Carbohydrates</t>
  </si>
  <si>
    <r>
      <t>C</t>
    </r>
    <r>
      <rPr>
        <vertAlign val="subscript"/>
        <sz val="12"/>
        <rFont val="Times New Roman"/>
      </rPr>
      <t>6</t>
    </r>
    <r>
      <rPr>
        <sz val="12"/>
        <rFont val="Times New Roman"/>
      </rPr>
      <t>H</t>
    </r>
    <r>
      <rPr>
        <vertAlign val="subscript"/>
        <sz val="12"/>
        <rFont val="Times New Roman"/>
      </rPr>
      <t>10</t>
    </r>
    <r>
      <rPr>
        <sz val="12"/>
        <rFont val="Times New Roman"/>
      </rPr>
      <t>O</t>
    </r>
    <r>
      <rPr>
        <vertAlign val="subscript"/>
        <sz val="12"/>
        <rFont val="Times New Roman"/>
      </rPr>
      <t>5</t>
    </r>
  </si>
  <si>
    <t>C6H12O6</t>
  </si>
  <si>
    <t>C</t>
  </si>
  <si>
    <t>H</t>
  </si>
  <si>
    <t>O</t>
  </si>
  <si>
    <t>S</t>
  </si>
  <si>
    <t>g/mol</t>
  </si>
  <si>
    <t>n</t>
  </si>
  <si>
    <t>a</t>
  </si>
  <si>
    <t>b</t>
  </si>
  <si>
    <t>c</t>
  </si>
  <si>
    <t>d</t>
  </si>
  <si>
    <t>MWt (g/mol)</t>
  </si>
  <si>
    <t>Bu at STP (mL CH4/g VS)</t>
  </si>
  <si>
    <t>COD (g COD/g VS)</t>
  </si>
  <si>
    <t>% C/mol</t>
  </si>
  <si>
    <t>% N/mol</t>
  </si>
  <si>
    <t>Formula</t>
  </si>
  <si>
    <t>Lignin</t>
  </si>
  <si>
    <t>Glucose</t>
  </si>
  <si>
    <t>Substrates</t>
  </si>
  <si>
    <t>Baked goods</t>
  </si>
  <si>
    <t>Canned goods</t>
  </si>
  <si>
    <t>Coffee</t>
  </si>
  <si>
    <t>Fresh produce</t>
  </si>
  <si>
    <t>Post consumer</t>
  </si>
  <si>
    <t>Prew waste</t>
  </si>
  <si>
    <t>Sweet dry goods</t>
  </si>
  <si>
    <t>Salad mix</t>
  </si>
  <si>
    <t>Unsweetened dry goods</t>
  </si>
  <si>
    <t>Yogurt and frozen deserts</t>
  </si>
  <si>
    <t>Manure</t>
  </si>
  <si>
    <t>%TS/ FW</t>
  </si>
  <si>
    <t>%VS/ TS</t>
  </si>
  <si>
    <t>(%VS/ FW)</t>
  </si>
  <si>
    <t>% ash/TS</t>
  </si>
  <si>
    <t>% crude fat /TS</t>
  </si>
  <si>
    <t>% crude protein /TS</t>
  </si>
  <si>
    <t>% carbohydrate /TS</t>
  </si>
  <si>
    <t>extent of degradation</t>
  </si>
  <si>
    <t>% C in fat</t>
  </si>
  <si>
    <t>% C in protein</t>
  </si>
  <si>
    <t>% C in carbohydrate</t>
  </si>
  <si>
    <t>% initial C/TS</t>
  </si>
  <si>
    <t>%initial C/FW</t>
  </si>
  <si>
    <t>Carbon storage</t>
  </si>
  <si>
    <t>Boldrin, 2009</t>
  </si>
  <si>
    <t>Avoided N fertilizer direct and indirect</t>
  </si>
  <si>
    <t>Type</t>
  </si>
  <si>
    <t>of</t>
  </si>
  <si>
    <t>process/emission</t>
  </si>
  <si>
    <t>Emission</t>
  </si>
  <si>
    <t>factor</t>
  </si>
  <si>
    <t>Reference</t>
  </si>
  <si>
    <t>Provision</t>
  </si>
  <si>
    <t>diesel</t>
  </si>
  <si>
    <t>oil</t>
  </si>
  <si>
    <t>0.4–0.5</t>
  </si>
  <si>
    <t>kg</t>
  </si>
  <si>
    <t>CO2-eq.</t>
  </si>
  <si>
    <t>L–1</t>
  </si>
  <si>
    <t>Fruergaard</t>
  </si>
  <si>
    <t>et</t>
  </si>
  <si>
    <t>al.</t>
  </si>
  <si>
    <t>Combustion</t>
  </si>
  <si>
    <t>electricity</t>
  </si>
  <si>
    <t>0.1–0.9</t>
  </si>
  <si>
    <t>kWh–1</t>
  </si>
  <si>
    <t>Production</t>
  </si>
  <si>
    <t>fertilizer</t>
  </si>
  <si>
    <t>4.7–13.0</t>
  </si>
  <si>
    <t>N–1</t>
  </si>
  <si>
    <t>Table</t>
  </si>
  <si>
    <t>P</t>
  </si>
  <si>
    <t>0.5–3.1</t>
  </si>
  <si>
    <t>P–1</t>
  </si>
  <si>
    <t>K</t>
  </si>
  <si>
    <t>0.4–1.5</t>
  </si>
  <si>
    <t>K–1</t>
  </si>
  <si>
    <t>peat</t>
  </si>
  <si>
    <t>550–1197</t>
  </si>
  <si>
    <t>tonne–1</t>
  </si>
  <si>
    <t>Section</t>
  </si>
  <si>
    <t>entitled:</t>
  </si>
  <si>
    <t>Indirect</t>
  </si>
  <si>
    <t>downstream</t>
  </si>
  <si>
    <t>emissions</t>
  </si>
  <si>
    <t>kgCO2e/LGREET v13 and Fruergaard et al. (2009)</t>
  </si>
  <si>
    <t>Compost operation</t>
  </si>
  <si>
    <t>taken from landfill worksheet and calculated from composition</t>
  </si>
  <si>
    <t>CH4 emissions</t>
  </si>
  <si>
    <t>Bound carbon</t>
  </si>
  <si>
    <t>Fertilizer offset</t>
  </si>
  <si>
    <t>Peat offset</t>
  </si>
  <si>
    <t>combustion of diesel</t>
  </si>
  <si>
    <t xml:space="preserve">GREET </t>
  </si>
  <si>
    <t>(g/mBtu) diesel combustion</t>
  </si>
  <si>
    <t>lower than warm around 20kgCO2e/t (0.04MTCO2e/st for hauling and equipment from 1997)</t>
  </si>
  <si>
    <t xml:space="preserve">shredding, loading and turning </t>
  </si>
  <si>
    <t xml:space="preserve">provision and combustion of diesel </t>
  </si>
  <si>
    <t>kgCH4/t</t>
  </si>
  <si>
    <t xml:space="preserve">Boldrin, 2009 </t>
  </si>
  <si>
    <t>0.1-1.8% of N emitted as N2O N, some studies omit</t>
  </si>
  <si>
    <t>kgN2O/t</t>
  </si>
  <si>
    <t>N2O-N to N2O (44/28)</t>
  </si>
  <si>
    <t>Warm  0.0396 MTCO2/st</t>
  </si>
  <si>
    <t>2-14% of  C applied Smith et al. 2001,Brinkmann et al. 2004; Den Boer et al. 2005, Fisher 2006),shereas Bruun et al. (2006)</t>
  </si>
  <si>
    <t>%/initial C</t>
  </si>
  <si>
    <t>C in compost</t>
  </si>
  <si>
    <t>kg/t FW</t>
  </si>
  <si>
    <t>C remaining</t>
  </si>
  <si>
    <t>kg/ t FW</t>
  </si>
  <si>
    <t xml:space="preserve"> kgCO2e/tFW</t>
  </si>
  <si>
    <t>Production of inorganic  N fertilizer</t>
  </si>
  <si>
    <t>Avoided K fertilizer production</t>
  </si>
  <si>
    <t>Avoided N fertilizer production</t>
  </si>
  <si>
    <t>Avoided P fertilizer production</t>
  </si>
  <si>
    <t>kgCO2e/kg  P applied</t>
  </si>
  <si>
    <t xml:space="preserve"> 26–51% of the initial N content have been reported for biowaste (Beck-Friiset al. 2000, NIRAS 2004, Den Boer et al. 2005), </t>
  </si>
  <si>
    <t>IPCC</t>
  </si>
  <si>
    <t>Wood and Cowie</t>
  </si>
  <si>
    <t>N effective</t>
  </si>
  <si>
    <t>kgN /t</t>
  </si>
  <si>
    <t>Application of inorganic N  fertilizer</t>
  </si>
  <si>
    <t xml:space="preserve">kgCO2/t </t>
  </si>
  <si>
    <t>Compost mass</t>
  </si>
  <si>
    <t>%compost/fw</t>
  </si>
  <si>
    <t>Peat replacement</t>
  </si>
  <si>
    <t>Peat applied</t>
  </si>
  <si>
    <t>kg peat/kgFW</t>
  </si>
  <si>
    <t>kgCO2e/tfw</t>
  </si>
  <si>
    <t>Carbon bound</t>
  </si>
  <si>
    <t>Boldrin</t>
  </si>
  <si>
    <t>Moller</t>
  </si>
  <si>
    <t>Percent N2O N emitted</t>
  </si>
  <si>
    <t>Compost application</t>
  </si>
  <si>
    <t>970 kg CO2-eq.Denmark (Boldrin et al. 2009b), 621-
1197 kg CO2 tonne–1  Germany(Kranert &amp; Gottschall 2007),  550 kg CO2 tonne–1 Dutch study (Brinkmann et al.2004).</t>
  </si>
  <si>
    <t>Capacity factor (CF)</t>
  </si>
  <si>
    <t>Gas Capture factor (GC)</t>
  </si>
  <si>
    <t>Initial C</t>
  </si>
  <si>
    <t>total</t>
  </si>
  <si>
    <t>not used</t>
  </si>
  <si>
    <t>not used 400kg compost / t fw</t>
  </si>
  <si>
    <t>does this include application as well?</t>
  </si>
  <si>
    <t>Assumes compost is applied with a manure spreader and transported 60km to a field. Moller,2006  based upon 20km to field and scalable</t>
  </si>
  <si>
    <t>P effective</t>
  </si>
  <si>
    <t>K effective</t>
  </si>
  <si>
    <t>Range</t>
  </si>
  <si>
    <t>Provision of diesel</t>
  </si>
  <si>
    <t>Combustion of diesel in heavy truck</t>
  </si>
  <si>
    <t>kgCO2e/L diesel</t>
  </si>
  <si>
    <t xml:space="preserve"> Fruergaard et al. (2009)</t>
  </si>
  <si>
    <t>Boldrin, 2009 (Smith et al. 2001, Recycled
Organics Unit 2003, Komilis &amp; Ham 2004, EC 2006, Fisher
2006, USEPA 2006, Kranert &amp; Gottschall 2007, Boldrin et al.
2009a), but in most cases a consumption around 3 L tonne–1 ww
is reported</t>
  </si>
  <si>
    <t>GREET 2014</t>
  </si>
  <si>
    <t>mBtU/L</t>
  </si>
  <si>
    <t>kgCO2e/L</t>
  </si>
  <si>
    <t>diesel lower heating value</t>
  </si>
  <si>
    <t>0.096- 0.229</t>
  </si>
  <si>
    <t>Levis and Barlaz, 2011</t>
  </si>
  <si>
    <t xml:space="preserve">EPA biogenic </t>
  </si>
  <si>
    <t>Barlaz and Warm provide a schedule ranging from 10-35%, with 20% average)</t>
  </si>
  <si>
    <t>0-1.0</t>
  </si>
  <si>
    <t>Gross capacity factor= availability factor+ load factor (fraction of time that the system is producting power +</t>
  </si>
  <si>
    <t>0.85-0.9</t>
  </si>
  <si>
    <t>takes into account downtime, low load and parasitic load</t>
  </si>
  <si>
    <t>Global Factors</t>
  </si>
  <si>
    <t>Feedstock Parameters</t>
  </si>
  <si>
    <t>MSW unit test</t>
  </si>
  <si>
    <t>Percent C carbo</t>
  </si>
  <si>
    <t>Percent C lipids</t>
  </si>
  <si>
    <t>Percent C protein</t>
  </si>
  <si>
    <t>%C w/w</t>
  </si>
  <si>
    <t>Landfill Factors</t>
  </si>
  <si>
    <t>guess</t>
  </si>
  <si>
    <t>Barlaz and Levis, 2011</t>
  </si>
  <si>
    <t>Prep waste</t>
  </si>
  <si>
    <t>Levis and Barlaz</t>
  </si>
  <si>
    <t>estimated</t>
  </si>
  <si>
    <t xml:space="preserve">100-365 </t>
  </si>
  <si>
    <t>Extent of degradation</t>
  </si>
  <si>
    <t>ADFactors</t>
  </si>
  <si>
    <t>0-10%</t>
  </si>
  <si>
    <t>Parasitic load</t>
  </si>
  <si>
    <t>0.10-0.20</t>
  </si>
  <si>
    <t>Heat rate of LF to E conversion</t>
  </si>
  <si>
    <t>btu/kwh</t>
  </si>
  <si>
    <t>.4-.7</t>
  </si>
  <si>
    <t>VS destruction</t>
  </si>
  <si>
    <t>VS %/FW</t>
  </si>
  <si>
    <t>m3CH4/kgVS</t>
  </si>
  <si>
    <t>Feedstock</t>
  </si>
  <si>
    <r>
      <t xml:space="preserve">not used:85  </t>
    </r>
    <r>
      <rPr>
        <sz val="11"/>
        <color theme="1"/>
        <rFont val="Calibri"/>
        <family val="2"/>
        <scheme val="minor"/>
      </rPr>
      <t>% Landfills in NYS  with GC recovery</t>
    </r>
  </si>
  <si>
    <t>EMCH4digestate</t>
  </si>
  <si>
    <t>Effluent residual methane factor</t>
  </si>
  <si>
    <t xml:space="preserve">Direct N2O emission factor </t>
  </si>
  <si>
    <t>Indirect N2O emissions</t>
  </si>
  <si>
    <t>Kg N2O-N/kg N</t>
  </si>
  <si>
    <t>KgNvol/kg N</t>
  </si>
  <si>
    <t xml:space="preserve">Methane conversion factor </t>
  </si>
  <si>
    <t>Methane leaks</t>
  </si>
  <si>
    <t>% methane utilized</t>
  </si>
  <si>
    <t>Methane incomplete combustion factor</t>
  </si>
  <si>
    <t>Methane fugative emissions</t>
  </si>
  <si>
    <t>% KWh generated</t>
  </si>
  <si>
    <t>IPCC, FracGASM=0.20</t>
  </si>
  <si>
    <t xml:space="preserve">IPCC, EF4=0.01, </t>
  </si>
  <si>
    <t>Direct N2O emission factor</t>
  </si>
  <si>
    <t>Indirect N volatilization factor</t>
  </si>
  <si>
    <t>Indirect N volitilization factor</t>
  </si>
  <si>
    <t>Transport to field</t>
  </si>
  <si>
    <t>0-30</t>
  </si>
  <si>
    <t>Indirect N2O-N from NH3</t>
  </si>
  <si>
    <t>C to CO2</t>
  </si>
  <si>
    <t>.08 kgC/kgTS WARM, 0.12kgC/kgVS Brun</t>
  </si>
  <si>
    <t>.10-.17</t>
  </si>
  <si>
    <r>
      <t>kg</t>
    </r>
    <r>
      <rPr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/t FW</t>
    </r>
  </si>
  <si>
    <t xml:space="preserve">% </t>
  </si>
  <si>
    <t>kgXO2e/t</t>
  </si>
  <si>
    <t>CH4storage emissions</t>
  </si>
  <si>
    <t xml:space="preserve">m3CH4/t </t>
  </si>
  <si>
    <t>Digester net</t>
  </si>
  <si>
    <t>Fertilizer Net</t>
  </si>
  <si>
    <t>Net Land Application</t>
  </si>
  <si>
    <t>Net Storage emissions</t>
  </si>
  <si>
    <t>Net w Fertilizer displacement</t>
  </si>
  <si>
    <t>0.004-0.074</t>
  </si>
  <si>
    <t xml:space="preserve">Extent of degradation </t>
  </si>
  <si>
    <t>10 to 20</t>
  </si>
  <si>
    <t>NOT USED</t>
  </si>
  <si>
    <t>carbon degraded</t>
  </si>
  <si>
    <t>C to CH4</t>
  </si>
  <si>
    <t>%CH4-C/C</t>
  </si>
  <si>
    <t>N2O emissions land app direct</t>
  </si>
  <si>
    <t xml:space="preserve">0.015 Boldrin., 1.0–2.2% N applied (1997, Vogt et al. 2002, Brinkmann et al. 2004, Bruun et al. 2006, Eggleston et al. 2006). </t>
  </si>
  <si>
    <t>Boldring,2009</t>
  </si>
  <si>
    <t>Net Compost</t>
  </si>
  <si>
    <t>WARMv13   5.5kgCO2e?/t; some studies say 0</t>
  </si>
  <si>
    <t>Model Unit Test</t>
  </si>
  <si>
    <t>Food Scraps</t>
  </si>
  <si>
    <t>Retail Waste</t>
  </si>
  <si>
    <t>Industrial Wastes</t>
  </si>
  <si>
    <t>Waldron et al., 2004 (ref. 221)</t>
  </si>
  <si>
    <t>Bhushan et al., 2008 (ref. 222)</t>
  </si>
  <si>
    <t>Tomato Pomace</t>
  </si>
  <si>
    <t>Slaughter House Waste</t>
  </si>
  <si>
    <t>Recycling</t>
  </si>
  <si>
    <t xml:space="preserve">MRF processing direct </t>
  </si>
  <si>
    <t xml:space="preserve">MRF processing indirect </t>
  </si>
  <si>
    <t>Diesel and electricity provision6 to 45.8</t>
  </si>
  <si>
    <t>6-45.8</t>
  </si>
  <si>
    <t>Reprocessing and avoided virgin production</t>
  </si>
  <si>
    <t xml:space="preserve">
based on 980 kg sorted steel scrap: –560 to –2360
(GWP = 1)</t>
  </si>
  <si>
    <t>Combustion of 2.5L of diesel in grab cranes</t>
  </si>
  <si>
    <t>kgCO2e/t steel</t>
  </si>
  <si>
    <t>Damgaard,2009</t>
  </si>
  <si>
    <t>Damgaard,2010</t>
  </si>
  <si>
    <t>Damgaard,2011</t>
  </si>
  <si>
    <t>Damgaard,2008</t>
  </si>
  <si>
    <t>(560) - (2360)</t>
  </si>
  <si>
    <t>Agrees with WARM13-1947</t>
  </si>
  <si>
    <t>(507) - (2374)</t>
  </si>
  <si>
    <t>Net emission factor</t>
  </si>
  <si>
    <t>kgCO2e/t steel recycled</t>
  </si>
  <si>
    <t>t steel/t food waste</t>
  </si>
  <si>
    <t>kgCO2e/t fw</t>
  </si>
  <si>
    <t>Net recycling credit</t>
  </si>
  <si>
    <t>2.6 oz http://waste360.com/Landfill_Management/steel_cans_recycling; 22g http://steelrecyclingfacts.com/steel-can-facts/</t>
  </si>
  <si>
    <t>CF</t>
  </si>
  <si>
    <t>Notes</t>
  </si>
  <si>
    <t>Value</t>
  </si>
  <si>
    <t>Hunziker (1-3L)</t>
  </si>
  <si>
    <t>Hyrdolysis constant (k)</t>
  </si>
  <si>
    <t>0.096-0.229</t>
  </si>
  <si>
    <t>IPCC, AR5</t>
  </si>
  <si>
    <t>Carbon storage factor</t>
  </si>
  <si>
    <t>8979-13648</t>
  </si>
  <si>
    <t>29% efficiency based upon 3412 btu/kwh, 25%-38%</t>
  </si>
  <si>
    <r>
      <t>EPA 201</t>
    </r>
    <r>
      <rPr>
        <sz val="11"/>
        <color theme="1"/>
        <rFont val="Calibri"/>
        <family val="2"/>
        <scheme val="minor"/>
      </rPr>
      <t>3</t>
    </r>
  </si>
  <si>
    <r>
      <t>not used at this time, assumed, 0.9 in CCARv. 2</t>
    </r>
    <r>
      <rPr>
        <sz val="11"/>
        <color theme="1"/>
        <rFont val="Calibri"/>
        <family val="2"/>
        <scheme val="minor"/>
      </rPr>
      <t>, could also be correction factor from Cho paper for bo to Lo</t>
    </r>
  </si>
  <si>
    <t>Anaerobic Digestion</t>
  </si>
  <si>
    <t>LF Factors</t>
  </si>
  <si>
    <t>Diesel combustion</t>
  </si>
  <si>
    <t>Grid electricity displacement</t>
  </si>
  <si>
    <t>Compost factors</t>
  </si>
  <si>
    <t>Relevant Emission Factors</t>
  </si>
  <si>
    <t>Production N fertilizer</t>
  </si>
  <si>
    <t>Production K fertilizer</t>
  </si>
  <si>
    <t>Constants</t>
  </si>
  <si>
    <t>Production of Peat</t>
  </si>
  <si>
    <t>Emission Factors</t>
  </si>
  <si>
    <t>Diesel use</t>
  </si>
  <si>
    <t>range for garden waste and biowaste, open closed and notn specified</t>
  </si>
  <si>
    <t>Boldrin, 2010</t>
  </si>
  <si>
    <t>Boldrin, 2012</t>
  </si>
  <si>
    <t>%CH4-C/degraded C</t>
  </si>
  <si>
    <t>%N2O-N/degraded N</t>
  </si>
  <si>
    <t>Carbon remaining/applied</t>
  </si>
  <si>
    <t>Carbon Storage factor</t>
  </si>
  <si>
    <t>% deg beyond fd</t>
  </si>
  <si>
    <t xml:space="preserve">based upon 2-14% of  C applied (Smith et al. 2001,Brinkmann et al. 2004; Den Boer et al. 2005, Fisher 2006)  </t>
  </si>
  <si>
    <t>Compost mass degradation</t>
  </si>
  <si>
    <t>Transport to application</t>
  </si>
  <si>
    <t xml:space="preserve">Electricity use </t>
  </si>
  <si>
    <t>KWh/t</t>
  </si>
  <si>
    <t>N loss</t>
  </si>
  <si>
    <t>%initial N</t>
  </si>
  <si>
    <t>Landfill CF</t>
  </si>
  <si>
    <t>Landfill capacity factor</t>
  </si>
  <si>
    <t>Landfill Capacity Factor</t>
  </si>
  <si>
    <t>Displaced application of N fertilizer</t>
  </si>
  <si>
    <t>WARM v13, EPA 2013</t>
  </si>
  <si>
    <t>accounts for availability, operating load, and parasitic losses of generating unit(s)</t>
  </si>
  <si>
    <t>%N2O-N/N</t>
  </si>
  <si>
    <t>sw name</t>
  </si>
  <si>
    <t>Range High</t>
  </si>
  <si>
    <t>DieselprovisionkgCO2eperL</t>
  </si>
  <si>
    <t>DieselcombustionkgCO2eperL</t>
  </si>
  <si>
    <t>EFGrid</t>
  </si>
  <si>
    <t>LA_DisplacedFertilizer_Production_Factor</t>
  </si>
  <si>
    <t>EF_Peat_kgCO2eperton</t>
  </si>
  <si>
    <t>LFDieseluseLpert</t>
  </si>
  <si>
    <t>Landfill_Oxidation_Factor</t>
  </si>
  <si>
    <t>LCEMax</t>
  </si>
  <si>
    <t>Heating_value</t>
  </si>
  <si>
    <t>0.7-1.0</t>
  </si>
  <si>
    <t>Cho et al., 2012</t>
  </si>
  <si>
    <t>BMP_Correctionfactor</t>
  </si>
  <si>
    <t>Barlaz, 1998</t>
  </si>
  <si>
    <t>Landfill_CF</t>
  </si>
  <si>
    <t>Use</t>
  </si>
  <si>
    <t>max landfill capture efficiency</t>
  </si>
  <si>
    <t>AD_Digester_CH4Leaks</t>
  </si>
  <si>
    <t>AD_Digester_CH4incompleteCombustion</t>
  </si>
  <si>
    <t>AD_Digester_conversion_KwHPerM3</t>
  </si>
  <si>
    <t>AD_Digester_parasiticLoad</t>
  </si>
  <si>
    <t>AD_reductionInVS</t>
  </si>
  <si>
    <t>AD_Storage_EFresidualMethaneM3CH4PerKgVS</t>
  </si>
  <si>
    <t>AD_Storage_IPCC_EF3</t>
  </si>
  <si>
    <t>AD_Storage_IPCC_FracGasMS</t>
  </si>
  <si>
    <t>LandApplication_EF1</t>
  </si>
  <si>
    <t>IPCC_EF4</t>
  </si>
  <si>
    <t>LandApplication_FracGasM</t>
  </si>
  <si>
    <t>Compost_dieseLlpert</t>
  </si>
  <si>
    <t>CompostPercentCdegraded</t>
  </si>
  <si>
    <t>Compost_degradedC_CH4</t>
  </si>
  <si>
    <t>Compost_N2OperN</t>
  </si>
  <si>
    <t>Compost_mass_reduction</t>
  </si>
  <si>
    <t>Compost_xportToField</t>
  </si>
  <si>
    <t>no</t>
  </si>
  <si>
    <t>Range Lo</t>
  </si>
  <si>
    <t>yr-1</t>
  </si>
  <si>
    <t>Taken from Barlaz, 1998</t>
  </si>
  <si>
    <t>Barlaz, 1998 estimates 50.8% carbon (152.4)</t>
  </si>
  <si>
    <t>Cho</t>
  </si>
  <si>
    <t>Barlaz</t>
  </si>
  <si>
    <t>Carbon storage correction factor</t>
  </si>
  <si>
    <t>kgC/kgTS</t>
  </si>
  <si>
    <t>Matches Levis and Barlaz</t>
  </si>
  <si>
    <t>AD_MCFactor</t>
  </si>
  <si>
    <t>GREET 2014 (2010 dataset)</t>
  </si>
  <si>
    <t>CO2</t>
  </si>
  <si>
    <t>N20</t>
  </si>
  <si>
    <t>NPCC</t>
  </si>
  <si>
    <t>US</t>
  </si>
  <si>
    <t>Nonbaseload (lbs/MWh)</t>
  </si>
  <si>
    <t>MRO</t>
  </si>
  <si>
    <t>TRE</t>
  </si>
  <si>
    <t>kg/lb</t>
  </si>
  <si>
    <t>KgCO2e/MWh</t>
  </si>
  <si>
    <t>KWh/m3 methane 43% efficiency, if 1m3= 9.8 KWh</t>
  </si>
  <si>
    <t>36% to 46%</t>
  </si>
  <si>
    <t>a little high compared to Manfredi, 2009 (3.8-10kgCO2e), slightly lower than warm (19.25)? Did not include AR5 factors and of provision of fuel</t>
  </si>
  <si>
    <t>Moller, 2009</t>
  </si>
  <si>
    <t>Percent CH4 emitted</t>
  </si>
  <si>
    <t>CH4 emission impacts</t>
  </si>
  <si>
    <t>N2O emission impacts</t>
  </si>
  <si>
    <t>CH4 emission factor</t>
  </si>
  <si>
    <t>N2O emission factor</t>
  </si>
  <si>
    <t>Compost_CS_factor</t>
  </si>
  <si>
    <t>CS correction factor</t>
  </si>
  <si>
    <t>Remaining after AD</t>
  </si>
  <si>
    <t xml:space="preserve">too much </t>
  </si>
  <si>
    <t>2-79kgCO2e/kg food waste</t>
  </si>
  <si>
    <t xml:space="preserve">Boldrin, 2009, </t>
  </si>
  <si>
    <t>based on Dalemo et al. 1997, Vogt et al. 2002, Brinkmann et al.
2004, Hansen et al. 2006- K and P are 100%</t>
  </si>
  <si>
    <t xml:space="preserve">Initial C of food compost Boldrin, 2009 25.2 - 154.4 KgC/tFW </t>
  </si>
  <si>
    <t>deGuardia, 2012</t>
  </si>
  <si>
    <t>N volatilization factor</t>
  </si>
  <si>
    <t>LA N volatilization factor</t>
  </si>
  <si>
    <t>Compost_FracGasC</t>
  </si>
  <si>
    <t>% Napplied</t>
  </si>
  <si>
    <t>%N applied</t>
  </si>
  <si>
    <t xml:space="preserve">N2O indirect emissions </t>
  </si>
  <si>
    <t>Not included at this time</t>
  </si>
  <si>
    <t>Compost_EF1</t>
  </si>
  <si>
    <t>deGuardia</t>
  </si>
  <si>
    <t xml:space="preserve">Pretty close to Barlaz and Levis which had,  2011 had 0.08kgC/kg dry </t>
  </si>
  <si>
    <t xml:space="preserve">Average calculated from Wood and Cowie, 2004 </t>
  </si>
  <si>
    <t>Production P  fertilizer</t>
  </si>
  <si>
    <t>323gCH4gJ Nielsen, 2008</t>
  </si>
  <si>
    <t>scaling factor for lab B0 to commercial Methane yeild plus flare, leaks, etc.  Moller et al., 2009 assume 0.7 from lab to field</t>
  </si>
  <si>
    <t>L/t-km</t>
  </si>
  <si>
    <t>Eisted et al, 2009</t>
  </si>
  <si>
    <t>from Moller paper</t>
  </si>
  <si>
    <t>Deisel fuel use spreader</t>
  </si>
  <si>
    <t>Distance to field and spread</t>
  </si>
  <si>
    <t>0.03-0.06 L/t-km</t>
  </si>
  <si>
    <t>Deisel use</t>
  </si>
  <si>
    <t>L</t>
  </si>
  <si>
    <t>Diesel fuel use</t>
  </si>
  <si>
    <t>Diesel fuel to spread</t>
  </si>
  <si>
    <t>L/t-m</t>
  </si>
  <si>
    <t>range from boldrin,2009-NOT USED</t>
  </si>
  <si>
    <t>DieselspreadLpertkm</t>
  </si>
  <si>
    <t>kgCO2e/MWh</t>
  </si>
  <si>
    <t>Eistad et al., 2009)</t>
  </si>
  <si>
    <t>based upon 20km to field- not used</t>
  </si>
  <si>
    <t>KgC/t FW</t>
  </si>
  <si>
    <t>KgCO2/t FW</t>
  </si>
  <si>
    <t>assuming  60% CH4 and 40% CO2</t>
  </si>
  <si>
    <t>Methane produced</t>
  </si>
  <si>
    <t>kgCH4/t FW</t>
  </si>
  <si>
    <t>CO2 produced</t>
  </si>
  <si>
    <t>C remaining in digestate</t>
  </si>
  <si>
    <t>kgC/t FW</t>
  </si>
  <si>
    <t>Carbon Correction factor</t>
  </si>
  <si>
    <t>.04-.14</t>
  </si>
  <si>
    <t>biogenic C emissions</t>
  </si>
  <si>
    <t>KgC/tonne</t>
  </si>
  <si>
    <t>calculated as initial C*fd</t>
  </si>
  <si>
    <t>Methane C combusted</t>
  </si>
  <si>
    <t xml:space="preserve">15%-.48% additional degradation to </t>
  </si>
  <si>
    <t>additional  20% degradation due to fungi</t>
  </si>
  <si>
    <t>LA_CS_factor</t>
  </si>
  <si>
    <t>Digestate</t>
  </si>
  <si>
    <t>calculated from Bruun, 2006</t>
  </si>
  <si>
    <t>Compost_N_loss</t>
  </si>
  <si>
    <t>N availability</t>
  </si>
  <si>
    <t>N_availabilityfactor</t>
  </si>
  <si>
    <t>trying to get .04-.14%</t>
  </si>
  <si>
    <t>kgCO2e/kgN</t>
  </si>
  <si>
    <t>kgCO2e/kg Peat</t>
  </si>
  <si>
    <t xml:space="preserve">NH3 to N2O </t>
  </si>
  <si>
    <t>AD_CSfactor</t>
  </si>
  <si>
    <t>LA_xportToField</t>
  </si>
  <si>
    <t>AD xport to field</t>
  </si>
  <si>
    <t>AD_xportTofield</t>
  </si>
  <si>
    <t>Grinder power rating</t>
  </si>
  <si>
    <t>L/KWh</t>
  </si>
  <si>
    <t>Grinder fuel usage</t>
  </si>
  <si>
    <t>grinder diesel consumption rate</t>
  </si>
  <si>
    <t>KgCO2e/t</t>
  </si>
  <si>
    <t>Diesel emissions</t>
  </si>
  <si>
    <t>estimated from USDA raw lettuce</t>
  </si>
  <si>
    <t>USDA database, danish pastry (representative of a variety of breads, donuts and pastries)</t>
  </si>
  <si>
    <t>USDA, canned food solids and liquids</t>
  </si>
  <si>
    <t>based upon 2:0.36:0.67 from http://www.lundproduce.com/N-P-K-Value-of-Everything.html</t>
  </si>
  <si>
    <t>USDA average of strawberries and salad</t>
  </si>
  <si>
    <t>USDA estimated from various yogurts, ice creams, frozen yogurts (ice much lower</t>
  </si>
  <si>
    <t>USDA based on fruit loops and apple jacks</t>
  </si>
  <si>
    <t>USDA pasta (oatmeal and flour much higher aroud 3500 for each)</t>
  </si>
  <si>
    <t>Potassium (K)(mg/kg)</t>
  </si>
  <si>
    <t>Phosphorous (mg/kg) (P)</t>
  </si>
  <si>
    <t>Based on cantelope rindhttp://www.lundproduce.com/N-P-K-Value-of-Everything.html</t>
  </si>
  <si>
    <t>8-80KWh/t Berhardt.</t>
  </si>
  <si>
    <t>%initial C</t>
  </si>
  <si>
    <t>% C applied</t>
  </si>
  <si>
    <t>4% to 14%</t>
  </si>
  <si>
    <t>neglects CO, CH4 and VOC during combustion</t>
  </si>
  <si>
    <t>kgC/ton waste</t>
  </si>
  <si>
    <t>Baky and Eriksson (2003)</t>
  </si>
  <si>
    <t>Kärrman et al., 2005).</t>
  </si>
  <si>
    <t>during storage of digestate</t>
  </si>
  <si>
    <t xml:space="preserve">2% to 14% </t>
  </si>
  <si>
    <t>3.6% to 13.1%</t>
  </si>
  <si>
    <t>Linzner and Mostbauer (2005),</t>
  </si>
  <si>
    <t>Smith 2001</t>
  </si>
  <si>
    <t>kgCO2e/twaste</t>
  </si>
  <si>
    <t>Ad and compost</t>
  </si>
  <si>
    <t>for putresibles (food waste and garden waste)</t>
  </si>
  <si>
    <t>Based on Bruun et al., 2006</t>
  </si>
  <si>
    <t>0 to 10.5% of initial C from Bernstadt</t>
  </si>
  <si>
    <t>0-4.8% of initial C</t>
  </si>
  <si>
    <t>% Initial C</t>
  </si>
  <si>
    <t>Boldrin low,2009</t>
  </si>
  <si>
    <t>Lee, 2007</t>
  </si>
  <si>
    <t>0-4.8%</t>
  </si>
  <si>
    <t>Bernstadt, 2012</t>
  </si>
  <si>
    <t>Bernstadt,2012</t>
  </si>
  <si>
    <t>0-10.5%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</si>
</sst>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0.0000"/>
    <numFmt numFmtId="166" formatCode="0.0%"/>
    <numFmt numFmtId="167" formatCode="_(* #,##0_);_(* \(#,##0\);_(* &quot;-&quot;??_);_(@_)"/>
    <numFmt numFmtId="168" formatCode="0.00000"/>
    <numFmt numFmtId="169" formatCode="0.000"/>
    <numFmt numFmtId="170" formatCode="_(* #,##0.0_);_(* \(#,##0.0\);_(* &quot;-&quot;??_);_(@_)"/>
  </numFmts>
  <fonts count="56" x14ac:knownFonts="1">
    <font>
      <sz val="12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1"/>
      <color rgb="FFFF0000"/>
      <name val="Calibri"/>
      <family val="2"/>
      <scheme val="minor"/>
    </font>
    <font>
      <vertAlign val="superscript"/>
      <sz val="10"/>
      <color theme="1"/>
      <name val="Times New Roman"/>
      <family val="1"/>
    </font>
    <font>
      <sz val="12"/>
      <color rgb="FF000000"/>
      <name val="Times"/>
    </font>
    <font>
      <sz val="14"/>
      <color rgb="FF000000"/>
      <name val="Times"/>
    </font>
    <font>
      <sz val="12"/>
      <color theme="1"/>
      <name val="Times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rgb="FF000000"/>
      <name val="Arial"/>
      <family val="2"/>
    </font>
    <font>
      <sz val="13"/>
      <color rgb="FF333333"/>
      <name val="Trebuchet MS"/>
      <family val="2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6600"/>
      <name val="Calibri"/>
      <family val="2"/>
      <scheme val="minor"/>
    </font>
    <font>
      <sz val="12"/>
      <color rgb="FF000000"/>
      <name val="Times New Roman"/>
      <family val="1"/>
    </font>
    <font>
      <b/>
      <sz val="10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444444"/>
      <name val="Arial"/>
      <family val="2"/>
    </font>
    <font>
      <vertAlign val="superscript"/>
      <sz val="11"/>
      <color theme="1"/>
      <name val="Calibri"/>
      <scheme val="minor"/>
    </font>
    <font>
      <sz val="12"/>
      <name val="Times New Roman"/>
    </font>
    <font>
      <vertAlign val="subscript"/>
      <sz val="12"/>
      <name val="Times New Roman"/>
    </font>
    <font>
      <sz val="10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rgb="FFFF0000"/>
      <name val="Calibri"/>
      <family val="2"/>
      <charset val="128"/>
      <scheme val="minor"/>
    </font>
    <font>
      <sz val="10"/>
      <color rgb="FFFF0000"/>
      <name val="Times New Roman"/>
      <family val="1"/>
    </font>
    <font>
      <sz val="11"/>
      <color rgb="FF222222"/>
      <name val="Arial"/>
    </font>
    <font>
      <b/>
      <sz val="12"/>
      <color theme="1"/>
      <name val="Calibri"/>
      <family val="2"/>
      <scheme val="minor"/>
    </font>
    <font>
      <sz val="10"/>
      <color rgb="FF000000"/>
      <name val="Dutch801BT-Roman"/>
    </font>
    <font>
      <sz val="8"/>
      <color rgb="FF000000"/>
      <name val="DINMittelschrift-Alternate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445">
    <xf numFmtId="0" fontId="0" fillId="0" borderId="0"/>
    <xf numFmtId="43" fontId="6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/>
    <xf numFmtId="0" fontId="15" fillId="0" borderId="0"/>
    <xf numFmtId="9" fontId="14" fillId="0" borderId="0" applyFont="0" applyFill="0" applyBorder="0" applyAlignment="0" applyProtection="0"/>
    <xf numFmtId="0" fontId="16" fillId="8" borderId="0" applyNumberFormat="0" applyBorder="0" applyAlignment="0" applyProtection="0"/>
    <xf numFmtId="43" fontId="15" fillId="0" borderId="0" applyFont="0" applyFill="0" applyBorder="0" applyAlignment="0" applyProtection="0"/>
    <xf numFmtId="0" fontId="17" fillId="7" borderId="0" applyNumberFormat="0" applyBorder="0" applyAlignment="0" applyProtection="0"/>
    <xf numFmtId="0" fontId="18" fillId="9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99">
    <xf numFmtId="0" fontId="0" fillId="0" borderId="0" xfId="0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2" borderId="0" xfId="0" applyFill="1"/>
    <xf numFmtId="0" fontId="7" fillId="0" borderId="0" xfId="0" applyFont="1" applyFill="1"/>
    <xf numFmtId="0" fontId="0" fillId="0" borderId="0" xfId="0" applyFill="1"/>
    <xf numFmtId="0" fontId="0" fillId="0" borderId="0" xfId="0" applyAlignment="1"/>
    <xf numFmtId="0" fontId="7" fillId="4" borderId="0" xfId="0" applyFont="1" applyFill="1"/>
    <xf numFmtId="164" fontId="0" fillId="3" borderId="0" xfId="0" applyNumberFormat="1" applyFill="1"/>
    <xf numFmtId="0" fontId="0" fillId="5" borderId="0" xfId="0" applyFill="1"/>
    <xf numFmtId="0" fontId="9" fillId="6" borderId="0" xfId="0" applyFont="1" applyFill="1"/>
    <xf numFmtId="0" fontId="0" fillId="6" borderId="0" xfId="0" applyFill="1"/>
    <xf numFmtId="0" fontId="8" fillId="6" borderId="0" xfId="0" applyFont="1" applyFill="1"/>
    <xf numFmtId="0" fontId="12" fillId="0" borderId="0" xfId="0" applyFont="1" applyFill="1"/>
    <xf numFmtId="0" fontId="12" fillId="0" borderId="0" xfId="0" applyFont="1"/>
    <xf numFmtId="0" fontId="13" fillId="0" borderId="0" xfId="0" applyFont="1"/>
    <xf numFmtId="0" fontId="13" fillId="3" borderId="0" xfId="0" applyFont="1" applyFill="1"/>
    <xf numFmtId="1" fontId="0" fillId="3" borderId="0" xfId="0" applyNumberFormat="1" applyFill="1"/>
    <xf numFmtId="0" fontId="13" fillId="0" borderId="0" xfId="0" applyFont="1" applyFill="1"/>
    <xf numFmtId="164" fontId="8" fillId="3" borderId="0" xfId="0" applyNumberFormat="1" applyFont="1" applyFill="1"/>
    <xf numFmtId="43" fontId="0" fillId="3" borderId="0" xfId="0" applyNumberFormat="1" applyFill="1"/>
    <xf numFmtId="0" fontId="0" fillId="3" borderId="0" xfId="0" applyFill="1"/>
    <xf numFmtId="0" fontId="0" fillId="0" borderId="0" xfId="0" applyBorder="1" applyAlignment="1">
      <alignment wrapText="1"/>
    </xf>
    <xf numFmtId="0" fontId="14" fillId="0" borderId="0" xfId="14"/>
    <xf numFmtId="0" fontId="7" fillId="2" borderId="0" xfId="0" applyFont="1" applyFill="1"/>
    <xf numFmtId="168" fontId="0" fillId="11" borderId="0" xfId="0" applyNumberFormat="1" applyFill="1"/>
    <xf numFmtId="0" fontId="15" fillId="0" borderId="0" xfId="15"/>
    <xf numFmtId="0" fontId="19" fillId="0" borderId="0" xfId="15" applyFont="1"/>
    <xf numFmtId="43" fontId="15" fillId="0" borderId="0" xfId="15" applyNumberFormat="1"/>
    <xf numFmtId="4" fontId="15" fillId="0" borderId="0" xfId="15" applyNumberFormat="1"/>
    <xf numFmtId="2" fontId="15" fillId="0" borderId="0" xfId="15" applyNumberFormat="1"/>
    <xf numFmtId="16" fontId="15" fillId="0" borderId="0" xfId="15" applyNumberFormat="1"/>
    <xf numFmtId="0" fontId="15" fillId="0" borderId="0" xfId="15" applyAlignment="1">
      <alignment wrapText="1"/>
    </xf>
    <xf numFmtId="0" fontId="15" fillId="6" borderId="0" xfId="15" applyFill="1"/>
    <xf numFmtId="0" fontId="15" fillId="0" borderId="0" xfId="15" applyFont="1"/>
    <xf numFmtId="0" fontId="15" fillId="2" borderId="0" xfId="15" applyFill="1"/>
    <xf numFmtId="0" fontId="15" fillId="12" borderId="0" xfId="15" applyFill="1"/>
    <xf numFmtId="169" fontId="15" fillId="10" borderId="0" xfId="15" applyNumberFormat="1" applyFill="1"/>
    <xf numFmtId="0" fontId="20" fillId="0" borderId="0" xfId="15" applyFont="1" applyAlignment="1"/>
    <xf numFmtId="43" fontId="8" fillId="6" borderId="0" xfId="0" applyNumberFormat="1" applyFont="1" applyFill="1"/>
    <xf numFmtId="0" fontId="8" fillId="12" borderId="0" xfId="0" applyFont="1" applyFill="1" applyAlignment="1">
      <alignment wrapText="1"/>
    </xf>
    <xf numFmtId="0" fontId="20" fillId="12" borderId="0" xfId="15" applyFont="1" applyFill="1"/>
    <xf numFmtId="0" fontId="8" fillId="0" borderId="0" xfId="0" applyFont="1" applyAlignment="1">
      <alignment wrapText="1"/>
    </xf>
    <xf numFmtId="0" fontId="0" fillId="12" borderId="0" xfId="0" applyFill="1"/>
    <xf numFmtId="0" fontId="8" fillId="12" borderId="0" xfId="0" applyFont="1" applyFill="1"/>
    <xf numFmtId="0" fontId="0" fillId="0" borderId="0" xfId="0" applyFont="1" applyFill="1"/>
    <xf numFmtId="0" fontId="15" fillId="0" borderId="0" xfId="15" applyFill="1"/>
    <xf numFmtId="0" fontId="21" fillId="12" borderId="0" xfId="15" applyFont="1" applyFill="1"/>
    <xf numFmtId="0" fontId="22" fillId="12" borderId="0" xfId="15" applyFon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/>
    <xf numFmtId="166" fontId="0" fillId="0" borderId="0" xfId="26" applyNumberFormat="1" applyFont="1"/>
    <xf numFmtId="0" fontId="23" fillId="0" borderId="0" xfId="0" applyFont="1" applyAlignment="1">
      <alignment horizontal="left" vertical="center" wrapText="1"/>
    </xf>
    <xf numFmtId="0" fontId="0" fillId="0" borderId="1" xfId="0" applyBorder="1"/>
    <xf numFmtId="0" fontId="0" fillId="12" borderId="1" xfId="0" applyFill="1" applyBorder="1"/>
    <xf numFmtId="1" fontId="0" fillId="0" borderId="1" xfId="0" applyNumberFormat="1" applyBorder="1"/>
    <xf numFmtId="0" fontId="14" fillId="0" borderId="0" xfId="0" applyFont="1"/>
    <xf numFmtId="0" fontId="0" fillId="10" borderId="0" xfId="0" applyFill="1"/>
    <xf numFmtId="0" fontId="26" fillId="0" borderId="0" xfId="0" applyFont="1"/>
    <xf numFmtId="169" fontId="0" fillId="0" borderId="0" xfId="0" applyNumberFormat="1"/>
    <xf numFmtId="0" fontId="27" fillId="0" borderId="0" xfId="0" applyFont="1"/>
    <xf numFmtId="0" fontId="29" fillId="0" borderId="0" xfId="0" applyFont="1"/>
    <xf numFmtId="0" fontId="30" fillId="0" borderId="0" xfId="0" applyFont="1"/>
    <xf numFmtId="0" fontId="28" fillId="0" borderId="0" xfId="0" applyFont="1"/>
    <xf numFmtId="0" fontId="28" fillId="0" borderId="0" xfId="0" applyFont="1"/>
    <xf numFmtId="169" fontId="0" fillId="10" borderId="0" xfId="0" applyNumberFormat="1" applyFill="1"/>
    <xf numFmtId="0" fontId="31" fillId="0" borderId="0" xfId="0" applyFont="1" applyAlignment="1"/>
    <xf numFmtId="2" fontId="0" fillId="0" borderId="0" xfId="0" applyNumberFormat="1"/>
    <xf numFmtId="0" fontId="0" fillId="0" borderId="1" xfId="0" applyFill="1" applyBorder="1"/>
    <xf numFmtId="167" fontId="0" fillId="0" borderId="1" xfId="0" applyNumberFormat="1" applyBorder="1"/>
    <xf numFmtId="169" fontId="0" fillId="12" borderId="1" xfId="0" applyNumberFormat="1" applyFill="1" applyBorder="1"/>
    <xf numFmtId="167" fontId="0" fillId="0" borderId="0" xfId="0" applyNumberFormat="1" applyFill="1" applyBorder="1"/>
    <xf numFmtId="164" fontId="0" fillId="0" borderId="0" xfId="0" applyNumberFormat="1" applyFill="1" applyBorder="1"/>
    <xf numFmtId="0" fontId="32" fillId="0" borderId="0" xfId="0" applyFont="1"/>
    <xf numFmtId="0" fontId="33" fillId="0" borderId="0" xfId="0" applyFont="1" applyBorder="1"/>
    <xf numFmtId="0" fontId="34" fillId="0" borderId="0" xfId="0" applyFont="1" applyFill="1" applyBorder="1" applyAlignment="1">
      <alignment horizontal="left" vertical="center" wrapText="1"/>
    </xf>
    <xf numFmtId="0" fontId="33" fillId="0" borderId="0" xfId="0" applyFont="1" applyFill="1" applyBorder="1"/>
    <xf numFmtId="0" fontId="35" fillId="0" borderId="0" xfId="0" applyFont="1" applyFill="1" applyBorder="1"/>
    <xf numFmtId="0" fontId="33" fillId="5" borderId="0" xfId="0" applyFont="1" applyFill="1"/>
    <xf numFmtId="0" fontId="34" fillId="0" borderId="0" xfId="0" applyFont="1" applyFill="1" applyBorder="1" applyAlignment="1">
      <alignment vertical="center" wrapText="1"/>
    </xf>
    <xf numFmtId="1" fontId="0" fillId="0" borderId="0" xfId="0" applyNumberFormat="1"/>
    <xf numFmtId="1" fontId="9" fillId="6" borderId="0" xfId="0" applyNumberFormat="1" applyFont="1" applyFill="1"/>
    <xf numFmtId="1" fontId="8" fillId="12" borderId="0" xfId="0" applyNumberFormat="1" applyFont="1" applyFill="1"/>
    <xf numFmtId="1" fontId="0" fillId="12" borderId="0" xfId="0" applyNumberFormat="1" applyFill="1"/>
    <xf numFmtId="43" fontId="0" fillId="0" borderId="0" xfId="0" applyNumberFormat="1"/>
    <xf numFmtId="164" fontId="13" fillId="3" borderId="0" xfId="0" applyNumberFormat="1" applyFont="1" applyFill="1"/>
    <xf numFmtId="0" fontId="8" fillId="0" borderId="0" xfId="0" applyFont="1" applyFill="1"/>
    <xf numFmtId="164" fontId="0" fillId="0" borderId="0" xfId="0" applyNumberFormat="1" applyFill="1"/>
    <xf numFmtId="2" fontId="0" fillId="11" borderId="0" xfId="0" applyNumberFormat="1" applyFill="1"/>
    <xf numFmtId="164" fontId="0" fillId="0" borderId="0" xfId="0" applyNumberFormat="1"/>
    <xf numFmtId="1" fontId="7" fillId="3" borderId="0" xfId="0" applyNumberFormat="1" applyFont="1" applyFill="1"/>
    <xf numFmtId="1" fontId="36" fillId="11" borderId="0" xfId="0" applyNumberFormat="1" applyFont="1" applyFill="1"/>
    <xf numFmtId="170" fontId="0" fillId="0" borderId="0" xfId="0" applyNumberFormat="1" applyFill="1"/>
    <xf numFmtId="43" fontId="0" fillId="12" borderId="0" xfId="0" applyNumberFormat="1" applyFill="1"/>
    <xf numFmtId="167" fontId="0" fillId="0" borderId="0" xfId="0" applyNumberFormat="1" applyFill="1"/>
    <xf numFmtId="0" fontId="0" fillId="0" borderId="2" xfId="0" applyBorder="1"/>
    <xf numFmtId="0" fontId="0" fillId="12" borderId="2" xfId="0" applyFill="1" applyBorder="1"/>
    <xf numFmtId="167" fontId="38" fillId="4" borderId="0" xfId="14" applyNumberFormat="1" applyFont="1" applyFill="1"/>
    <xf numFmtId="0" fontId="14" fillId="0" borderId="2" xfId="14" applyBorder="1" applyAlignment="1"/>
    <xf numFmtId="0" fontId="39" fillId="0" borderId="0" xfId="0" applyFont="1" applyFill="1" applyBorder="1"/>
    <xf numFmtId="1" fontId="0" fillId="0" borderId="1" xfId="0" applyNumberFormat="1" applyFill="1" applyBorder="1"/>
    <xf numFmtId="167" fontId="0" fillId="0" borderId="1" xfId="0" applyNumberFormat="1" applyFill="1" applyBorder="1"/>
    <xf numFmtId="43" fontId="0" fillId="0" borderId="0" xfId="1" applyFont="1"/>
    <xf numFmtId="0" fontId="4" fillId="0" borderId="0" xfId="15" applyFont="1" applyFill="1"/>
    <xf numFmtId="2" fontId="0" fillId="13" borderId="0" xfId="0" applyNumberFormat="1" applyFill="1"/>
    <xf numFmtId="164" fontId="8" fillId="6" borderId="0" xfId="0" applyNumberFormat="1" applyFont="1" applyFill="1"/>
    <xf numFmtId="43" fontId="0" fillId="0" borderId="0" xfId="0" applyNumberFormat="1" applyFill="1"/>
    <xf numFmtId="43" fontId="0" fillId="0" borderId="0" xfId="0" applyNumberFormat="1" applyFont="1" applyFill="1"/>
    <xf numFmtId="165" fontId="0" fillId="0" borderId="0" xfId="0" applyNumberFormat="1" applyFill="1"/>
    <xf numFmtId="0" fontId="4" fillId="0" borderId="0" xfId="15" applyFont="1"/>
    <xf numFmtId="169" fontId="15" fillId="0" borderId="0" xfId="15" applyNumberFormat="1"/>
    <xf numFmtId="9" fontId="15" fillId="0" borderId="0" xfId="26" applyFont="1"/>
    <xf numFmtId="0" fontId="4" fillId="0" borderId="0" xfId="15" applyFont="1" applyAlignment="1"/>
    <xf numFmtId="0" fontId="15" fillId="10" borderId="0" xfId="15" applyFill="1"/>
    <xf numFmtId="0" fontId="20" fillId="0" borderId="0" xfId="15" applyFont="1" applyFill="1"/>
    <xf numFmtId="0" fontId="23" fillId="0" borderId="0" xfId="0" applyFont="1" applyFill="1" applyAlignment="1">
      <alignment horizontal="left" vertical="center" wrapText="1"/>
    </xf>
    <xf numFmtId="164" fontId="23" fillId="0" borderId="0" xfId="0" applyNumberFormat="1" applyFont="1" applyFill="1" applyAlignment="1">
      <alignment horizontal="left" vertical="center" wrapText="1"/>
    </xf>
    <xf numFmtId="43" fontId="15" fillId="0" borderId="0" xfId="1" applyFont="1"/>
    <xf numFmtId="0" fontId="40" fillId="0" borderId="0" xfId="0" applyFont="1"/>
    <xf numFmtId="0" fontId="4" fillId="3" borderId="0" xfId="15" applyFont="1" applyFill="1"/>
    <xf numFmtId="0" fontId="15" fillId="3" borderId="0" xfId="15" applyFill="1"/>
    <xf numFmtId="0" fontId="4" fillId="12" borderId="0" xfId="15" applyFont="1" applyFill="1"/>
    <xf numFmtId="4" fontId="15" fillId="12" borderId="0" xfId="15" applyNumberFormat="1" applyFill="1"/>
    <xf numFmtId="0" fontId="15" fillId="12" borderId="0" xfId="15" applyFill="1" applyAlignment="1">
      <alignment horizontal="center"/>
    </xf>
    <xf numFmtId="0" fontId="20" fillId="6" borderId="0" xfId="15" applyFont="1" applyFill="1"/>
    <xf numFmtId="0" fontId="42" fillId="0" borderId="0" xfId="0" applyFont="1"/>
    <xf numFmtId="0" fontId="44" fillId="0" borderId="0" xfId="0" applyFont="1"/>
    <xf numFmtId="164" fontId="0" fillId="0" borderId="0" xfId="0" applyNumberFormat="1" applyBorder="1" applyAlignment="1">
      <alignment horizontal="center"/>
    </xf>
    <xf numFmtId="164" fontId="44" fillId="0" borderId="0" xfId="0" applyNumberFormat="1" applyFont="1" applyBorder="1" applyAlignment="1">
      <alignment horizontal="center"/>
    </xf>
    <xf numFmtId="0" fontId="0" fillId="0" borderId="4" xfId="0" applyBorder="1"/>
    <xf numFmtId="0" fontId="44" fillId="0" borderId="4" xfId="0" applyFont="1" applyBorder="1" applyAlignment="1">
      <alignment horizontal="center"/>
    </xf>
    <xf numFmtId="0" fontId="44" fillId="0" borderId="5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44" fillId="0" borderId="6" xfId="0" applyFont="1" applyBorder="1" applyAlignment="1">
      <alignment horizontal="center"/>
    </xf>
    <xf numFmtId="0" fontId="44" fillId="0" borderId="7" xfId="0" applyFont="1" applyBorder="1"/>
    <xf numFmtId="0" fontId="44" fillId="0" borderId="4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44" fillId="0" borderId="0" xfId="0" applyFont="1" applyBorder="1"/>
    <xf numFmtId="0" fontId="0" fillId="0" borderId="0" xfId="0" applyFill="1" applyBorder="1" applyAlignment="1">
      <alignment horizontal="center"/>
    </xf>
    <xf numFmtId="0" fontId="45" fillId="0" borderId="8" xfId="0" applyFont="1" applyBorder="1" applyAlignment="1">
      <alignment vertical="center"/>
    </xf>
    <xf numFmtId="0" fontId="45" fillId="0" borderId="9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vertical="center"/>
    </xf>
    <xf numFmtId="10" fontId="45" fillId="0" borderId="12" xfId="0" applyNumberFormat="1" applyFont="1" applyBorder="1" applyAlignment="1">
      <alignment horizontal="center" vertical="center"/>
    </xf>
    <xf numFmtId="10" fontId="45" fillId="0" borderId="13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vertical="center" wrapText="1"/>
    </xf>
    <xf numFmtId="10" fontId="45" fillId="0" borderId="12" xfId="0" applyNumberFormat="1" applyFont="1" applyBorder="1" applyAlignment="1">
      <alignment horizontal="center" vertical="center" wrapText="1"/>
    </xf>
    <xf numFmtId="10" fontId="45" fillId="0" borderId="13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horizontal="left" vertical="center" wrapText="1"/>
    </xf>
    <xf numFmtId="10" fontId="47" fillId="0" borderId="12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vertical="center" wrapText="1"/>
    </xf>
    <xf numFmtId="9" fontId="45" fillId="0" borderId="12" xfId="0" applyNumberFormat="1" applyFont="1" applyBorder="1" applyAlignment="1">
      <alignment horizontal="center" vertical="center"/>
    </xf>
    <xf numFmtId="9" fontId="45" fillId="0" borderId="13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vertical="center" wrapText="1"/>
    </xf>
    <xf numFmtId="9" fontId="45" fillId="0" borderId="15" xfId="0" applyNumberFormat="1" applyFont="1" applyBorder="1" applyAlignment="1">
      <alignment horizontal="center" vertical="center"/>
    </xf>
    <xf numFmtId="9" fontId="45" fillId="0" borderId="14" xfId="0" applyNumberFormat="1" applyFont="1" applyBorder="1" applyAlignment="1">
      <alignment horizontal="center" vertical="center"/>
    </xf>
    <xf numFmtId="0" fontId="46" fillId="0" borderId="0" xfId="0" applyFont="1" applyBorder="1" applyAlignment="1">
      <alignment vertical="center" wrapText="1"/>
    </xf>
    <xf numFmtId="9" fontId="45" fillId="0" borderId="0" xfId="0" applyNumberFormat="1" applyFont="1" applyBorder="1" applyAlignment="1">
      <alignment horizontal="center" vertical="center"/>
    </xf>
    <xf numFmtId="166" fontId="12" fillId="0" borderId="3" xfId="26" applyNumberFormat="1" applyFont="1" applyFill="1" applyBorder="1"/>
    <xf numFmtId="0" fontId="46" fillId="0" borderId="0" xfId="0" applyFont="1" applyFill="1" applyBorder="1" applyAlignment="1">
      <alignment vertical="center" wrapText="1"/>
    </xf>
    <xf numFmtId="9" fontId="0" fillId="0" borderId="0" xfId="26" applyFont="1"/>
    <xf numFmtId="9" fontId="15" fillId="0" borderId="0" xfId="15" applyNumberFormat="1" applyFill="1"/>
    <xf numFmtId="167" fontId="38" fillId="12" borderId="0" xfId="14" applyNumberFormat="1" applyFont="1" applyFill="1"/>
    <xf numFmtId="0" fontId="13" fillId="12" borderId="0" xfId="0" applyFont="1" applyFill="1"/>
    <xf numFmtId="0" fontId="50" fillId="12" borderId="0" xfId="0" applyFont="1" applyFill="1"/>
    <xf numFmtId="2" fontId="0" fillId="0" borderId="0" xfId="0" applyNumberFormat="1" applyFont="1" applyFill="1"/>
    <xf numFmtId="43" fontId="7" fillId="0" borderId="0" xfId="0" applyNumberFormat="1" applyFont="1" applyFill="1"/>
    <xf numFmtId="43" fontId="38" fillId="3" borderId="0" xfId="14" applyNumberFormat="1" applyFont="1" applyFill="1"/>
    <xf numFmtId="167" fontId="0" fillId="0" borderId="0" xfId="0" applyNumberFormat="1"/>
    <xf numFmtId="43" fontId="7" fillId="0" borderId="0" xfId="0" applyNumberFormat="1" applyFont="1"/>
    <xf numFmtId="0" fontId="50" fillId="0" borderId="0" xfId="0" applyFont="1" applyFill="1"/>
    <xf numFmtId="167" fontId="38" fillId="0" borderId="0" xfId="14" applyNumberFormat="1" applyFont="1" applyFill="1"/>
    <xf numFmtId="167" fontId="51" fillId="0" borderId="0" xfId="14" applyNumberFormat="1" applyFont="1" applyFill="1"/>
    <xf numFmtId="0" fontId="12" fillId="0" borderId="0" xfId="0" applyFont="1" applyFill="1" applyAlignment="1"/>
    <xf numFmtId="43" fontId="50" fillId="0" borderId="0" xfId="0" applyNumberFormat="1" applyFont="1" applyFill="1"/>
    <xf numFmtId="43" fontId="8" fillId="12" borderId="0" xfId="0" applyNumberFormat="1" applyFont="1" applyFill="1"/>
    <xf numFmtId="43" fontId="13" fillId="12" borderId="0" xfId="0" applyNumberFormat="1" applyFont="1" applyFill="1"/>
    <xf numFmtId="43" fontId="8" fillId="0" borderId="0" xfId="0" applyNumberFormat="1" applyFont="1"/>
    <xf numFmtId="0" fontId="7" fillId="12" borderId="0" xfId="0" applyFont="1" applyFill="1"/>
    <xf numFmtId="10" fontId="0" fillId="0" borderId="0" xfId="26" applyNumberFormat="1" applyFont="1"/>
    <xf numFmtId="166" fontId="45" fillId="0" borderId="12" xfId="0" applyNumberFormat="1" applyFont="1" applyBorder="1" applyAlignment="1">
      <alignment horizontal="center" vertical="center"/>
    </xf>
    <xf numFmtId="166" fontId="45" fillId="0" borderId="15" xfId="0" applyNumberFormat="1" applyFont="1" applyBorder="1" applyAlignment="1">
      <alignment horizontal="center" vertical="center"/>
    </xf>
    <xf numFmtId="0" fontId="24" fillId="0" borderId="0" xfId="15" applyFont="1" applyFill="1"/>
    <xf numFmtId="43" fontId="38" fillId="4" borderId="0" xfId="14" applyNumberFormat="1" applyFont="1" applyFill="1"/>
    <xf numFmtId="0" fontId="0" fillId="0" borderId="0" xfId="0" applyFont="1" applyFill="1" applyAlignment="1"/>
    <xf numFmtId="0" fontId="52" fillId="0" borderId="0" xfId="0" applyFont="1"/>
    <xf numFmtId="2" fontId="15" fillId="5" borderId="0" xfId="15" applyNumberFormat="1" applyFill="1"/>
    <xf numFmtId="0" fontId="15" fillId="5" borderId="0" xfId="15" applyFill="1"/>
    <xf numFmtId="169" fontId="0" fillId="5" borderId="0" xfId="0" applyNumberFormat="1" applyFill="1"/>
    <xf numFmtId="0" fontId="0" fillId="5" borderId="0" xfId="0" applyFill="1" applyAlignment="1">
      <alignment wrapText="1"/>
    </xf>
    <xf numFmtId="0" fontId="4" fillId="5" borderId="0" xfId="15" applyFont="1" applyFill="1"/>
    <xf numFmtId="0" fontId="53" fillId="12" borderId="0" xfId="0" applyFont="1" applyFill="1"/>
    <xf numFmtId="0" fontId="15" fillId="4" borderId="0" xfId="15" applyFill="1"/>
    <xf numFmtId="1" fontId="15" fillId="4" borderId="0" xfId="15" applyNumberFormat="1" applyFill="1"/>
    <xf numFmtId="164" fontId="15" fillId="4" borderId="0" xfId="15" applyNumberFormat="1" applyFill="1"/>
    <xf numFmtId="0" fontId="3" fillId="0" borderId="0" xfId="15" applyFont="1" applyFill="1"/>
    <xf numFmtId="0" fontId="20" fillId="0" borderId="0" xfId="15" applyFont="1"/>
    <xf numFmtId="9" fontId="15" fillId="4" borderId="0" xfId="15" applyNumberFormat="1" applyFill="1"/>
    <xf numFmtId="0" fontId="2" fillId="0" borderId="0" xfId="15" applyFont="1"/>
    <xf numFmtId="43" fontId="8" fillId="0" borderId="0" xfId="1" applyFont="1" applyAlignment="1">
      <alignment wrapText="1"/>
    </xf>
    <xf numFmtId="43" fontId="9" fillId="6" borderId="0" xfId="1" applyFont="1" applyFill="1"/>
    <xf numFmtId="43" fontId="20" fillId="12" borderId="0" xfId="1" applyFont="1" applyFill="1"/>
    <xf numFmtId="43" fontId="15" fillId="12" borderId="0" xfId="1" applyFont="1" applyFill="1"/>
    <xf numFmtId="43" fontId="20" fillId="0" borderId="0" xfId="1" applyFont="1" applyFill="1"/>
    <xf numFmtId="43" fontId="15" fillId="0" borderId="0" xfId="1" applyFont="1" applyFill="1"/>
    <xf numFmtId="43" fontId="15" fillId="3" borderId="0" xfId="1" applyFont="1" applyFill="1"/>
    <xf numFmtId="43" fontId="21" fillId="12" borderId="0" xfId="1" applyFont="1" applyFill="1"/>
    <xf numFmtId="43" fontId="22" fillId="12" borderId="0" xfId="1" applyFont="1" applyFill="1"/>
    <xf numFmtId="43" fontId="15" fillId="11" borderId="0" xfId="1" applyFont="1" applyFill="1"/>
    <xf numFmtId="43" fontId="20" fillId="6" borderId="0" xfId="1" applyFont="1" applyFill="1"/>
    <xf numFmtId="43" fontId="20" fillId="0" borderId="0" xfId="1" applyFont="1"/>
    <xf numFmtId="43" fontId="4" fillId="0" borderId="0" xfId="1" applyFont="1"/>
    <xf numFmtId="43" fontId="20" fillId="4" borderId="0" xfId="1" applyFont="1" applyFill="1"/>
    <xf numFmtId="1" fontId="7" fillId="0" borderId="0" xfId="0" applyNumberFormat="1" applyFont="1" applyFill="1"/>
    <xf numFmtId="2" fontId="7" fillId="4" borderId="0" xfId="0" applyNumberFormat="1" applyFont="1" applyFill="1"/>
    <xf numFmtId="164" fontId="0" fillId="11" borderId="0" xfId="0" applyNumberFormat="1" applyFill="1"/>
    <xf numFmtId="2" fontId="15" fillId="0" borderId="0" xfId="15" applyNumberFormat="1" applyFill="1"/>
    <xf numFmtId="169" fontId="23" fillId="5" borderId="0" xfId="0" applyNumberFormat="1" applyFont="1" applyFill="1" applyAlignment="1">
      <alignment horizontal="left" vertical="center" wrapText="1"/>
    </xf>
    <xf numFmtId="43" fontId="15" fillId="10" borderId="0" xfId="15" applyNumberFormat="1" applyFill="1"/>
    <xf numFmtId="170" fontId="38" fillId="4" borderId="0" xfId="14" applyNumberFormat="1" applyFont="1" applyFill="1"/>
    <xf numFmtId="0" fontId="12" fillId="5" borderId="0" xfId="0" applyFont="1" applyFill="1"/>
    <xf numFmtId="43" fontId="0" fillId="5" borderId="0" xfId="0" applyNumberFormat="1" applyFill="1"/>
    <xf numFmtId="0" fontId="0" fillId="0" borderId="0" xfId="0" applyFont="1"/>
    <xf numFmtId="0" fontId="2" fillId="0" borderId="0" xfId="15" applyFont="1" applyFill="1"/>
    <xf numFmtId="1" fontId="0" fillId="0" borderId="0" xfId="0" applyNumberFormat="1" applyFill="1"/>
    <xf numFmtId="0" fontId="7" fillId="5" borderId="0" xfId="0" applyFont="1" applyFill="1"/>
    <xf numFmtId="43" fontId="8" fillId="3" borderId="0" xfId="0" applyNumberFormat="1" applyFont="1" applyFill="1"/>
    <xf numFmtId="2" fontId="0" fillId="0" borderId="0" xfId="0" applyNumberFormat="1" applyFill="1"/>
    <xf numFmtId="43" fontId="0" fillId="0" borderId="0" xfId="1" applyFont="1" applyFill="1"/>
    <xf numFmtId="164" fontId="0" fillId="3" borderId="0" xfId="0" applyNumberFormat="1" applyFont="1" applyFill="1"/>
    <xf numFmtId="1" fontId="8" fillId="3" borderId="0" xfId="0" applyNumberFormat="1" applyFont="1" applyFill="1"/>
    <xf numFmtId="43" fontId="8" fillId="0" borderId="0" xfId="0" applyNumberFormat="1" applyFont="1" applyAlignment="1"/>
    <xf numFmtId="16" fontId="0" fillId="0" borderId="0" xfId="0" applyNumberFormat="1"/>
    <xf numFmtId="1" fontId="8" fillId="0" borderId="0" xfId="0" applyNumberFormat="1" applyFont="1" applyFill="1"/>
    <xf numFmtId="43" fontId="8" fillId="12" borderId="0" xfId="1" applyFont="1" applyFill="1"/>
    <xf numFmtId="43" fontId="12" fillId="3" borderId="0" xfId="0" applyNumberFormat="1" applyFont="1" applyFill="1"/>
    <xf numFmtId="43" fontId="51" fillId="0" borderId="0" xfId="14" applyNumberFormat="1" applyFont="1" applyFill="1"/>
    <xf numFmtId="43" fontId="0" fillId="6" borderId="0" xfId="0" applyNumberFormat="1" applyFill="1"/>
    <xf numFmtId="0" fontId="13" fillId="6" borderId="0" xfId="0" applyFont="1" applyFill="1"/>
    <xf numFmtId="0" fontId="37" fillId="10" borderId="0" xfId="0" applyFont="1" applyFill="1" applyBorder="1" applyAlignment="1">
      <alignment horizontal="center"/>
    </xf>
    <xf numFmtId="9" fontId="37" fillId="10" borderId="0" xfId="26" applyFont="1" applyFill="1" applyBorder="1" applyAlignment="1">
      <alignment horizontal="center"/>
    </xf>
    <xf numFmtId="0" fontId="0" fillId="10" borderId="0" xfId="0" applyFill="1" applyBorder="1"/>
    <xf numFmtId="43" fontId="47" fillId="0" borderId="12" xfId="1" applyFont="1" applyBorder="1" applyAlignment="1">
      <alignment horizontal="center" vertical="center" wrapText="1"/>
    </xf>
    <xf numFmtId="43" fontId="45" fillId="0" borderId="12" xfId="1" applyFont="1" applyBorder="1" applyAlignment="1">
      <alignment horizontal="center" vertical="center" wrapText="1"/>
    </xf>
    <xf numFmtId="43" fontId="45" fillId="0" borderId="13" xfId="1" applyFont="1" applyBorder="1" applyAlignment="1">
      <alignment horizontal="center" vertical="center" wrapText="1"/>
    </xf>
    <xf numFmtId="1" fontId="47" fillId="0" borderId="12" xfId="1" applyNumberFormat="1" applyFont="1" applyBorder="1" applyAlignment="1">
      <alignment horizontal="center" vertical="center" wrapText="1"/>
    </xf>
    <xf numFmtId="1" fontId="45" fillId="0" borderId="12" xfId="1" applyNumberFormat="1" applyFont="1" applyBorder="1" applyAlignment="1">
      <alignment horizontal="center" vertical="center" wrapText="1"/>
    </xf>
    <xf numFmtId="1" fontId="45" fillId="0" borderId="13" xfId="1" applyNumberFormat="1" applyFont="1" applyBorder="1" applyAlignment="1">
      <alignment horizontal="center" vertical="center" wrapText="1"/>
    </xf>
    <xf numFmtId="2" fontId="45" fillId="0" borderId="9" xfId="0" applyNumberFormat="1" applyFont="1" applyBorder="1" applyAlignment="1">
      <alignment horizontal="center" vertical="center"/>
    </xf>
    <xf numFmtId="43" fontId="45" fillId="0" borderId="12" xfId="1" applyFont="1" applyBorder="1" applyAlignment="1">
      <alignment horizontal="center" vertical="center"/>
    </xf>
    <xf numFmtId="0" fontId="54" fillId="0" borderId="0" xfId="0" applyFont="1"/>
    <xf numFmtId="0" fontId="55" fillId="0" borderId="0" xfId="0" applyFont="1"/>
    <xf numFmtId="166" fontId="45" fillId="0" borderId="16" xfId="0" applyNumberFormat="1" applyFont="1" applyBorder="1" applyAlignment="1">
      <alignment horizontal="center" vertical="center"/>
    </xf>
    <xf numFmtId="9" fontId="45" fillId="0" borderId="16" xfId="0" applyNumberFormat="1" applyFont="1" applyBorder="1" applyAlignment="1">
      <alignment horizontal="center" vertical="center"/>
    </xf>
    <xf numFmtId="9" fontId="45" fillId="0" borderId="17" xfId="0" applyNumberFormat="1" applyFont="1" applyBorder="1" applyAlignment="1">
      <alignment horizontal="center" vertical="center"/>
    </xf>
    <xf numFmtId="9" fontId="45" fillId="0" borderId="18" xfId="0" applyNumberFormat="1" applyFont="1" applyBorder="1" applyAlignment="1">
      <alignment horizontal="center" vertical="center"/>
    </xf>
    <xf numFmtId="9" fontId="45" fillId="0" borderId="19" xfId="0" applyNumberFormat="1" applyFont="1" applyBorder="1" applyAlignment="1">
      <alignment horizontal="center" vertical="center"/>
    </xf>
    <xf numFmtId="9" fontId="45" fillId="0" borderId="20" xfId="0" applyNumberFormat="1" applyFont="1" applyBorder="1" applyAlignment="1">
      <alignment horizontal="center" vertical="center"/>
    </xf>
    <xf numFmtId="0" fontId="1" fillId="0" borderId="0" xfId="15" applyFont="1" applyFill="1"/>
    <xf numFmtId="16" fontId="4" fillId="0" borderId="0" xfId="15" applyNumberFormat="1" applyFont="1" applyFill="1"/>
    <xf numFmtId="0" fontId="1" fillId="12" borderId="0" xfId="15" applyFont="1" applyFill="1"/>
    <xf numFmtId="0" fontId="1" fillId="0" borderId="0" xfId="15" applyFont="1"/>
    <xf numFmtId="0" fontId="24" fillId="0" borderId="0" xfId="15" applyFont="1"/>
    <xf numFmtId="2" fontId="0" fillId="5" borderId="0" xfId="0" applyNumberFormat="1" applyFill="1"/>
    <xf numFmtId="0" fontId="0" fillId="2" borderId="0" xfId="0" applyFont="1" applyFill="1"/>
    <xf numFmtId="0" fontId="0" fillId="13" borderId="0" xfId="0" applyFill="1"/>
    <xf numFmtId="1" fontId="45" fillId="0" borderId="9" xfId="0" applyNumberFormat="1" applyFont="1" applyBorder="1" applyAlignment="1">
      <alignment horizontal="center" vertical="center"/>
    </xf>
    <xf numFmtId="43" fontId="45" fillId="0" borderId="13" xfId="1" applyFont="1" applyBorder="1" applyAlignment="1">
      <alignment horizontal="center" vertical="center"/>
    </xf>
    <xf numFmtId="43" fontId="15" fillId="0" borderId="0" xfId="15" applyNumberFormat="1" applyFill="1"/>
    <xf numFmtId="164" fontId="15" fillId="0" borderId="0" xfId="15" applyNumberFormat="1" applyFill="1"/>
    <xf numFmtId="10" fontId="20" fillId="12" borderId="0" xfId="26" applyNumberFormat="1" applyFont="1" applyFill="1"/>
    <xf numFmtId="9" fontId="15" fillId="12" borderId="0" xfId="15" applyNumberFormat="1" applyFill="1"/>
    <xf numFmtId="10" fontId="0" fillId="13" borderId="0" xfId="0" applyNumberFormat="1" applyFill="1"/>
    <xf numFmtId="43" fontId="0" fillId="11" borderId="0" xfId="0" applyNumberFormat="1" applyFill="1"/>
    <xf numFmtId="10" fontId="20" fillId="0" borderId="0" xfId="26" applyNumberFormat="1" applyFont="1" applyFill="1"/>
    <xf numFmtId="43" fontId="20" fillId="3" borderId="0" xfId="1" applyFont="1" applyFill="1"/>
    <xf numFmtId="164" fontId="0" fillId="6" borderId="0" xfId="0" applyNumberFormat="1" applyFill="1"/>
    <xf numFmtId="164" fontId="8" fillId="12" borderId="0" xfId="0" applyNumberFormat="1" applyFont="1" applyFill="1"/>
    <xf numFmtId="0" fontId="45" fillId="0" borderId="0" xfId="0" applyNumberFormat="1" applyFont="1" applyBorder="1" applyAlignment="1">
      <alignment horizontal="center" vertical="center" wrapText="1"/>
    </xf>
    <xf numFmtId="0" fontId="0" fillId="10" borderId="0" xfId="0" applyNumberFormat="1" applyFill="1"/>
    <xf numFmtId="0" fontId="45" fillId="0" borderId="0" xfId="0" applyNumberFormat="1" applyFont="1" applyBorder="1" applyAlignment="1">
      <alignment horizontal="center" vertical="center"/>
    </xf>
    <xf numFmtId="0" fontId="45" fillId="0" borderId="0" xfId="1" applyNumberFormat="1" applyFont="1" applyBorder="1" applyAlignment="1">
      <alignment horizontal="center" vertical="center"/>
    </xf>
    <xf numFmtId="1" fontId="45" fillId="0" borderId="0" xfId="0" applyNumberFormat="1" applyFont="1" applyBorder="1" applyAlignment="1">
      <alignment horizontal="center" vertical="center"/>
    </xf>
    <xf numFmtId="0" fontId="45" fillId="0" borderId="21" xfId="1" applyNumberFormat="1" applyFont="1" applyFill="1" applyBorder="1" applyAlignment="1">
      <alignment horizontal="center" vertical="center"/>
    </xf>
    <xf numFmtId="0" fontId="45" fillId="0" borderId="11" xfId="0" applyNumberFormat="1" applyFont="1" applyFill="1" applyBorder="1" applyAlignment="1">
      <alignment horizontal="center" vertical="center"/>
    </xf>
    <xf numFmtId="0" fontId="45" fillId="0" borderId="0" xfId="1" applyNumberFormat="1" applyFont="1" applyFill="1" applyBorder="1" applyAlignment="1">
      <alignment horizontal="center" vertical="center"/>
    </xf>
    <xf numFmtId="0" fontId="45" fillId="0" borderId="0" xfId="0" applyNumberFormat="1" applyFont="1" applyFill="1" applyBorder="1" applyAlignment="1">
      <alignment horizontal="center" vertical="center"/>
    </xf>
    <xf numFmtId="9" fontId="0" fillId="0" borderId="0" xfId="0" applyNumberFormat="1"/>
    <xf numFmtId="0" fontId="28" fillId="0" borderId="0" xfId="0" applyFont="1"/>
    <xf numFmtId="10" fontId="45" fillId="0" borderId="0" xfId="0" applyNumberFormat="1" applyFont="1" applyBorder="1" applyAlignment="1">
      <alignment horizontal="center" vertical="center" wrapText="1"/>
    </xf>
    <xf numFmtId="9" fontId="45" fillId="0" borderId="11" xfId="0" applyNumberFormat="1" applyFont="1" applyBorder="1" applyAlignment="1">
      <alignment horizontal="center" vertical="center"/>
    </xf>
  </cellXfs>
  <cellStyles count="445">
    <cellStyle name="Bad 2" xfId="17"/>
    <cellStyle name="Comma" xfId="1" builtinId="3"/>
    <cellStyle name="Comma 2" xfId="18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25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Good 2" xfId="19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24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Neutral 2" xfId="20"/>
    <cellStyle name="Normal" xfId="0" builtinId="0"/>
    <cellStyle name="Normal 2" xfId="21"/>
    <cellStyle name="Normal 2 2" xfId="14"/>
    <cellStyle name="Normal 3" xfId="22"/>
    <cellStyle name="Normal 4" xfId="23"/>
    <cellStyle name="Normal 5" xfId="15"/>
    <cellStyle name="Percent" xfId="26" builtinId="5"/>
    <cellStyle name="Percent 2" xfId="1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GTW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Results!$C$2:$F$2</c:f>
              <c:numCache>
                <c:formatCode>General</c:formatCode>
                <c:ptCount val="4"/>
                <c:pt idx="0" formatCode="0">
                  <c:v>770.0</c:v>
                </c:pt>
                <c:pt idx="2">
                  <c:v>6.0</c:v>
                </c:pt>
                <c:pt idx="3">
                  <c:v>-177.0</c:v>
                </c:pt>
              </c:numCache>
            </c:numRef>
          </c:val>
        </c:ser>
        <c:ser>
          <c:idx val="1"/>
          <c:order val="1"/>
          <c:tx>
            <c:strRef>
              <c:f>Results!$B$3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Results!$C$3:$F$3</c:f>
              <c:numCache>
                <c:formatCode>0</c:formatCode>
                <c:ptCount val="4"/>
                <c:pt idx="1">
                  <c:v>-37.99504132231404</c:v>
                </c:pt>
                <c:pt idx="2">
                  <c:v>7.0</c:v>
                </c:pt>
                <c:pt idx="3" formatCode="_(* #,##0_);_(* \(#,##0\);_(* &quot;-&quot;??_);_(@_)">
                  <c:v>7.0</c:v>
                </c:pt>
              </c:numCache>
            </c:numRef>
          </c:val>
        </c:ser>
        <c:ser>
          <c:idx val="2"/>
          <c:order val="2"/>
          <c:tx>
            <c:strRef>
              <c:f>Results!$B$4</c:f>
              <c:strCache>
                <c:ptCount val="1"/>
                <c:pt idx="0">
                  <c:v>Apple Pomace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Results!$C$4:$F$4</c:f>
              <c:numCache>
                <c:formatCode>0</c:formatCode>
                <c:ptCount val="4"/>
                <c:pt idx="1">
                  <c:v>-110.5272727272727</c:v>
                </c:pt>
                <c:pt idx="2">
                  <c:v>8.25</c:v>
                </c:pt>
              </c:numCache>
            </c:numRef>
          </c:val>
        </c:ser>
        <c:ser>
          <c:idx val="3"/>
          <c:order val="3"/>
          <c:tx>
            <c:strRef>
              <c:f>Results!$B$5</c:f>
              <c:strCache>
                <c:ptCount val="1"/>
                <c:pt idx="0">
                  <c:v>Bakery Waste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Results!$C$5:$F$5</c:f>
              <c:numCache>
                <c:formatCode>0</c:formatCode>
                <c:ptCount val="4"/>
                <c:pt idx="0">
                  <c:v>1924.0</c:v>
                </c:pt>
                <c:pt idx="1">
                  <c:v>-620.5921487603304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56725448"/>
        <c:axId val="-2056301992"/>
      </c:barChart>
      <c:catAx>
        <c:axId val="-2056725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56301992"/>
        <c:crosses val="autoZero"/>
        <c:auto val="1"/>
        <c:lblAlgn val="ctr"/>
        <c:lblOffset val="100"/>
        <c:noMultiLvlLbl val="0"/>
      </c:catAx>
      <c:valAx>
        <c:axId val="-20563019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567254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Landfill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Results!$C$2:$C$5</c:f>
              <c:numCache>
                <c:formatCode>General</c:formatCode>
                <c:ptCount val="4"/>
                <c:pt idx="0" formatCode="0">
                  <c:v>770.0</c:v>
                </c:pt>
                <c:pt idx="3" formatCode="0">
                  <c:v>1924.0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Results!$D$2:$D$5</c:f>
              <c:numCache>
                <c:formatCode>0</c:formatCode>
                <c:ptCount val="4"/>
                <c:pt idx="1">
                  <c:v>-37.99504132231404</c:v>
                </c:pt>
                <c:pt idx="2">
                  <c:v>-110.5272727272727</c:v>
                </c:pt>
                <c:pt idx="3">
                  <c:v>-620.5921487603304</c:v>
                </c:pt>
              </c:numCache>
            </c:numRef>
          </c:val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WWTP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Results!$G$2:$G$5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Results!$H$2:$H$5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Results!$E$1</c:f>
              <c:strCache>
                <c:ptCount val="1"/>
                <c:pt idx="0">
                  <c:v>Land Application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Results!$E$2:$E$5</c:f>
              <c:numCache>
                <c:formatCode>0</c:formatCode>
                <c:ptCount val="4"/>
                <c:pt idx="0" formatCode="General">
                  <c:v>6.0</c:v>
                </c:pt>
                <c:pt idx="1">
                  <c:v>7.0</c:v>
                </c:pt>
                <c:pt idx="2">
                  <c:v>8.25</c:v>
                </c:pt>
              </c:numCache>
            </c:numRef>
          </c:val>
        </c:ser>
        <c:ser>
          <c:idx val="5"/>
          <c:order val="5"/>
          <c:tx>
            <c:strRef>
              <c:f>Results!$F$1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Results!$F$2:$F$5</c:f>
              <c:numCache>
                <c:formatCode>_(* #,##0_);_(* \(#,##0\);_(* "-"??_);_(@_)</c:formatCode>
                <c:ptCount val="4"/>
                <c:pt idx="0" formatCode="General">
                  <c:v>-177.0</c:v>
                </c:pt>
                <c:pt idx="1">
                  <c:v>7.0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57231944"/>
        <c:axId val="-2057079672"/>
      </c:barChart>
      <c:catAx>
        <c:axId val="-205723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57079672"/>
        <c:crosses val="autoZero"/>
        <c:auto val="1"/>
        <c:lblAlgn val="ctr"/>
        <c:lblOffset val="100"/>
        <c:noMultiLvlLbl val="0"/>
      </c:catAx>
      <c:valAx>
        <c:axId val="-2057079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Climate Change  (kg CO2e/t)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572319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5916280401991"/>
          <c:y val="0.0543000085278149"/>
          <c:w val="0.889022922501949"/>
          <c:h val="0.931012820148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Results!$B$46</c:f>
              <c:strCache>
                <c:ptCount val="1"/>
                <c:pt idx="0">
                  <c:v>AF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Results!$B$47:$B$50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2" formatCode="0">
                  <c:v>118.7772727272727</c:v>
                </c:pt>
              </c:numCache>
            </c:numRef>
          </c:val>
        </c:ser>
        <c:ser>
          <c:idx val="1"/>
          <c:order val="1"/>
          <c:tx>
            <c:strRef>
              <c:f>Results!$C$46</c:f>
              <c:strCache>
                <c:ptCount val="1"/>
                <c:pt idx="0">
                  <c:v>LA-to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Results!$C$47:$C$50</c:f>
              <c:numCache>
                <c:formatCode>0</c:formatCode>
                <c:ptCount val="4"/>
                <c:pt idx="1">
                  <c:v>-44.99504132231404</c:v>
                </c:pt>
                <c:pt idx="2">
                  <c:v>-118.7772727272727</c:v>
                </c:pt>
              </c:numCache>
            </c:numRef>
          </c:val>
        </c:ser>
        <c:ser>
          <c:idx val="2"/>
          <c:order val="2"/>
          <c:tx>
            <c:strRef>
              <c:f>Results!$D$46</c:f>
              <c:strCache>
                <c:ptCount val="1"/>
                <c:pt idx="0">
                  <c:v>LA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Results!$D$47:$D$50</c:f>
              <c:numCache>
                <c:formatCode>0</c:formatCode>
                <c:ptCount val="4"/>
                <c:pt idx="0" formatCode="General">
                  <c:v>-183.0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Results!$E$46</c:f>
              <c:strCache>
                <c:ptCount val="1"/>
                <c:pt idx="0">
                  <c:v>AD to LA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118098612341309"/>
                  <c:y val="0.12397216951296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Results!$E$47:$E$50</c:f>
              <c:numCache>
                <c:formatCode>0</c:formatCode>
                <c:ptCount val="4"/>
                <c:pt idx="0" formatCode="General">
                  <c:v>183.0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Results!$F$46</c:f>
              <c:strCache>
                <c:ptCount val="1"/>
                <c:pt idx="0">
                  <c:v>LF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Results!$F$47:$F$50</c:f>
              <c:numCache>
                <c:formatCode>0</c:formatCode>
                <c:ptCount val="4"/>
                <c:pt idx="0">
                  <c:v>-764.0</c:v>
                </c:pt>
              </c:numCache>
            </c:numRef>
          </c:val>
        </c:ser>
        <c:ser>
          <c:idx val="5"/>
          <c:order val="5"/>
          <c:tx>
            <c:strRef>
              <c:f>Results!$G$46</c:f>
              <c:strCache>
                <c:ptCount val="1"/>
                <c:pt idx="0">
                  <c:v>LA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Results!$G$47:$G$50</c:f>
              <c:numCache>
                <c:formatCode>General</c:formatCode>
                <c:ptCount val="4"/>
                <c:pt idx="0" formatCode="0">
                  <c:v>764.0</c:v>
                </c:pt>
              </c:numCache>
            </c:numRef>
          </c:val>
        </c:ser>
        <c:ser>
          <c:idx val="6"/>
          <c:order val="6"/>
          <c:tx>
            <c:strRef>
              <c:f>Results!$H$46</c:f>
              <c:strCache>
                <c:ptCount val="1"/>
                <c:pt idx="0">
                  <c:v>LF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Results!$H$47:$H$50</c:f>
              <c:numCache>
                <c:formatCode>0</c:formatCode>
                <c:ptCount val="4"/>
                <c:pt idx="0">
                  <c:v>-947.0</c:v>
                </c:pt>
                <c:pt idx="3">
                  <c:v>-2403.0</c:v>
                </c:pt>
              </c:numCache>
            </c:numRef>
          </c:val>
        </c:ser>
        <c:ser>
          <c:idx val="7"/>
          <c:order val="7"/>
          <c:tx>
            <c:strRef>
              <c:f>Results!$I$46</c:f>
              <c:strCache>
                <c:ptCount val="1"/>
                <c:pt idx="0">
                  <c:v>AD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Results!$I$47:$I$50</c:f>
              <c:numCache>
                <c:formatCode>_(* #,##0_);_(* \(#,##0\);_(* "-"??_);_(@_)</c:formatCode>
                <c:ptCount val="4"/>
                <c:pt idx="0" formatCode="0">
                  <c:v>947.0</c:v>
                </c:pt>
                <c:pt idx="3" formatCode="0">
                  <c:v>2403.0</c:v>
                </c:pt>
              </c:numCache>
            </c:numRef>
          </c:val>
        </c:ser>
        <c:ser>
          <c:idx val="8"/>
          <c:order val="8"/>
          <c:tx>
            <c:strRef>
              <c:f>Results!$J$46</c:f>
              <c:strCache>
                <c:ptCount val="1"/>
                <c:pt idx="0">
                  <c:v>AF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Results!$J$47:$J$50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3" formatCode="0">
                  <c:v>141.5921487603305</c:v>
                </c:pt>
              </c:numCache>
            </c:numRef>
          </c:val>
        </c:ser>
        <c:ser>
          <c:idx val="9"/>
          <c:order val="9"/>
          <c:tx>
            <c:strRef>
              <c:f>Results!$K$46</c:f>
              <c:strCache>
                <c:ptCount val="1"/>
                <c:pt idx="0">
                  <c:v>AD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Results!$K$47:$K$50</c:f>
              <c:numCache>
                <c:formatCode>0</c:formatCode>
                <c:ptCount val="4"/>
                <c:pt idx="1">
                  <c:v>-44.99504132231404</c:v>
                </c:pt>
                <c:pt idx="3">
                  <c:v>-141.5921487603305</c:v>
                </c:pt>
              </c:numCache>
            </c:numRef>
          </c:val>
        </c:ser>
        <c:ser>
          <c:idx val="10"/>
          <c:order val="10"/>
          <c:tx>
            <c:strRef>
              <c:f>Results!$L$46</c:f>
              <c:strCache>
                <c:ptCount val="1"/>
                <c:pt idx="0">
                  <c:v>LF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Results!$L$47:$L$50</c:f>
              <c:numCache>
                <c:formatCode>General</c:formatCode>
                <c:ptCount val="4"/>
                <c:pt idx="3" formatCode="0">
                  <c:v>-2544.59214876033</c:v>
                </c:pt>
              </c:numCache>
            </c:numRef>
          </c:val>
        </c:ser>
        <c:ser>
          <c:idx val="11"/>
          <c:order val="11"/>
          <c:tx>
            <c:strRef>
              <c:f>Results!$M$46</c:f>
              <c:strCache>
                <c:ptCount val="1"/>
                <c:pt idx="0">
                  <c:v>AF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Results!$M$47:$M$50</c:f>
              <c:numCache>
                <c:formatCode>General</c:formatCode>
                <c:ptCount val="4"/>
                <c:pt idx="3" formatCode="0">
                  <c:v>2544.59214876033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6"/>
        <c:axId val="2088838840"/>
        <c:axId val="2088947176"/>
      </c:barChart>
      <c:catAx>
        <c:axId val="208883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 sz="1400" b="1"/>
            </a:pPr>
            <a:endParaRPr lang="en-US"/>
          </a:p>
        </c:txPr>
        <c:crossAx val="2088947176"/>
        <c:crosses val="autoZero"/>
        <c:auto val="1"/>
        <c:lblAlgn val="ctr"/>
        <c:lblOffset val="100"/>
        <c:noMultiLvlLbl val="1"/>
      </c:catAx>
      <c:valAx>
        <c:axId val="2088947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(kgCO2e/t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83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38100</xdr:rowOff>
    </xdr:from>
    <xdr:to>
      <xdr:col>19</xdr:col>
      <xdr:colOff>330200</xdr:colOff>
      <xdr:row>39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11</xdr:col>
      <xdr:colOff>317500</xdr:colOff>
      <xdr:row>38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581025</xdr:colOff>
      <xdr:row>53</xdr:row>
      <xdr:rowOff>180975</xdr:rowOff>
    </xdr:from>
    <xdr:to>
      <xdr:col>15</xdr:col>
      <xdr:colOff>438150</xdr:colOff>
      <xdr:row>80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e5003/Dropbox/2013%20Bioresource%20Technology%20Publication/Synergy%20Data/2013%20Total%20Loads%20Delive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eebner/Dropbox/2014%20Environmental%20Science%20and%20Technology_GHG%20_AD/Emission%20Calculator/emissions%20calculations_JHE%20final%209_12_14sensitiv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3 OVERALL (2)"/>
      <sheetName val="2013 OVERALL"/>
      <sheetName val="Sheet1"/>
      <sheetName val="BL EM SUMMAR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rtilizer literature"/>
      <sheetName val="transport literatue"/>
      <sheetName val="food delivery summary"/>
      <sheetName val="characterization"/>
      <sheetName val="FOD"/>
      <sheetName val="literature Storage "/>
      <sheetName val="Land Application literature"/>
      <sheetName val="Digester literature"/>
      <sheetName val="methane loss"/>
      <sheetName val="n2oloss"/>
      <sheetName val="Synergy Data"/>
      <sheetName val="Summary"/>
      <sheetName val="BL EM SUMMARY"/>
      <sheetName val="BL- Manure Storage"/>
      <sheetName val="BL- Manure Land Application"/>
      <sheetName val="BL- FW Disposal Em "/>
      <sheetName val="AD EM SUMMARY"/>
      <sheetName val="AD- FW Hauling"/>
      <sheetName val="AD- digester"/>
      <sheetName val="AD- Effluent Storage"/>
      <sheetName val="AD= Effluent Land Application "/>
      <sheetName val="cogen emissions reduction"/>
      <sheetName val="Protocols"/>
      <sheetName val="sawdu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7"/>
  <sheetViews>
    <sheetView topLeftCell="A20" workbookViewId="0">
      <selection activeCell="P40" sqref="P40"/>
    </sheetView>
  </sheetViews>
  <sheetFormatPr baseColWidth="10" defaultColWidth="11" defaultRowHeight="15" x14ac:dyDescent="0"/>
  <cols>
    <col min="1" max="1" width="38.6640625" customWidth="1"/>
    <col min="2" max="2" width="13.83203125" customWidth="1"/>
    <col min="3" max="3" width="14.5" customWidth="1"/>
    <col min="4" max="4" width="13.1640625" customWidth="1"/>
    <col min="5" max="5" width="23" customWidth="1"/>
    <col min="6" max="6" width="16.1640625" customWidth="1"/>
    <col min="7" max="7" width="11.33203125" customWidth="1"/>
    <col min="8" max="10" width="11" customWidth="1"/>
    <col min="11" max="11" width="9.1640625" customWidth="1"/>
    <col min="12" max="16" width="11" customWidth="1"/>
  </cols>
  <sheetData>
    <row r="1" spans="1:21" s="44" customFormat="1" ht="13" customHeight="1">
      <c r="A1" s="41" t="s">
        <v>659</v>
      </c>
      <c r="B1" s="41" t="s">
        <v>14</v>
      </c>
      <c r="C1" s="41" t="s">
        <v>116</v>
      </c>
      <c r="D1" s="199" t="s">
        <v>641</v>
      </c>
      <c r="E1" s="41" t="s">
        <v>2</v>
      </c>
      <c r="F1" s="41" t="s">
        <v>5</v>
      </c>
    </row>
    <row r="2" spans="1:21">
      <c r="A2" t="s">
        <v>662</v>
      </c>
      <c r="B2" t="s">
        <v>665</v>
      </c>
      <c r="C2" s="196">
        <f>J66</f>
        <v>0.44445499769952745</v>
      </c>
      <c r="F2" t="s">
        <v>684</v>
      </c>
    </row>
    <row r="3" spans="1:21">
      <c r="A3" t="s">
        <v>664</v>
      </c>
      <c r="B3" t="s">
        <v>665</v>
      </c>
      <c r="C3" s="196">
        <f>J65</f>
        <v>0.53090857076072773</v>
      </c>
      <c r="F3" t="s">
        <v>684</v>
      </c>
    </row>
    <row r="4" spans="1:21">
      <c r="A4" t="s">
        <v>663</v>
      </c>
      <c r="B4" t="s">
        <v>665</v>
      </c>
      <c r="C4" s="196">
        <f>J67</f>
        <v>0.77143668844394409</v>
      </c>
      <c r="F4" t="s">
        <v>684</v>
      </c>
    </row>
    <row r="5" spans="1:21">
      <c r="A5" s="1" t="s">
        <v>39</v>
      </c>
      <c r="B5" s="1" t="s">
        <v>118</v>
      </c>
      <c r="C5" s="197">
        <v>265</v>
      </c>
      <c r="D5" s="1"/>
      <c r="E5" s="1" t="s">
        <v>767</v>
      </c>
      <c r="H5" s="30"/>
      <c r="I5" s="30"/>
      <c r="J5" s="30"/>
      <c r="K5" s="27"/>
      <c r="L5" s="27"/>
      <c r="M5" s="27"/>
    </row>
    <row r="6" spans="1:21">
      <c r="A6" s="1" t="s">
        <v>27</v>
      </c>
      <c r="B6" s="1" t="s">
        <v>29</v>
      </c>
      <c r="C6" s="197">
        <v>28</v>
      </c>
      <c r="D6" s="1"/>
      <c r="E6" s="23" t="s">
        <v>767</v>
      </c>
      <c r="H6" s="29"/>
      <c r="I6" s="29"/>
      <c r="J6" s="29"/>
      <c r="K6" s="28"/>
      <c r="L6" s="27"/>
      <c r="M6" s="27"/>
    </row>
    <row r="7" spans="1:21">
      <c r="A7" t="s">
        <v>642</v>
      </c>
      <c r="B7" t="s">
        <v>644</v>
      </c>
      <c r="C7" s="194">
        <v>0.45</v>
      </c>
      <c r="D7" t="s">
        <v>551</v>
      </c>
      <c r="E7" t="s">
        <v>645</v>
      </c>
    </row>
    <row r="8" spans="1:21" s="47" customFormat="1">
      <c r="A8" s="116" t="s">
        <v>650</v>
      </c>
      <c r="B8" s="105" t="s">
        <v>648</v>
      </c>
      <c r="C8" s="198" t="s">
        <v>465</v>
      </c>
      <c r="F8" s="120">
        <f>34003/1000000</f>
        <v>3.4002999999999999E-2</v>
      </c>
      <c r="G8" s="105" t="s">
        <v>467</v>
      </c>
      <c r="H8" s="105"/>
      <c r="I8" s="105"/>
      <c r="J8" s="105"/>
    </row>
    <row r="9" spans="1:21" s="47" customFormat="1">
      <c r="A9" s="116" t="s">
        <v>783</v>
      </c>
      <c r="B9" s="105"/>
      <c r="C9" s="198"/>
      <c r="F9" s="120"/>
      <c r="G9" s="105"/>
      <c r="H9" s="105"/>
      <c r="I9" s="105"/>
      <c r="J9" s="105"/>
    </row>
    <row r="10" spans="1:21" s="105" customFormat="1" ht="14">
      <c r="A10" s="105" t="s">
        <v>459</v>
      </c>
      <c r="B10" s="111" t="s">
        <v>649</v>
      </c>
      <c r="C10" s="198"/>
      <c r="D10" s="121">
        <f>F10/1000*F8</f>
        <v>2.6982740619999999</v>
      </c>
      <c r="F10" s="117">
        <v>79354</v>
      </c>
      <c r="G10" s="111" t="s">
        <v>589</v>
      </c>
      <c r="H10" s="111"/>
      <c r="I10" s="111"/>
      <c r="J10" s="111"/>
      <c r="K10" s="105" t="s">
        <v>590</v>
      </c>
    </row>
    <row r="11" spans="1:21" s="105" customFormat="1" ht="14">
      <c r="A11" s="105" t="s">
        <v>461</v>
      </c>
      <c r="B11" s="111" t="s">
        <v>649</v>
      </c>
      <c r="C11" s="198"/>
      <c r="D11" s="121">
        <f>F11/1000*F8*Parameters!C5</f>
        <v>1.8021590000000001E-2</v>
      </c>
      <c r="F11" s="117">
        <v>2</v>
      </c>
      <c r="G11" s="111" t="s">
        <v>466</v>
      </c>
      <c r="H11" s="111"/>
      <c r="I11" s="111"/>
      <c r="J11" s="111"/>
      <c r="K11" s="105" t="s">
        <v>458</v>
      </c>
    </row>
    <row r="12" spans="1:21" s="27" customFormat="1" ht="14">
      <c r="A12" s="111" t="s">
        <v>460</v>
      </c>
      <c r="B12" s="111" t="s">
        <v>649</v>
      </c>
      <c r="C12" s="195"/>
      <c r="D12" s="122">
        <f>F12*Parameters!C6/1000*F8</f>
        <v>4.1986904399999997E-3</v>
      </c>
      <c r="F12" s="27">
        <v>4.41</v>
      </c>
      <c r="G12" s="111" t="s">
        <v>466</v>
      </c>
      <c r="H12" s="111"/>
      <c r="I12" s="111"/>
      <c r="J12" s="111"/>
      <c r="K12" s="105" t="s">
        <v>458</v>
      </c>
      <c r="N12" s="111"/>
      <c r="U12" s="119"/>
    </row>
    <row r="13" spans="1:21">
      <c r="A13" s="1" t="s">
        <v>643</v>
      </c>
      <c r="C13" s="271">
        <f>SUM(D10:D12)</f>
        <v>2.7204943424399999</v>
      </c>
      <c r="E13" t="s">
        <v>647</v>
      </c>
      <c r="N13" s="1"/>
      <c r="O13" s="1"/>
      <c r="P13" s="1"/>
      <c r="Q13" s="1"/>
      <c r="R13" s="1"/>
      <c r="S13" s="1"/>
    </row>
    <row r="14" spans="1:21">
      <c r="A14" s="1" t="s">
        <v>424</v>
      </c>
      <c r="B14" s="1" t="s">
        <v>126</v>
      </c>
      <c r="C14" s="197">
        <v>533.66</v>
      </c>
      <c r="E14" t="s">
        <v>141</v>
      </c>
      <c r="F14" s="27" t="s">
        <v>142</v>
      </c>
    </row>
    <row r="15" spans="1:21">
      <c r="A15" s="43" t="s">
        <v>781</v>
      </c>
      <c r="B15" s="1"/>
      <c r="C15" s="197"/>
      <c r="F15" s="27"/>
    </row>
    <row r="16" spans="1:21">
      <c r="A16" s="1" t="s">
        <v>598</v>
      </c>
      <c r="B16" s="1" t="s">
        <v>117</v>
      </c>
      <c r="C16" s="10">
        <f>44/28</f>
        <v>1.5714285714285714</v>
      </c>
      <c r="D16" s="1"/>
      <c r="E16" s="1"/>
      <c r="H16" s="27"/>
      <c r="I16" s="27"/>
      <c r="J16" s="27"/>
      <c r="K16" s="27"/>
      <c r="L16" s="27"/>
      <c r="M16" s="27"/>
    </row>
    <row r="17" spans="1:20">
      <c r="A17" s="1" t="s">
        <v>706</v>
      </c>
      <c r="B17" s="1" t="s">
        <v>117</v>
      </c>
      <c r="C17" s="10">
        <f>44/12</f>
        <v>3.6666666666666665</v>
      </c>
      <c r="D17" s="1"/>
      <c r="E17" s="1"/>
      <c r="H17" s="27"/>
      <c r="I17" s="27"/>
      <c r="J17" s="27"/>
      <c r="K17" s="27"/>
      <c r="L17" s="27"/>
      <c r="M17" s="27"/>
    </row>
    <row r="18" spans="1:20">
      <c r="A18" s="1" t="s">
        <v>724</v>
      </c>
      <c r="B18" s="1" t="s">
        <v>117</v>
      </c>
      <c r="C18" s="10">
        <f>16/12</f>
        <v>1.3333333333333333</v>
      </c>
      <c r="D18" s="1"/>
      <c r="E18" s="1"/>
      <c r="H18" s="27"/>
      <c r="I18" s="27"/>
      <c r="J18" s="27"/>
      <c r="K18" s="27"/>
      <c r="L18" s="27"/>
      <c r="M18" s="27"/>
    </row>
    <row r="19" spans="1:20">
      <c r="A19" s="1" t="s">
        <v>423</v>
      </c>
      <c r="B19" s="1" t="s">
        <v>28</v>
      </c>
      <c r="C19" s="197">
        <v>0.67</v>
      </c>
      <c r="D19" s="1"/>
      <c r="E19" s="23"/>
      <c r="H19" s="27"/>
      <c r="I19" s="27"/>
      <c r="J19" s="27"/>
      <c r="K19" s="27"/>
      <c r="L19" s="27"/>
      <c r="M19" s="27"/>
    </row>
    <row r="20" spans="1:20" s="45" customFormat="1">
      <c r="A20" s="27" t="s">
        <v>134</v>
      </c>
      <c r="B20" s="46" t="s">
        <v>135</v>
      </c>
      <c r="C20" s="195">
        <v>35315</v>
      </c>
      <c r="E20" s="27"/>
      <c r="F20"/>
    </row>
    <row r="21" spans="1:20">
      <c r="A21" s="1"/>
      <c r="S21" s="69"/>
    </row>
    <row r="22" spans="1:20">
      <c r="A22" s="1"/>
      <c r="S22" s="69"/>
    </row>
    <row r="23" spans="1:20">
      <c r="A23" s="1"/>
      <c r="S23" s="69" t="s">
        <v>766</v>
      </c>
      <c r="T23" t="s">
        <v>670</v>
      </c>
    </row>
    <row r="24" spans="1:20" s="44" customFormat="1">
      <c r="A24" s="45" t="s">
        <v>660</v>
      </c>
    </row>
    <row r="25" spans="1:20" ht="37" thickBot="1">
      <c r="A25" s="158" t="s">
        <v>661</v>
      </c>
      <c r="B25" s="158" t="s">
        <v>406</v>
      </c>
      <c r="C25" s="158" t="s">
        <v>527</v>
      </c>
      <c r="D25" s="158" t="s">
        <v>450</v>
      </c>
      <c r="E25" s="158" t="s">
        <v>49</v>
      </c>
      <c r="F25" s="158" t="s">
        <v>50</v>
      </c>
      <c r="G25" s="158" t="s">
        <v>407</v>
      </c>
      <c r="H25" s="158" t="s">
        <v>480</v>
      </c>
      <c r="I25" s="158" t="s">
        <v>472</v>
      </c>
      <c r="J25" s="158" t="s">
        <v>633</v>
      </c>
      <c r="K25" s="158" t="s">
        <v>529</v>
      </c>
      <c r="L25" s="158" t="s">
        <v>530</v>
      </c>
      <c r="M25" s="158" t="s">
        <v>531</v>
      </c>
      <c r="N25" s="161" t="s">
        <v>532</v>
      </c>
      <c r="O25" s="158" t="s">
        <v>533</v>
      </c>
      <c r="P25" s="164" t="s">
        <v>348</v>
      </c>
      <c r="Q25" s="164" t="s">
        <v>955</v>
      </c>
      <c r="R25" s="164" t="s">
        <v>956</v>
      </c>
      <c r="S25" s="167" t="s">
        <v>765</v>
      </c>
    </row>
    <row r="26" spans="1:20" ht="17" thickTop="1" thickBot="1">
      <c r="A26" s="148" t="s">
        <v>731</v>
      </c>
      <c r="B26" s="151"/>
      <c r="C26" s="154"/>
      <c r="D26" s="148"/>
      <c r="E26" s="257"/>
      <c r="F26" s="154"/>
      <c r="G26" s="148"/>
      <c r="H26" s="151"/>
      <c r="I26" s="154"/>
      <c r="J26" s="148"/>
      <c r="K26" s="151"/>
      <c r="L26" s="154"/>
      <c r="M26" s="148"/>
      <c r="N26" s="151"/>
      <c r="O26" s="154"/>
      <c r="P26" s="297"/>
      <c r="Q26" s="286"/>
      <c r="R26" s="286"/>
    </row>
    <row r="27" spans="1:20" ht="16" thickBot="1">
      <c r="A27" s="148" t="s">
        <v>732</v>
      </c>
      <c r="B27" s="151">
        <v>0.3</v>
      </c>
      <c r="C27" s="154">
        <v>0.9</v>
      </c>
      <c r="D27" s="148">
        <f>C27*B27</f>
        <v>0.27</v>
      </c>
      <c r="E27" s="257">
        <f>F27/D27</f>
        <v>334.11111111111109</v>
      </c>
      <c r="F27" s="251">
        <f>H27*B27</f>
        <v>90.21</v>
      </c>
      <c r="G27" s="274">
        <v>9000</v>
      </c>
      <c r="H27" s="257">
        <v>300.7</v>
      </c>
      <c r="I27" s="251">
        <v>0.14399999999999999</v>
      </c>
      <c r="J27" s="256">
        <f>(Parameters!C3*Parameters!M27+Parameters!L27*Parameters!C4+Parameters!N27*Parameters!C2)*1000*B27</f>
        <v>145.73955722402675</v>
      </c>
      <c r="K27" s="151"/>
      <c r="L27" s="154">
        <v>0.1</v>
      </c>
      <c r="M27" s="188">
        <v>0.1</v>
      </c>
      <c r="N27" s="151">
        <v>0.8</v>
      </c>
      <c r="O27" s="154">
        <v>0.84099999999999997</v>
      </c>
      <c r="P27" s="297"/>
      <c r="Q27" s="286"/>
      <c r="R27" s="286"/>
      <c r="S27" t="s">
        <v>471</v>
      </c>
    </row>
    <row r="28" spans="1:20" ht="16" thickBot="1">
      <c r="A28" s="148" t="s">
        <v>641</v>
      </c>
      <c r="B28" s="151" t="s">
        <v>670</v>
      </c>
      <c r="C28" s="154"/>
      <c r="D28" s="148" t="s">
        <v>671</v>
      </c>
      <c r="E28" s="257"/>
      <c r="F28" s="251"/>
      <c r="G28" s="148" t="s">
        <v>540</v>
      </c>
      <c r="H28" s="151" t="s">
        <v>670</v>
      </c>
      <c r="I28" s="154"/>
      <c r="J28" s="148" t="s">
        <v>18</v>
      </c>
      <c r="K28" s="151"/>
      <c r="L28" s="154"/>
      <c r="M28" s="159"/>
      <c r="N28" s="151"/>
      <c r="O28" s="154" t="s">
        <v>821</v>
      </c>
      <c r="P28" s="297"/>
      <c r="Q28" s="286"/>
      <c r="R28" s="286"/>
    </row>
    <row r="29" spans="1:20" ht="16" thickBot="1">
      <c r="A29" s="148" t="s">
        <v>2</v>
      </c>
      <c r="B29" s="151"/>
      <c r="C29" s="154"/>
      <c r="D29" s="148"/>
      <c r="E29" s="257"/>
      <c r="F29" s="251"/>
      <c r="G29" s="148"/>
      <c r="H29" s="151"/>
      <c r="I29" s="154"/>
      <c r="J29" s="148" t="s">
        <v>672</v>
      </c>
      <c r="K29" s="151"/>
      <c r="L29" s="154" t="s">
        <v>667</v>
      </c>
      <c r="M29" s="159" t="s">
        <v>667</v>
      </c>
      <c r="N29" s="151" t="s">
        <v>667</v>
      </c>
      <c r="O29" s="154" t="s">
        <v>667</v>
      </c>
      <c r="P29" s="297"/>
      <c r="Q29" s="286"/>
      <c r="R29" s="286"/>
    </row>
    <row r="30" spans="1:20" ht="16" thickBot="1">
      <c r="A30" s="148"/>
      <c r="B30" s="151"/>
      <c r="C30" s="154"/>
      <c r="D30" s="148"/>
      <c r="E30" s="257"/>
      <c r="F30" s="251"/>
      <c r="G30" s="148"/>
      <c r="H30" s="151"/>
      <c r="I30" s="154"/>
      <c r="J30" s="148" t="s">
        <v>540</v>
      </c>
      <c r="K30" s="151"/>
      <c r="L30" s="154"/>
      <c r="M30" s="188"/>
      <c r="N30" s="151"/>
      <c r="O30" s="154"/>
      <c r="P30" s="297"/>
      <c r="Q30" s="286"/>
      <c r="R30" s="286"/>
    </row>
    <row r="31" spans="1:20" ht="16" thickBot="1">
      <c r="A31" s="148"/>
      <c r="B31" s="151"/>
      <c r="C31" s="154"/>
      <c r="D31" s="148"/>
      <c r="E31" s="257"/>
      <c r="F31" s="251"/>
      <c r="G31" s="148"/>
      <c r="H31" s="151"/>
      <c r="I31" s="154"/>
      <c r="J31" s="148">
        <f>E27*D27</f>
        <v>90.21</v>
      </c>
      <c r="K31" s="151"/>
      <c r="L31" s="154"/>
      <c r="M31" s="159"/>
      <c r="N31" s="151"/>
      <c r="O31" s="154"/>
      <c r="P31" s="297"/>
      <c r="Q31" s="286"/>
      <c r="R31" s="286"/>
    </row>
    <row r="32" spans="1:20" ht="16" thickBot="1">
      <c r="A32" s="148"/>
      <c r="B32" s="151"/>
      <c r="C32" s="154"/>
      <c r="D32" s="148"/>
      <c r="E32" s="257"/>
      <c r="F32" s="251"/>
      <c r="G32" s="148"/>
      <c r="H32" s="151"/>
      <c r="I32" s="154"/>
      <c r="J32" s="148" t="s">
        <v>670</v>
      </c>
      <c r="K32" s="151"/>
      <c r="L32" s="154"/>
      <c r="M32" s="159"/>
      <c r="N32" s="151"/>
      <c r="O32" s="154"/>
      <c r="P32" s="297"/>
      <c r="Q32" s="286"/>
      <c r="R32" s="286"/>
    </row>
    <row r="33" spans="1:23" ht="16" thickBot="1">
      <c r="A33" s="148" t="s">
        <v>734</v>
      </c>
      <c r="B33" s="151"/>
      <c r="C33" s="154"/>
      <c r="D33" s="148"/>
      <c r="E33" s="257"/>
      <c r="F33" s="251"/>
      <c r="G33" s="148"/>
      <c r="H33" s="151"/>
      <c r="I33" s="154"/>
      <c r="J33" s="148"/>
      <c r="K33" s="151"/>
      <c r="L33" s="154"/>
      <c r="M33" s="188"/>
      <c r="N33" s="151"/>
      <c r="O33" s="154"/>
      <c r="P33" s="297"/>
      <c r="Q33" s="286"/>
      <c r="R33" s="286"/>
    </row>
    <row r="34" spans="1:23" ht="16" thickBot="1">
      <c r="A34" s="148" t="s">
        <v>11</v>
      </c>
      <c r="B34" s="151">
        <v>0.18</v>
      </c>
      <c r="C34" s="154">
        <f>D34/B34</f>
        <v>0.94444444444444453</v>
      </c>
      <c r="D34" s="148">
        <v>0.17</v>
      </c>
      <c r="E34" s="257">
        <v>887</v>
      </c>
      <c r="F34" s="251">
        <v>150.79</v>
      </c>
      <c r="G34" s="148">
        <f>0.0056*1000000</f>
        <v>5600</v>
      </c>
      <c r="H34" s="151"/>
      <c r="I34" s="154"/>
      <c r="J34" s="148"/>
      <c r="K34" s="151"/>
      <c r="L34" s="154"/>
      <c r="M34" s="159"/>
      <c r="N34" s="151"/>
      <c r="O34" s="154"/>
      <c r="P34" s="297"/>
      <c r="Q34" s="286"/>
      <c r="R34" s="286"/>
      <c r="S34" s="100" t="s">
        <v>156</v>
      </c>
    </row>
    <row r="35" spans="1:23" ht="16" thickBot="1">
      <c r="A35" s="149" t="s">
        <v>51</v>
      </c>
      <c r="B35" s="152">
        <f>(1-0.927)</f>
        <v>7.2999999999999954E-2</v>
      </c>
      <c r="C35" s="155">
        <f t="shared" ref="C35" si="0">D35/B35</f>
        <v>0.68493150684931559</v>
      </c>
      <c r="D35" s="149">
        <v>0.05</v>
      </c>
      <c r="E35" s="275">
        <v>300</v>
      </c>
      <c r="F35" s="252">
        <v>15</v>
      </c>
      <c r="G35" s="149">
        <v>580</v>
      </c>
      <c r="H35" s="152"/>
      <c r="I35" s="155"/>
      <c r="J35" s="149"/>
      <c r="K35" s="152"/>
      <c r="L35" s="155">
        <f>0.009/0.073</f>
        <v>0.12328767123287671</v>
      </c>
      <c r="M35" s="159">
        <f>0.009/0.073</f>
        <v>0.12328767123287671</v>
      </c>
      <c r="N35" s="152">
        <f>0.049/0.073</f>
        <v>0.67123287671232879</v>
      </c>
      <c r="O35" s="155"/>
      <c r="P35" s="297"/>
      <c r="Q35" s="286"/>
      <c r="R35" s="286"/>
      <c r="S35" s="24" t="s">
        <v>52</v>
      </c>
      <c r="W35" t="s">
        <v>735</v>
      </c>
    </row>
    <row r="36" spans="1:23" ht="17" thickTop="1" thickBot="1">
      <c r="A36" s="148" t="s">
        <v>737</v>
      </c>
      <c r="B36" s="151"/>
      <c r="C36" s="154"/>
      <c r="D36" s="148"/>
      <c r="E36" s="257"/>
      <c r="F36" s="251"/>
      <c r="G36" s="148"/>
      <c r="H36" s="151"/>
      <c r="I36" s="154"/>
      <c r="J36" s="148"/>
      <c r="K36" s="151"/>
      <c r="L36" s="154"/>
      <c r="M36" s="188"/>
      <c r="N36" s="151"/>
      <c r="O36" s="154"/>
      <c r="P36" s="297"/>
      <c r="Q36" s="286"/>
      <c r="R36" s="286"/>
      <c r="S36" s="24"/>
    </row>
    <row r="37" spans="1:23" ht="16" thickBot="1">
      <c r="A37" s="148" t="s">
        <v>738</v>
      </c>
      <c r="B37" s="151"/>
      <c r="C37" s="154"/>
      <c r="D37" s="148"/>
      <c r="E37" s="257"/>
      <c r="F37" s="251"/>
      <c r="G37" s="148"/>
      <c r="H37" s="151"/>
      <c r="I37" s="154"/>
      <c r="J37" s="148"/>
      <c r="K37" s="151"/>
      <c r="L37" s="154"/>
      <c r="M37" s="159"/>
      <c r="N37" s="151"/>
      <c r="O37" s="154"/>
      <c r="P37" s="297"/>
      <c r="Q37" s="286"/>
      <c r="R37" s="286"/>
      <c r="S37" s="24"/>
    </row>
    <row r="38" spans="1:23" ht="16" thickBot="1">
      <c r="A38" s="148" t="s">
        <v>103</v>
      </c>
      <c r="B38" s="151">
        <f>(1-7%)</f>
        <v>0.92999999999999994</v>
      </c>
      <c r="C38" s="154">
        <v>0.8</v>
      </c>
      <c r="D38" s="148">
        <f>B38*C38</f>
        <v>0.74399999999999999</v>
      </c>
      <c r="E38" s="257"/>
      <c r="F38" s="154"/>
      <c r="G38" s="148">
        <v>1100</v>
      </c>
      <c r="H38" s="151"/>
      <c r="I38" s="154"/>
      <c r="J38" s="148"/>
      <c r="K38" s="151"/>
      <c r="L38" s="154">
        <f>0.029/D38</f>
        <v>3.8978494623655914E-2</v>
      </c>
      <c r="M38" s="159">
        <f>0.05/D38</f>
        <v>6.7204301075268827E-2</v>
      </c>
      <c r="N38" s="151">
        <f>0.56/D38</f>
        <v>0.75268817204301086</v>
      </c>
      <c r="O38" s="154"/>
      <c r="P38" s="297"/>
      <c r="Q38" s="286"/>
      <c r="R38" s="286"/>
      <c r="S38" t="s">
        <v>421</v>
      </c>
      <c r="T38" t="s">
        <v>736</v>
      </c>
    </row>
    <row r="39" spans="1:23" ht="16" thickBot="1">
      <c r="A39" s="247" t="s">
        <v>733</v>
      </c>
      <c r="B39" s="248"/>
      <c r="C39" s="248"/>
      <c r="D39" s="248"/>
      <c r="H39" s="249"/>
      <c r="I39" s="249"/>
      <c r="J39" s="249"/>
      <c r="K39" s="59"/>
      <c r="L39" s="59"/>
      <c r="M39" s="59"/>
      <c r="N39" s="59"/>
      <c r="O39" s="59"/>
      <c r="P39" s="59"/>
      <c r="Q39" s="287"/>
      <c r="R39" s="287"/>
      <c r="S39" s="24"/>
    </row>
    <row r="40" spans="1:23" ht="16" thickBot="1">
      <c r="A40" s="148" t="s">
        <v>515</v>
      </c>
      <c r="B40" s="151">
        <v>0.91600000000000004</v>
      </c>
      <c r="C40" s="154">
        <v>0.97899999999999998</v>
      </c>
      <c r="D40" s="157">
        <v>0.88900000000000001</v>
      </c>
      <c r="E40" s="250">
        <v>465.3046875</v>
      </c>
      <c r="F40" s="250"/>
      <c r="G40" s="253">
        <v>14656.000000000002</v>
      </c>
      <c r="K40" s="159">
        <v>0.03</v>
      </c>
      <c r="L40" s="188">
        <v>0.11</v>
      </c>
      <c r="M40" s="188">
        <v>0.1</v>
      </c>
      <c r="N40" s="260">
        <v>0.76</v>
      </c>
      <c r="O40" s="263">
        <v>0.94</v>
      </c>
      <c r="P40" s="165">
        <v>0.89</v>
      </c>
      <c r="Q40" s="288">
        <v>1400</v>
      </c>
      <c r="R40" s="288">
        <v>1200</v>
      </c>
      <c r="S40" t="s">
        <v>948</v>
      </c>
    </row>
    <row r="41" spans="1:23" ht="16" thickBot="1">
      <c r="A41" s="148" t="s">
        <v>516</v>
      </c>
      <c r="B41" s="151">
        <v>0.105</v>
      </c>
      <c r="C41" s="154">
        <v>0.90700000000000003</v>
      </c>
      <c r="D41" s="154">
        <v>0.14299999999999999</v>
      </c>
      <c r="E41" s="251">
        <v>435.97247406272294</v>
      </c>
      <c r="F41" s="251"/>
      <c r="G41" s="254">
        <v>2520</v>
      </c>
      <c r="K41" s="159">
        <v>0.09</v>
      </c>
      <c r="L41" s="159">
        <v>0.02</v>
      </c>
      <c r="M41" s="159">
        <v>0.15</v>
      </c>
      <c r="N41" s="261">
        <v>0.74</v>
      </c>
      <c r="O41" s="264">
        <v>0.98179823692937196</v>
      </c>
      <c r="P41" s="165"/>
      <c r="Q41" s="288">
        <v>1380</v>
      </c>
      <c r="R41" s="288">
        <v>370</v>
      </c>
      <c r="S41" t="s">
        <v>949</v>
      </c>
    </row>
    <row r="42" spans="1:23" ht="16" thickBot="1">
      <c r="A42" s="148" t="s">
        <v>517</v>
      </c>
      <c r="B42" s="151">
        <v>0.29299999999999998</v>
      </c>
      <c r="C42" s="154">
        <v>0.99299999999999999</v>
      </c>
      <c r="D42" s="154">
        <v>0.30299999999999999</v>
      </c>
      <c r="E42" s="251">
        <v>365.25479597205384</v>
      </c>
      <c r="F42" s="251"/>
      <c r="G42" s="254">
        <v>7969.6</v>
      </c>
      <c r="K42" s="159">
        <v>0.01</v>
      </c>
      <c r="L42" s="159">
        <v>0.04</v>
      </c>
      <c r="M42" s="159">
        <v>0.17</v>
      </c>
      <c r="N42" s="261">
        <v>0.79</v>
      </c>
      <c r="O42" s="264">
        <v>0.79927679923149053</v>
      </c>
      <c r="P42" s="165"/>
      <c r="Q42" s="290">
        <f>G42*0.36/2</f>
        <v>1434.528</v>
      </c>
      <c r="R42" s="290">
        <f>G42*0.67/2</f>
        <v>2669.8160000000003</v>
      </c>
      <c r="S42" t="s">
        <v>950</v>
      </c>
    </row>
    <row r="43" spans="1:23" ht="16" thickBot="1">
      <c r="A43" s="148" t="s">
        <v>518</v>
      </c>
      <c r="B43" s="151">
        <v>7.6999999999999999E-2</v>
      </c>
      <c r="C43" s="154">
        <v>0.93300000000000005</v>
      </c>
      <c r="D43" s="154">
        <v>0.91100000000000003</v>
      </c>
      <c r="E43" s="251">
        <v>418.04822619567631</v>
      </c>
      <c r="F43" s="251"/>
      <c r="G43" s="254">
        <v>1232</v>
      </c>
      <c r="K43" s="159">
        <v>7.0000000000000007E-2</v>
      </c>
      <c r="L43" s="159">
        <v>0</v>
      </c>
      <c r="M43" s="159">
        <v>0.1</v>
      </c>
      <c r="N43" s="261">
        <v>0.82</v>
      </c>
      <c r="O43" s="264">
        <v>0.97735385922437001</v>
      </c>
      <c r="P43" s="165"/>
      <c r="Q43" s="288">
        <v>2315</v>
      </c>
      <c r="R43" s="288">
        <v>330</v>
      </c>
      <c r="S43" t="s">
        <v>951</v>
      </c>
    </row>
    <row r="44" spans="1:23" ht="16" thickBot="1">
      <c r="A44" s="148" t="s">
        <v>519</v>
      </c>
      <c r="B44" s="151">
        <v>0.46600000000000003</v>
      </c>
      <c r="C44" s="154">
        <v>0.97099999999999997</v>
      </c>
      <c r="D44" s="154">
        <v>7.0999999999999994E-2</v>
      </c>
      <c r="E44" s="251">
        <v>483.41632472315138</v>
      </c>
      <c r="F44" s="251"/>
      <c r="G44" s="254">
        <v>13420.8</v>
      </c>
      <c r="K44" s="159">
        <v>0.03</v>
      </c>
      <c r="L44" s="159">
        <v>0.19</v>
      </c>
      <c r="M44" s="159">
        <v>0.18</v>
      </c>
      <c r="N44" s="261">
        <v>0.61</v>
      </c>
      <c r="O44" s="264">
        <v>0.877478471550592</v>
      </c>
      <c r="P44" s="165"/>
      <c r="Q44" s="288">
        <f>8000*0.4</f>
        <v>3200</v>
      </c>
      <c r="R44" s="288">
        <f>3000*0.4</f>
        <v>1200</v>
      </c>
      <c r="S44" t="s">
        <v>540</v>
      </c>
    </row>
    <row r="45" spans="1:23" ht="16" thickBot="1">
      <c r="A45" s="148" t="s">
        <v>669</v>
      </c>
      <c r="B45" s="151">
        <v>0.14299999999999999</v>
      </c>
      <c r="C45" s="154">
        <v>1</v>
      </c>
      <c r="D45" s="154">
        <v>3.4000000000000002E-2</v>
      </c>
      <c r="E45" s="251">
        <v>252.28816838661476</v>
      </c>
      <c r="F45" s="251"/>
      <c r="G45" s="254">
        <v>457.59999999999997</v>
      </c>
      <c r="K45" s="159">
        <v>0</v>
      </c>
      <c r="L45" s="159">
        <v>0.03</v>
      </c>
      <c r="M45" s="159">
        <v>0.02</v>
      </c>
      <c r="N45" s="261">
        <v>0.82</v>
      </c>
      <c r="O45" s="264">
        <v>0.56096498593100275</v>
      </c>
      <c r="P45" s="165"/>
      <c r="Q45" s="294">
        <v>1200</v>
      </c>
      <c r="R45" s="288">
        <v>977</v>
      </c>
      <c r="S45" t="s">
        <v>957</v>
      </c>
    </row>
    <row r="46" spans="1:23" ht="16" thickBot="1">
      <c r="A46" s="148" t="s">
        <v>521</v>
      </c>
      <c r="B46" s="151">
        <v>0.92700000000000005</v>
      </c>
      <c r="C46" s="154">
        <v>0.95</v>
      </c>
      <c r="D46" s="154">
        <v>0.29099999999999998</v>
      </c>
      <c r="E46" s="251">
        <v>361.81791351010088</v>
      </c>
      <c r="F46" s="251"/>
      <c r="G46" s="254">
        <v>16315.200000000003</v>
      </c>
      <c r="K46" s="159">
        <v>0.05</v>
      </c>
      <c r="L46" s="159">
        <v>0.02</v>
      </c>
      <c r="M46" s="159">
        <v>0.11</v>
      </c>
      <c r="N46" s="261">
        <v>0.82</v>
      </c>
      <c r="O46" s="264">
        <v>0.82380040804253563</v>
      </c>
      <c r="P46" s="298"/>
      <c r="Q46" s="292">
        <v>1170</v>
      </c>
      <c r="R46" s="292">
        <v>740</v>
      </c>
      <c r="S46" t="s">
        <v>953</v>
      </c>
    </row>
    <row r="47" spans="1:23" ht="16" thickBot="1">
      <c r="A47" s="148" t="s">
        <v>522</v>
      </c>
      <c r="B47" s="151">
        <v>3.7999999999999999E-2</v>
      </c>
      <c r="C47" s="154">
        <v>0.90600000000000003</v>
      </c>
      <c r="D47" s="154">
        <v>0.45200000000000001</v>
      </c>
      <c r="E47" s="251">
        <v>375.37065018315019</v>
      </c>
      <c r="F47" s="251"/>
      <c r="G47" s="254">
        <v>1398.3999999999999</v>
      </c>
      <c r="K47" s="159">
        <v>0.11</v>
      </c>
      <c r="L47" s="159">
        <v>0.02</v>
      </c>
      <c r="M47" s="159">
        <v>0.23</v>
      </c>
      <c r="N47" s="261">
        <v>0.66</v>
      </c>
      <c r="O47" s="264">
        <v>0.90450759080277232</v>
      </c>
      <c r="P47" s="165"/>
      <c r="Q47" s="289">
        <v>2300</v>
      </c>
      <c r="R47" s="289">
        <v>300</v>
      </c>
      <c r="S47" t="s">
        <v>947</v>
      </c>
    </row>
    <row r="48" spans="1:23" ht="16" thickBot="1">
      <c r="A48" s="148" t="s">
        <v>523</v>
      </c>
      <c r="B48" s="151">
        <v>0.92400000000000004</v>
      </c>
      <c r="C48" s="154">
        <v>0.97799999999999998</v>
      </c>
      <c r="D48" s="154">
        <v>0.90400000000000003</v>
      </c>
      <c r="E48" s="251">
        <v>318.40468414280525</v>
      </c>
      <c r="F48" s="251"/>
      <c r="G48" s="254">
        <v>17740.8</v>
      </c>
      <c r="K48" s="159">
        <v>0.02</v>
      </c>
      <c r="L48" s="159">
        <v>0.01</v>
      </c>
      <c r="M48" s="159">
        <v>0.12</v>
      </c>
      <c r="N48" s="261">
        <v>0.85</v>
      </c>
      <c r="O48" s="264">
        <v>0.73736998705248713</v>
      </c>
      <c r="P48" s="165"/>
      <c r="Q48" s="293">
        <v>2010</v>
      </c>
      <c r="R48" s="288">
        <v>1630</v>
      </c>
      <c r="S48" t="s">
        <v>954</v>
      </c>
    </row>
    <row r="49" spans="1:19" ht="16" thickBot="1">
      <c r="A49" s="149" t="s">
        <v>524</v>
      </c>
      <c r="B49" s="152">
        <v>0.309</v>
      </c>
      <c r="C49" s="155">
        <v>0.97899999999999998</v>
      </c>
      <c r="D49" s="155">
        <v>9.6000000000000002E-2</v>
      </c>
      <c r="E49" s="252">
        <v>454.20873548774478</v>
      </c>
      <c r="F49" s="252"/>
      <c r="G49" s="255">
        <v>6921.6000000000013</v>
      </c>
      <c r="K49" s="160">
        <v>0.02</v>
      </c>
      <c r="L49" s="160">
        <v>0.05</v>
      </c>
      <c r="M49" s="160">
        <v>0.14000000000000001</v>
      </c>
      <c r="N49" s="262">
        <v>0.79</v>
      </c>
      <c r="O49" s="265">
        <v>0.99060618444367532</v>
      </c>
      <c r="P49" s="165"/>
      <c r="Q49" s="288">
        <v>1500</v>
      </c>
      <c r="R49" s="291">
        <v>1100</v>
      </c>
      <c r="S49" t="s">
        <v>952</v>
      </c>
    </row>
    <row r="50" spans="1:19" ht="16" thickTop="1"/>
    <row r="54" spans="1:19" ht="16" thickBot="1">
      <c r="A54" s="149" t="s">
        <v>525</v>
      </c>
      <c r="B54" s="152">
        <v>0.10199999999999999</v>
      </c>
      <c r="C54" s="155">
        <v>0.83599999999999997</v>
      </c>
      <c r="D54" s="155">
        <v>0.89600000000000002</v>
      </c>
      <c r="K54" s="160">
        <v>0.16</v>
      </c>
      <c r="L54" s="160">
        <v>0.01</v>
      </c>
      <c r="M54" s="160">
        <v>0.14000000000000001</v>
      </c>
      <c r="N54" s="163">
        <v>0.69</v>
      </c>
      <c r="O54" s="168"/>
      <c r="P54" s="168"/>
      <c r="Q54" s="168"/>
      <c r="R54" s="168"/>
    </row>
    <row r="55" spans="1:19" ht="16" thickTop="1">
      <c r="A55" s="101"/>
    </row>
    <row r="57" spans="1:19">
      <c r="A57" t="s">
        <v>487</v>
      </c>
      <c r="B57" t="s">
        <v>488</v>
      </c>
      <c r="C57" t="s">
        <v>489</v>
      </c>
    </row>
    <row r="58" spans="1:19" ht="17">
      <c r="A58" t="s">
        <v>490</v>
      </c>
      <c r="B58" s="127" t="s">
        <v>491</v>
      </c>
      <c r="C58" t="s">
        <v>492</v>
      </c>
      <c r="K58" s="128"/>
    </row>
    <row r="59" spans="1:19" ht="17">
      <c r="A59" t="s">
        <v>493</v>
      </c>
      <c r="B59" s="127" t="s">
        <v>494</v>
      </c>
      <c r="C59" s="128" t="s">
        <v>495</v>
      </c>
    </row>
    <row r="60" spans="1:19">
      <c r="M60" s="129"/>
      <c r="N60" s="130"/>
    </row>
    <row r="61" spans="1:19">
      <c r="A61" s="131"/>
      <c r="B61" s="132" t="s">
        <v>496</v>
      </c>
      <c r="C61" s="132" t="s">
        <v>497</v>
      </c>
      <c r="D61" s="132" t="s">
        <v>498</v>
      </c>
      <c r="E61" s="132" t="s">
        <v>55</v>
      </c>
      <c r="F61" s="132" t="s">
        <v>499</v>
      </c>
    </row>
    <row r="62" spans="1:19">
      <c r="A62" s="133" t="s">
        <v>500</v>
      </c>
      <c r="B62" s="134">
        <v>12.0107</v>
      </c>
      <c r="C62" s="134">
        <v>1.0079400000000001</v>
      </c>
      <c r="D62" s="134">
        <v>15.9994</v>
      </c>
      <c r="E62" s="134">
        <v>14.0067</v>
      </c>
      <c r="F62" s="134">
        <v>32.064999999999998</v>
      </c>
    </row>
    <row r="64" spans="1:19">
      <c r="A64" s="135"/>
      <c r="B64" s="136" t="s">
        <v>501</v>
      </c>
      <c r="C64" s="136" t="s">
        <v>502</v>
      </c>
      <c r="D64" s="136" t="s">
        <v>503</v>
      </c>
      <c r="E64" s="136" t="s">
        <v>504</v>
      </c>
      <c r="F64" s="137" t="s">
        <v>505</v>
      </c>
      <c r="G64" s="137" t="s">
        <v>506</v>
      </c>
      <c r="H64" s="138" t="s">
        <v>507</v>
      </c>
      <c r="I64" s="139" t="s">
        <v>508</v>
      </c>
      <c r="J64" s="140" t="s">
        <v>509</v>
      </c>
      <c r="K64" s="140" t="s">
        <v>510</v>
      </c>
      <c r="L64" s="140" t="s">
        <v>511</v>
      </c>
    </row>
    <row r="65" spans="1:14">
      <c r="A65" s="50" t="s">
        <v>487</v>
      </c>
      <c r="B65" s="141">
        <v>5</v>
      </c>
      <c r="C65" s="141">
        <v>7</v>
      </c>
      <c r="D65" s="141">
        <v>2</v>
      </c>
      <c r="E65" s="141">
        <v>1</v>
      </c>
      <c r="F65" s="141"/>
      <c r="G65" s="142">
        <f>carbon*B65+hydrogen*C65+oxygen*D65+nitrogen*E65+Sulfur*F65</f>
        <v>113.11458</v>
      </c>
      <c r="H65" s="129">
        <f>($B65/2+$C65/8-$D65/4-3/8*$E65-$F65/4)*22.4/(carbon*$B65+hydrogen*$C65+oxygen*$D65+nitrogen*$E65)*1000</f>
        <v>495.07322575038518</v>
      </c>
      <c r="I65" s="143">
        <f>H65/350</f>
        <v>1.4144949307153862</v>
      </c>
      <c r="J65" s="143">
        <f>carbon*B65/G65</f>
        <v>0.53090857076072773</v>
      </c>
      <c r="K65" s="142">
        <f>nitrogen*E65/G65</f>
        <v>0.12382753841281999</v>
      </c>
      <c r="L65" s="69">
        <f>350/H65</f>
        <v>0.706966125</v>
      </c>
    </row>
    <row r="66" spans="1:14">
      <c r="A66" s="50" t="s">
        <v>493</v>
      </c>
      <c r="B66" s="141">
        <v>6</v>
      </c>
      <c r="C66" s="141">
        <v>10</v>
      </c>
      <c r="D66" s="141">
        <v>5</v>
      </c>
      <c r="E66" s="141"/>
      <c r="F66" s="141"/>
      <c r="G66" s="142">
        <f>carbon*B66+hydrogen*C66+oxygen*D66+nitrogen*E66+Sulfur*F66</f>
        <v>162.14060000000001</v>
      </c>
      <c r="H66" s="129">
        <f>($B66/2+$C66/8-$D66/4-3/8*$E66-$F66/4)*22.4/(carbon*$B66+hydrogen*$C66+oxygen*$D66+nitrogen*$E66)*1000</f>
        <v>414.45510871428866</v>
      </c>
      <c r="I66" s="143">
        <f>H66/350</f>
        <v>1.1841574534693962</v>
      </c>
      <c r="J66" s="143">
        <f>carbon*B66/G66</f>
        <v>0.44445499769952745</v>
      </c>
      <c r="K66" s="142">
        <f>nitrogen*E66/G66</f>
        <v>0</v>
      </c>
      <c r="L66" s="69">
        <f>350/H66</f>
        <v>0.84448229166666677</v>
      </c>
    </row>
    <row r="67" spans="1:14">
      <c r="A67" s="50" t="s">
        <v>490</v>
      </c>
      <c r="B67" s="144">
        <v>57</v>
      </c>
      <c r="C67" s="141">
        <v>106</v>
      </c>
      <c r="D67" s="141">
        <v>6</v>
      </c>
      <c r="E67" s="141"/>
      <c r="F67" s="141"/>
      <c r="G67" s="142">
        <f>carbon*B67+hydrogen*C67+oxygen*D67+nitrogen*E67+Sulfur*F67</f>
        <v>887.44794000000002</v>
      </c>
      <c r="H67" s="129">
        <f>($B67/2+$C67/8-$D67/4-3/8*$E67-$F67/4)*22.4/(carbon*$B67+hydrogen*$C67+oxygen*$D67+nitrogen*$E67)*1000</f>
        <v>1015.9469185313561</v>
      </c>
      <c r="I67" s="143">
        <f>H67/350</f>
        <v>2.9027054815181605</v>
      </c>
      <c r="J67" s="143">
        <f>carbon*B67/G67</f>
        <v>0.77143668844394409</v>
      </c>
      <c r="K67" s="142">
        <f>nitrogen*E67/G67</f>
        <v>0</v>
      </c>
      <c r="L67" s="69">
        <f>350/H67</f>
        <v>0.34450618788819881</v>
      </c>
    </row>
    <row r="68" spans="1:14">
      <c r="A68" s="145" t="s">
        <v>512</v>
      </c>
      <c r="B68" s="141">
        <v>40</v>
      </c>
      <c r="C68" s="141">
        <v>46</v>
      </c>
      <c r="D68" s="141">
        <v>16</v>
      </c>
      <c r="E68" s="141"/>
      <c r="F68" s="141"/>
      <c r="G68" s="142">
        <f t="shared" ref="G68" si="1">carbon*B68+hydrogen*C68+oxygen*D68+nitrogen*E68+Sulfur*F68</f>
        <v>782.78363999999999</v>
      </c>
      <c r="H68" s="129">
        <f t="shared" ref="H68:H69" si="2">($B68/2+$C68/8-$D68/4-3/8*$E68-$F68/4)*22.4/(carbon*$B68+hydrogen*$C68+oxygen*$D68+nitrogen*$E68)*1000</f>
        <v>622.39420333312023</v>
      </c>
      <c r="I68" s="143">
        <f>H68/350</f>
        <v>1.7782691523803436</v>
      </c>
      <c r="J68" s="142"/>
      <c r="K68" s="142"/>
      <c r="L68" s="69">
        <f>350/H68</f>
        <v>0.56234456896551721</v>
      </c>
    </row>
    <row r="69" spans="1:14">
      <c r="A69" s="145" t="s">
        <v>513</v>
      </c>
      <c r="B69" s="146">
        <v>6</v>
      </c>
      <c r="C69" s="146">
        <v>12</v>
      </c>
      <c r="D69" s="146">
        <v>6</v>
      </c>
      <c r="E69" s="50"/>
      <c r="F69" s="50"/>
      <c r="G69" s="142">
        <f>carbon*B69+hydrogen*C69+oxygen*D69+nitrogen*E69+Sulfur*F69</f>
        <v>180.15588</v>
      </c>
      <c r="H69" s="129">
        <f t="shared" si="2"/>
        <v>373.01030640798393</v>
      </c>
      <c r="I69" s="143">
        <f>H69/350</f>
        <v>1.0657437325942398</v>
      </c>
      <c r="J69" s="142">
        <f>carbon*B69/G69</f>
        <v>0.40001025778342625</v>
      </c>
      <c r="K69" s="142">
        <f>nitrogen*E69/G69</f>
        <v>0</v>
      </c>
      <c r="L69" s="69">
        <f>350/H69</f>
        <v>0.93831187500000024</v>
      </c>
    </row>
    <row r="70" spans="1:14">
      <c r="A70" s="50"/>
      <c r="B70" s="141"/>
      <c r="C70" s="141"/>
      <c r="D70" s="141"/>
      <c r="E70" s="141"/>
      <c r="F70" s="141"/>
    </row>
    <row r="72" spans="1:14" ht="16" thickBot="1"/>
    <row r="73" spans="1:14" ht="17" thickTop="1" thickBot="1">
      <c r="A73" s="147" t="s">
        <v>514</v>
      </c>
      <c r="B73" s="148" t="s">
        <v>515</v>
      </c>
      <c r="C73" s="148" t="s">
        <v>516</v>
      </c>
      <c r="D73" s="148" t="s">
        <v>517</v>
      </c>
      <c r="E73" s="148" t="s">
        <v>518</v>
      </c>
      <c r="F73" s="148" t="s">
        <v>519</v>
      </c>
      <c r="G73" s="148" t="s">
        <v>520</v>
      </c>
      <c r="H73" s="148" t="s">
        <v>521</v>
      </c>
      <c r="I73" s="148"/>
      <c r="J73" s="148"/>
      <c r="K73" s="148" t="s">
        <v>522</v>
      </c>
      <c r="L73" s="148" t="s">
        <v>523</v>
      </c>
      <c r="M73" s="149" t="s">
        <v>524</v>
      </c>
      <c r="N73" s="149" t="s">
        <v>525</v>
      </c>
    </row>
    <row r="75" spans="1:14" ht="16" thickBot="1">
      <c r="A75" s="150" t="s">
        <v>526</v>
      </c>
      <c r="B75" s="151">
        <v>0.91600000000000004</v>
      </c>
      <c r="C75" s="151">
        <v>0.105</v>
      </c>
      <c r="D75" s="151">
        <v>0.29299999999999998</v>
      </c>
      <c r="E75" s="151">
        <v>7.6999999999999999E-2</v>
      </c>
      <c r="F75" s="151">
        <v>0.46600000000000003</v>
      </c>
      <c r="G75" s="151">
        <v>0.14299999999999999</v>
      </c>
      <c r="H75" s="151">
        <v>0.92700000000000005</v>
      </c>
      <c r="I75" s="151"/>
      <c r="J75" s="151"/>
      <c r="K75" s="151">
        <v>3.7999999999999999E-2</v>
      </c>
      <c r="L75" s="151">
        <v>0.92400000000000004</v>
      </c>
      <c r="M75" s="152">
        <v>0.309</v>
      </c>
      <c r="N75" s="152">
        <v>0.10199999999999999</v>
      </c>
    </row>
    <row r="76" spans="1:14" ht="16" thickBot="1">
      <c r="A76" s="153" t="s">
        <v>527</v>
      </c>
      <c r="B76" s="154">
        <v>0.97899999999999998</v>
      </c>
      <c r="C76" s="154">
        <v>0.90700000000000003</v>
      </c>
      <c r="D76" s="154">
        <v>0.99299999999999999</v>
      </c>
      <c r="E76" s="154">
        <v>0.93300000000000005</v>
      </c>
      <c r="F76" s="154">
        <v>0.97099999999999997</v>
      </c>
      <c r="G76" s="154">
        <v>1</v>
      </c>
      <c r="H76" s="154">
        <v>0.95</v>
      </c>
      <c r="I76" s="154"/>
      <c r="J76" s="154"/>
      <c r="K76" s="154">
        <v>0.90600000000000003</v>
      </c>
      <c r="L76" s="154">
        <v>0.97799999999999998</v>
      </c>
      <c r="M76" s="155">
        <v>0.97899999999999998</v>
      </c>
      <c r="N76" s="155">
        <v>0.83599999999999997</v>
      </c>
    </row>
    <row r="77" spans="1:14" ht="16" thickBot="1">
      <c r="A77" s="156" t="s">
        <v>528</v>
      </c>
      <c r="B77" s="157">
        <v>0.88900000000000001</v>
      </c>
      <c r="C77" s="154">
        <v>0.14299999999999999</v>
      </c>
      <c r="D77" s="154">
        <v>0.30299999999999999</v>
      </c>
      <c r="E77" s="154">
        <v>0.91100000000000003</v>
      </c>
      <c r="F77" s="154">
        <v>7.0999999999999994E-2</v>
      </c>
      <c r="G77" s="154">
        <v>3.4000000000000002E-2</v>
      </c>
      <c r="H77" s="154">
        <v>0.29099999999999998</v>
      </c>
      <c r="I77" s="154"/>
      <c r="J77" s="154"/>
      <c r="K77" s="154">
        <v>0.45200000000000001</v>
      </c>
      <c r="L77" s="154">
        <v>0.90400000000000003</v>
      </c>
      <c r="M77" s="155">
        <v>9.6000000000000002E-2</v>
      </c>
      <c r="N77" s="155">
        <v>0.89600000000000002</v>
      </c>
    </row>
    <row r="78" spans="1:14" ht="17" thickTop="1" thickBot="1">
      <c r="A78" s="158" t="s">
        <v>529</v>
      </c>
      <c r="B78" s="159">
        <v>0.03</v>
      </c>
      <c r="C78" s="159">
        <v>0.09</v>
      </c>
      <c r="D78" s="159">
        <v>0.01</v>
      </c>
      <c r="E78" s="159">
        <v>7.0000000000000007E-2</v>
      </c>
      <c r="F78" s="159">
        <v>0.03</v>
      </c>
      <c r="G78" s="159">
        <v>0</v>
      </c>
      <c r="H78" s="159">
        <v>0.05</v>
      </c>
      <c r="I78" s="159"/>
      <c r="J78" s="159"/>
      <c r="K78" s="159">
        <v>0.11</v>
      </c>
      <c r="L78" s="159">
        <v>0.02</v>
      </c>
      <c r="M78" s="160">
        <v>0.02</v>
      </c>
      <c r="N78" s="160">
        <v>0.16</v>
      </c>
    </row>
    <row r="79" spans="1:14" ht="17" thickTop="1" thickBot="1">
      <c r="A79" s="158" t="s">
        <v>530</v>
      </c>
      <c r="B79" s="188">
        <v>0.11</v>
      </c>
      <c r="C79" s="159">
        <v>0.02</v>
      </c>
      <c r="D79" s="159">
        <v>0.04</v>
      </c>
      <c r="E79" s="159">
        <v>0</v>
      </c>
      <c r="F79" s="159">
        <v>0.19</v>
      </c>
      <c r="G79" s="159">
        <v>0.03</v>
      </c>
      <c r="H79" s="159">
        <v>0.02</v>
      </c>
      <c r="I79" s="159"/>
      <c r="J79" s="159"/>
      <c r="K79" s="159">
        <v>0.02</v>
      </c>
      <c r="L79" s="159">
        <v>0.01</v>
      </c>
      <c r="M79" s="160">
        <v>0.05</v>
      </c>
      <c r="N79" s="160">
        <v>0.01</v>
      </c>
    </row>
    <row r="80" spans="1:14" ht="17" thickTop="1" thickBot="1">
      <c r="A80" s="158" t="s">
        <v>531</v>
      </c>
      <c r="B80" s="188">
        <v>0.1</v>
      </c>
      <c r="C80" s="159">
        <v>0.15</v>
      </c>
      <c r="D80" s="159">
        <v>0.17</v>
      </c>
      <c r="E80" s="159">
        <v>0.1</v>
      </c>
      <c r="F80" s="159">
        <v>0.18</v>
      </c>
      <c r="G80" s="159">
        <v>0.02</v>
      </c>
      <c r="H80" s="159">
        <v>0.11</v>
      </c>
      <c r="I80" s="159"/>
      <c r="J80" s="159"/>
      <c r="K80" s="159">
        <v>0.23</v>
      </c>
      <c r="L80" s="159">
        <v>0.12</v>
      </c>
      <c r="M80" s="160">
        <v>0.14000000000000001</v>
      </c>
      <c r="N80" s="160">
        <v>0.14000000000000001</v>
      </c>
    </row>
    <row r="81" spans="1:18" ht="17" thickTop="1" thickBot="1">
      <c r="A81" s="161" t="s">
        <v>532</v>
      </c>
      <c r="B81" s="189">
        <v>0.76</v>
      </c>
      <c r="C81" s="162">
        <v>0.74</v>
      </c>
      <c r="D81" s="162">
        <v>0.79</v>
      </c>
      <c r="E81" s="162">
        <v>0.82</v>
      </c>
      <c r="F81" s="162">
        <v>0.61</v>
      </c>
      <c r="G81" s="162">
        <v>0.82</v>
      </c>
      <c r="H81" s="162">
        <v>0.82</v>
      </c>
      <c r="I81" s="162"/>
      <c r="J81" s="162"/>
      <c r="K81" s="162">
        <v>0.66</v>
      </c>
      <c r="L81" s="162">
        <v>0.85</v>
      </c>
      <c r="M81" s="163">
        <v>0.79</v>
      </c>
      <c r="N81" s="163">
        <v>0.69</v>
      </c>
    </row>
    <row r="82" spans="1:18" ht="16" thickTop="1">
      <c r="A82" s="164" t="s">
        <v>533</v>
      </c>
      <c r="C82" s="165"/>
      <c r="D82" s="165"/>
      <c r="E82" s="165"/>
      <c r="F82" s="165"/>
      <c r="G82" s="165"/>
      <c r="H82" s="165"/>
      <c r="I82" s="165"/>
      <c r="J82" s="165"/>
      <c r="K82" s="165"/>
      <c r="L82" s="165"/>
      <c r="M82" s="165"/>
      <c r="N82" s="166">
        <v>0.54263731383696057</v>
      </c>
    </row>
    <row r="83" spans="1:18">
      <c r="A83" s="167" t="s">
        <v>534</v>
      </c>
      <c r="B83" s="168">
        <f t="shared" ref="B83:H83" si="3">B79*$J67</f>
        <v>8.4858035728833853E-2</v>
      </c>
      <c r="C83" s="168">
        <f t="shared" si="3"/>
        <v>1.5428733768878882E-2</v>
      </c>
      <c r="D83" s="168">
        <f t="shared" si="3"/>
        <v>3.0857467537757765E-2</v>
      </c>
      <c r="E83" s="168">
        <f t="shared" si="3"/>
        <v>0</v>
      </c>
      <c r="F83" s="168">
        <f t="shared" si="3"/>
        <v>0.14657297080434939</v>
      </c>
      <c r="G83" s="168">
        <f t="shared" si="3"/>
        <v>2.3143100653318323E-2</v>
      </c>
      <c r="H83" s="168">
        <f t="shared" si="3"/>
        <v>1.5428733768878882E-2</v>
      </c>
      <c r="I83" s="168"/>
      <c r="J83" s="168"/>
      <c r="K83" s="168">
        <f>K79*$J67</f>
        <v>1.5428733768878882E-2</v>
      </c>
      <c r="L83" s="168">
        <f>L79*$J67</f>
        <v>7.7143668844394412E-3</v>
      </c>
      <c r="M83" s="168">
        <f>M79*$J67</f>
        <v>3.8571834422197207E-2</v>
      </c>
      <c r="N83" s="168">
        <f>N79*$J67</f>
        <v>7.7143668844394412E-3</v>
      </c>
    </row>
    <row r="84" spans="1:18">
      <c r="A84" s="167" t="s">
        <v>535</v>
      </c>
      <c r="B84" s="168">
        <f t="shared" ref="B84:H84" si="4">B80*$J65</f>
        <v>5.3090857076072778E-2</v>
      </c>
      <c r="C84" s="168">
        <f t="shared" si="4"/>
        <v>7.9636285614109154E-2</v>
      </c>
      <c r="D84" s="168">
        <f t="shared" si="4"/>
        <v>9.025445702932372E-2</v>
      </c>
      <c r="E84" s="168">
        <f t="shared" si="4"/>
        <v>5.3090857076072778E-2</v>
      </c>
      <c r="F84" s="168">
        <f t="shared" si="4"/>
        <v>9.556354273693099E-2</v>
      </c>
      <c r="G84" s="168">
        <f t="shared" si="4"/>
        <v>1.0618171415214555E-2</v>
      </c>
      <c r="H84" s="168">
        <f t="shared" si="4"/>
        <v>5.8399942783680048E-2</v>
      </c>
      <c r="I84" s="168"/>
      <c r="J84" s="168"/>
      <c r="K84" s="168">
        <f>K80*$J65</f>
        <v>0.12210897127496738</v>
      </c>
      <c r="L84" s="168">
        <f>L80*$J65</f>
        <v>6.3709028491287331E-2</v>
      </c>
      <c r="M84" s="168">
        <f>M80*$J65</f>
        <v>7.4327199906501884E-2</v>
      </c>
      <c r="N84" s="168">
        <f>N80*$J65</f>
        <v>7.4327199906501884E-2</v>
      </c>
    </row>
    <row r="85" spans="1:18">
      <c r="A85" s="167" t="s">
        <v>536</v>
      </c>
      <c r="B85" s="168">
        <f t="shared" ref="B85:H85" si="5">$J66*B81</f>
        <v>0.33778579825164085</v>
      </c>
      <c r="C85" s="168">
        <f t="shared" si="5"/>
        <v>0.32889669829765034</v>
      </c>
      <c r="D85" s="168">
        <f t="shared" si="5"/>
        <v>0.35111944818262669</v>
      </c>
      <c r="E85" s="168">
        <f t="shared" si="5"/>
        <v>0.36445309811361248</v>
      </c>
      <c r="F85" s="168">
        <f t="shared" si="5"/>
        <v>0.27111754859671172</v>
      </c>
      <c r="G85" s="168">
        <f t="shared" si="5"/>
        <v>0.36445309811361248</v>
      </c>
      <c r="H85" s="168">
        <f t="shared" si="5"/>
        <v>0.36445309811361248</v>
      </c>
      <c r="I85" s="168"/>
      <c r="J85" s="168"/>
      <c r="K85" s="168">
        <f>$J66*K81</f>
        <v>0.29334029848168813</v>
      </c>
      <c r="L85" s="168">
        <f>$J66*L81</f>
        <v>0.37778674804459833</v>
      </c>
      <c r="M85" s="168">
        <f>$J66*M81</f>
        <v>0.35111944818262669</v>
      </c>
      <c r="N85" s="168">
        <f>$J66*N81</f>
        <v>0.30667394841267392</v>
      </c>
    </row>
    <row r="86" spans="1:18">
      <c r="A86" s="167" t="s">
        <v>537</v>
      </c>
      <c r="B86" s="168">
        <f>SUM(B83:B85)</f>
        <v>0.47573469105654748</v>
      </c>
      <c r="C86" s="168">
        <f t="shared" ref="C86:N86" si="6">SUM(C83:C85)</f>
        <v>0.42396171768063839</v>
      </c>
      <c r="D86" s="168">
        <f t="shared" si="6"/>
        <v>0.47223137274970817</v>
      </c>
      <c r="E86" s="168">
        <f t="shared" si="6"/>
        <v>0.41754395518968523</v>
      </c>
      <c r="F86" s="168">
        <f t="shared" si="6"/>
        <v>0.51325406213799207</v>
      </c>
      <c r="G86" s="168">
        <f t="shared" si="6"/>
        <v>0.39821437018214534</v>
      </c>
      <c r="H86" s="168">
        <f t="shared" si="6"/>
        <v>0.43828177466617141</v>
      </c>
      <c r="I86" s="168"/>
      <c r="J86" s="168"/>
      <c r="K86" s="168">
        <f t="shared" si="6"/>
        <v>0.4308780035255344</v>
      </c>
      <c r="L86" s="168">
        <f t="shared" si="6"/>
        <v>0.44921014342032511</v>
      </c>
      <c r="M86" s="168">
        <f t="shared" si="6"/>
        <v>0.46401848251132577</v>
      </c>
      <c r="N86" s="168">
        <f t="shared" si="6"/>
        <v>0.38871551520361525</v>
      </c>
      <c r="O86" s="168">
        <f>(1-N82)*N86*N76</f>
        <v>0.14862740074814412</v>
      </c>
      <c r="P86" s="168"/>
      <c r="Q86" s="168"/>
      <c r="R86" s="168"/>
    </row>
    <row r="87" spans="1:18">
      <c r="A87" s="167" t="s">
        <v>538</v>
      </c>
      <c r="B87" s="187">
        <f>B86*B75</f>
        <v>0.43577297700779749</v>
      </c>
      <c r="C87" s="168">
        <f>C86*C75</f>
        <v>4.4515980356467033E-2</v>
      </c>
      <c r="D87" s="168">
        <f t="shared" ref="D87:N87" si="7">D86*D75</f>
        <v>0.13836379221566447</v>
      </c>
      <c r="E87" s="168">
        <f t="shared" si="7"/>
        <v>3.2150884549605761E-2</v>
      </c>
      <c r="F87" s="168">
        <f t="shared" si="7"/>
        <v>0.23917639295630433</v>
      </c>
      <c r="G87" s="168">
        <f t="shared" si="7"/>
        <v>5.6944654936046779E-2</v>
      </c>
      <c r="H87" s="168">
        <f t="shared" si="7"/>
        <v>0.40628720511554089</v>
      </c>
      <c r="I87" s="168"/>
      <c r="J87" s="168"/>
      <c r="K87" s="168">
        <f t="shared" si="7"/>
        <v>1.6373364133970308E-2</v>
      </c>
      <c r="L87" s="168">
        <f t="shared" si="7"/>
        <v>0.41507017252038042</v>
      </c>
      <c r="M87" s="168">
        <f t="shared" si="7"/>
        <v>0.14338171109599965</v>
      </c>
      <c r="N87" s="168">
        <f t="shared" si="7"/>
        <v>3.9648982550768749E-2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P3" sqref="P3"/>
    </sheetView>
  </sheetViews>
  <sheetFormatPr baseColWidth="10" defaultColWidth="11" defaultRowHeight="15" x14ac:dyDescent="0"/>
  <cols>
    <col min="1" max="1" width="16.6640625" customWidth="1"/>
  </cols>
  <sheetData>
    <row r="1" spans="1:14">
      <c r="K1" s="71"/>
      <c r="L1" s="55"/>
      <c r="M1" s="70"/>
    </row>
    <row r="2" spans="1:14">
      <c r="A2" s="58" t="s">
        <v>157</v>
      </c>
      <c r="K2" s="72"/>
      <c r="L2" s="70"/>
      <c r="M2" s="70"/>
    </row>
    <row r="3" spans="1:14">
      <c r="B3" t="s">
        <v>162</v>
      </c>
      <c r="C3" t="s">
        <v>163</v>
      </c>
      <c r="D3" t="s">
        <v>158</v>
      </c>
      <c r="F3" t="s">
        <v>159</v>
      </c>
      <c r="K3" s="71"/>
      <c r="L3" s="70"/>
      <c r="M3" s="70"/>
      <c r="N3" s="6"/>
    </row>
    <row r="4" spans="1:14">
      <c r="A4" t="s">
        <v>160</v>
      </c>
      <c r="B4">
        <v>5</v>
      </c>
      <c r="C4">
        <v>0.3</v>
      </c>
      <c r="D4">
        <f>B4/C4</f>
        <v>16.666666666666668</v>
      </c>
      <c r="K4" s="55"/>
      <c r="L4" s="70"/>
      <c r="M4" s="70"/>
      <c r="N4" s="6"/>
    </row>
    <row r="5" spans="1:14">
      <c r="A5" t="s">
        <v>161</v>
      </c>
      <c r="B5">
        <v>4.62</v>
      </c>
      <c r="C5">
        <v>0.107</v>
      </c>
      <c r="D5">
        <f>B5/C5</f>
        <v>43.177570093457945</v>
      </c>
    </row>
    <row r="6" spans="1:14">
      <c r="A6" t="s">
        <v>164</v>
      </c>
      <c r="B6">
        <f>B4-B5</f>
        <v>0.37999999999999989</v>
      </c>
      <c r="C6">
        <f>C4-C5</f>
        <v>0.193</v>
      </c>
    </row>
    <row r="10" spans="1:14">
      <c r="A10" t="s">
        <v>282</v>
      </c>
      <c r="F10" t="s">
        <v>761</v>
      </c>
    </row>
    <row r="11" spans="1:14">
      <c r="A11" t="s">
        <v>283</v>
      </c>
      <c r="B11" t="s">
        <v>172</v>
      </c>
      <c r="C11" t="s">
        <v>173</v>
      </c>
      <c r="D11" t="s">
        <v>174</v>
      </c>
      <c r="E11" t="s">
        <v>165</v>
      </c>
      <c r="F11" t="s">
        <v>170</v>
      </c>
      <c r="G11" t="s">
        <v>166</v>
      </c>
      <c r="H11" t="s">
        <v>175</v>
      </c>
      <c r="I11" t="s">
        <v>168</v>
      </c>
      <c r="J11" t="s">
        <v>176</v>
      </c>
      <c r="K11" t="s">
        <v>177</v>
      </c>
    </row>
    <row r="12" spans="1:14">
      <c r="A12" t="s">
        <v>284</v>
      </c>
      <c r="B12">
        <v>10</v>
      </c>
      <c r="C12" t="s">
        <v>178</v>
      </c>
      <c r="D12" t="s">
        <v>179</v>
      </c>
      <c r="E12" t="s">
        <v>180</v>
      </c>
      <c r="F12" t="s">
        <v>181</v>
      </c>
      <c r="G12" t="s">
        <v>182</v>
      </c>
      <c r="H12" t="s">
        <v>183</v>
      </c>
      <c r="I12" t="s">
        <v>184</v>
      </c>
      <c r="J12" t="s">
        <v>185</v>
      </c>
      <c r="K12" t="s">
        <v>186</v>
      </c>
    </row>
    <row r="13" spans="1:14">
      <c r="A13" t="s">
        <v>187</v>
      </c>
      <c r="B13">
        <v>13</v>
      </c>
      <c r="C13" t="s">
        <v>188</v>
      </c>
      <c r="D13" t="s">
        <v>189</v>
      </c>
      <c r="E13" t="s">
        <v>190</v>
      </c>
      <c r="F13" t="s">
        <v>191</v>
      </c>
      <c r="G13" t="s">
        <v>192</v>
      </c>
      <c r="H13" t="s">
        <v>193</v>
      </c>
      <c r="I13" t="s">
        <v>194</v>
      </c>
      <c r="J13" t="s">
        <v>195</v>
      </c>
      <c r="K13" t="s">
        <v>196</v>
      </c>
    </row>
    <row r="14" spans="1:14">
      <c r="A14" t="s">
        <v>285</v>
      </c>
      <c r="B14">
        <v>14.2</v>
      </c>
      <c r="C14" t="s">
        <v>197</v>
      </c>
      <c r="D14" t="s">
        <v>198</v>
      </c>
      <c r="E14" t="s">
        <v>199</v>
      </c>
      <c r="F14" t="s">
        <v>200</v>
      </c>
      <c r="G14" t="s">
        <v>201</v>
      </c>
      <c r="H14" t="s">
        <v>202</v>
      </c>
      <c r="I14" t="s">
        <v>203</v>
      </c>
      <c r="J14" t="s">
        <v>204</v>
      </c>
      <c r="K14" t="s">
        <v>205</v>
      </c>
    </row>
    <row r="15" spans="1:14">
      <c r="A15" t="s">
        <v>286</v>
      </c>
      <c r="B15">
        <v>10</v>
      </c>
      <c r="C15" t="s">
        <v>206</v>
      </c>
      <c r="D15" t="s">
        <v>207</v>
      </c>
      <c r="E15" t="s">
        <v>208</v>
      </c>
      <c r="F15" t="s">
        <v>209</v>
      </c>
      <c r="G15" t="s">
        <v>210</v>
      </c>
      <c r="H15" t="s">
        <v>211</v>
      </c>
      <c r="I15" t="s">
        <v>212</v>
      </c>
      <c r="J15" t="s">
        <v>213</v>
      </c>
      <c r="K15" t="s">
        <v>188</v>
      </c>
    </row>
    <row r="16" spans="1:14">
      <c r="A16" t="s">
        <v>287</v>
      </c>
      <c r="B16">
        <v>13.5</v>
      </c>
      <c r="C16" t="s">
        <v>214</v>
      </c>
      <c r="D16" t="s">
        <v>215</v>
      </c>
      <c r="E16" t="s">
        <v>216</v>
      </c>
      <c r="F16" t="s">
        <v>217</v>
      </c>
      <c r="G16" t="s">
        <v>218</v>
      </c>
      <c r="H16" t="s">
        <v>219</v>
      </c>
      <c r="I16" t="s">
        <v>220</v>
      </c>
      <c r="J16" t="s">
        <v>221</v>
      </c>
      <c r="K16" t="s">
        <v>222</v>
      </c>
    </row>
    <row r="17" spans="1:11">
      <c r="A17" t="s">
        <v>288</v>
      </c>
      <c r="B17">
        <v>8.8000000000000007</v>
      </c>
      <c r="C17" t="s">
        <v>223</v>
      </c>
      <c r="D17" t="s">
        <v>224</v>
      </c>
      <c r="E17" t="s">
        <v>225</v>
      </c>
      <c r="F17" t="s">
        <v>226</v>
      </c>
      <c r="G17" t="s">
        <v>227</v>
      </c>
      <c r="H17" t="s">
        <v>228</v>
      </c>
      <c r="I17" t="s">
        <v>229</v>
      </c>
      <c r="J17" t="s">
        <v>230</v>
      </c>
      <c r="K17" t="s">
        <v>231</v>
      </c>
    </row>
    <row r="18" spans="1:11">
      <c r="A18" t="s">
        <v>289</v>
      </c>
      <c r="B18">
        <v>13.8</v>
      </c>
      <c r="C18" t="s">
        <v>232</v>
      </c>
      <c r="D18" t="s">
        <v>233</v>
      </c>
      <c r="E18" t="s">
        <v>234</v>
      </c>
      <c r="F18" t="s">
        <v>235</v>
      </c>
      <c r="G18" t="s">
        <v>236</v>
      </c>
      <c r="H18" t="s">
        <v>237</v>
      </c>
      <c r="I18" t="s">
        <v>238</v>
      </c>
      <c r="J18" t="s">
        <v>239</v>
      </c>
      <c r="K18" t="s">
        <v>240</v>
      </c>
    </row>
    <row r="19" spans="1:11">
      <c r="A19" t="s">
        <v>290</v>
      </c>
      <c r="C19">
        <v>1.0900000000000001</v>
      </c>
      <c r="D19">
        <v>1.3</v>
      </c>
      <c r="E19">
        <v>0.08</v>
      </c>
      <c r="F19">
        <v>0.11</v>
      </c>
      <c r="G19">
        <v>0.21</v>
      </c>
      <c r="H19">
        <v>0.47</v>
      </c>
      <c r="I19">
        <v>0.96</v>
      </c>
      <c r="J19">
        <v>0.42</v>
      </c>
      <c r="K19">
        <v>1.1399999999999999</v>
      </c>
    </row>
    <row r="20" spans="1:11">
      <c r="A20" t="s">
        <v>293</v>
      </c>
      <c r="B20">
        <v>10</v>
      </c>
      <c r="C20">
        <v>5.2</v>
      </c>
      <c r="D20">
        <v>94.8</v>
      </c>
      <c r="E20">
        <v>11.6</v>
      </c>
      <c r="F20">
        <v>1.8</v>
      </c>
      <c r="G20">
        <v>60.9</v>
      </c>
      <c r="H20">
        <v>39.1</v>
      </c>
      <c r="I20">
        <v>28.8</v>
      </c>
      <c r="J20">
        <v>32.1</v>
      </c>
      <c r="K20">
        <v>24.4</v>
      </c>
    </row>
    <row r="21" spans="1:11">
      <c r="A21" t="s">
        <v>243</v>
      </c>
      <c r="B21">
        <v>10.1</v>
      </c>
      <c r="C21">
        <v>8.1999999999999993</v>
      </c>
      <c r="D21">
        <v>91.8</v>
      </c>
      <c r="E21">
        <v>9.9</v>
      </c>
      <c r="F21">
        <v>1.4</v>
      </c>
      <c r="G21">
        <v>9</v>
      </c>
      <c r="H21">
        <v>91</v>
      </c>
      <c r="I21">
        <v>8</v>
      </c>
      <c r="J21">
        <v>1</v>
      </c>
      <c r="K21">
        <v>7</v>
      </c>
    </row>
    <row r="22" spans="1:11">
      <c r="A22" t="s">
        <v>291</v>
      </c>
      <c r="B22">
        <v>25</v>
      </c>
      <c r="C22">
        <v>9</v>
      </c>
      <c r="D22">
        <v>91</v>
      </c>
      <c r="E22">
        <v>13.1</v>
      </c>
      <c r="F22">
        <v>3.3</v>
      </c>
      <c r="G22">
        <v>59</v>
      </c>
      <c r="H22">
        <v>41</v>
      </c>
      <c r="I22">
        <v>49</v>
      </c>
      <c r="J22">
        <v>10</v>
      </c>
      <c r="K22">
        <v>34</v>
      </c>
    </row>
    <row r="23" spans="1:11">
      <c r="A23" t="s">
        <v>244</v>
      </c>
      <c r="B23">
        <v>12</v>
      </c>
      <c r="C23">
        <v>4.8</v>
      </c>
      <c r="D23">
        <v>95.2</v>
      </c>
      <c r="E23">
        <v>9.5</v>
      </c>
      <c r="F23">
        <v>0.4</v>
      </c>
      <c r="G23" t="s">
        <v>245</v>
      </c>
      <c r="H23" t="s">
        <v>245</v>
      </c>
      <c r="I23" t="s">
        <v>245</v>
      </c>
      <c r="J23" t="s">
        <v>245</v>
      </c>
      <c r="K23" t="s">
        <v>245</v>
      </c>
    </row>
    <row r="24" spans="1:11">
      <c r="A24" t="s">
        <v>292</v>
      </c>
      <c r="B24">
        <v>11.5</v>
      </c>
      <c r="C24">
        <v>5.2</v>
      </c>
      <c r="D24">
        <v>94.8</v>
      </c>
      <c r="E24">
        <v>23.2</v>
      </c>
      <c r="F24">
        <v>1</v>
      </c>
      <c r="G24">
        <v>23.1</v>
      </c>
      <c r="H24">
        <v>76.900000000000006</v>
      </c>
      <c r="I24">
        <v>14.4</v>
      </c>
      <c r="J24">
        <v>8.6999999999999993</v>
      </c>
      <c r="K24">
        <v>21.6</v>
      </c>
    </row>
    <row r="26" spans="1:11" s="59" customFormat="1">
      <c r="A26" t="s">
        <v>337</v>
      </c>
      <c r="B26"/>
      <c r="C26"/>
      <c r="D26"/>
      <c r="E26"/>
      <c r="F26"/>
      <c r="G26"/>
      <c r="H26"/>
      <c r="I26"/>
      <c r="J26"/>
      <c r="K26"/>
    </row>
    <row r="27" spans="1:11">
      <c r="A27" t="s">
        <v>171</v>
      </c>
      <c r="B27" t="s">
        <v>172</v>
      </c>
      <c r="C27" t="s">
        <v>173</v>
      </c>
      <c r="D27" t="s">
        <v>174</v>
      </c>
      <c r="E27" t="s">
        <v>165</v>
      </c>
      <c r="F27" t="s">
        <v>170</v>
      </c>
      <c r="G27" t="s">
        <v>166</v>
      </c>
      <c r="H27" t="s">
        <v>175</v>
      </c>
      <c r="I27" t="s">
        <v>168</v>
      </c>
      <c r="J27" t="s">
        <v>176</v>
      </c>
      <c r="K27" t="s">
        <v>177</v>
      </c>
    </row>
    <row r="28" spans="1:11">
      <c r="A28" t="s">
        <v>294</v>
      </c>
      <c r="B28">
        <v>14.1</v>
      </c>
      <c r="C28" t="s">
        <v>246</v>
      </c>
      <c r="D28" t="s">
        <v>247</v>
      </c>
      <c r="E28" t="s">
        <v>248</v>
      </c>
      <c r="F28" t="s">
        <v>249</v>
      </c>
      <c r="G28" t="s">
        <v>250</v>
      </c>
      <c r="H28" t="s">
        <v>251</v>
      </c>
      <c r="I28" t="s">
        <v>252</v>
      </c>
      <c r="J28" t="s">
        <v>253</v>
      </c>
      <c r="K28" t="s">
        <v>254</v>
      </c>
    </row>
    <row r="29" spans="1:11">
      <c r="A29" t="s">
        <v>295</v>
      </c>
      <c r="B29">
        <v>9.5</v>
      </c>
      <c r="C29" t="s">
        <v>255</v>
      </c>
      <c r="D29" t="s">
        <v>256</v>
      </c>
      <c r="E29" t="s">
        <v>257</v>
      </c>
      <c r="F29" t="s">
        <v>258</v>
      </c>
      <c r="G29" t="s">
        <v>259</v>
      </c>
      <c r="H29" t="s">
        <v>260</v>
      </c>
      <c r="I29" t="s">
        <v>261</v>
      </c>
      <c r="J29" t="s">
        <v>262</v>
      </c>
      <c r="K29" t="s">
        <v>263</v>
      </c>
    </row>
    <row r="30" spans="1:11">
      <c r="A30" t="s">
        <v>296</v>
      </c>
      <c r="B30">
        <v>9.5</v>
      </c>
      <c r="C30" t="s">
        <v>264</v>
      </c>
      <c r="D30" t="s">
        <v>265</v>
      </c>
      <c r="E30" t="s">
        <v>266</v>
      </c>
      <c r="F30" t="s">
        <v>267</v>
      </c>
      <c r="G30" t="s">
        <v>268</v>
      </c>
      <c r="H30" t="s">
        <v>269</v>
      </c>
      <c r="I30" t="s">
        <v>270</v>
      </c>
      <c r="J30" t="s">
        <v>271</v>
      </c>
      <c r="K30" t="s">
        <v>272</v>
      </c>
    </row>
    <row r="31" spans="1:11">
      <c r="A31" t="s">
        <v>297</v>
      </c>
      <c r="B31">
        <v>11.85</v>
      </c>
      <c r="C31" t="s">
        <v>273</v>
      </c>
      <c r="D31" t="s">
        <v>274</v>
      </c>
      <c r="E31" t="s">
        <v>275</v>
      </c>
      <c r="F31" t="s">
        <v>249</v>
      </c>
      <c r="G31" t="s">
        <v>276</v>
      </c>
      <c r="H31" t="s">
        <v>277</v>
      </c>
      <c r="I31" t="s">
        <v>278</v>
      </c>
      <c r="J31" t="s">
        <v>279</v>
      </c>
      <c r="K31" t="s">
        <v>280</v>
      </c>
    </row>
    <row r="32" spans="1:11">
      <c r="A32" t="s">
        <v>241</v>
      </c>
      <c r="B32">
        <v>0.27</v>
      </c>
      <c r="C32">
        <v>0.27</v>
      </c>
      <c r="D32">
        <v>0.1</v>
      </c>
      <c r="E32">
        <v>0.08</v>
      </c>
      <c r="F32">
        <v>0.12</v>
      </c>
      <c r="G32">
        <v>0.12</v>
      </c>
      <c r="H32">
        <v>0.63</v>
      </c>
      <c r="I32">
        <v>0.67</v>
      </c>
      <c r="J32">
        <v>0.16</v>
      </c>
    </row>
    <row r="33" spans="1:19">
      <c r="A33" s="59" t="s">
        <v>169</v>
      </c>
      <c r="B33" s="59">
        <v>35.9</v>
      </c>
      <c r="C33" s="59">
        <v>2.6</v>
      </c>
      <c r="D33" s="59">
        <v>97.4</v>
      </c>
      <c r="E33" s="59">
        <v>7.7</v>
      </c>
      <c r="F33" s="59">
        <v>5</v>
      </c>
      <c r="G33" s="59">
        <v>52.5</v>
      </c>
      <c r="H33" s="59">
        <v>47.5</v>
      </c>
      <c r="I33" s="59">
        <v>43.2</v>
      </c>
      <c r="J33" s="59">
        <v>4.3</v>
      </c>
      <c r="K33" s="59" t="s">
        <v>281</v>
      </c>
    </row>
    <row r="34" spans="1:19">
      <c r="A34" t="s">
        <v>298</v>
      </c>
      <c r="B34">
        <v>12.3</v>
      </c>
      <c r="C34">
        <v>9.3000000000000007</v>
      </c>
      <c r="D34">
        <v>90.7</v>
      </c>
      <c r="E34">
        <v>24.3</v>
      </c>
      <c r="F34">
        <v>2.4</v>
      </c>
      <c r="G34">
        <v>50.6</v>
      </c>
      <c r="H34">
        <v>49.4</v>
      </c>
      <c r="I34">
        <v>40.200000000000003</v>
      </c>
      <c r="J34">
        <v>10.4</v>
      </c>
      <c r="K34">
        <v>10.5</v>
      </c>
    </row>
    <row r="35" spans="1:19">
      <c r="A35" t="s">
        <v>331</v>
      </c>
      <c r="B35">
        <v>35</v>
      </c>
      <c r="C35">
        <v>7.9</v>
      </c>
      <c r="D35">
        <v>92.1</v>
      </c>
      <c r="E35" t="s">
        <v>300</v>
      </c>
      <c r="F35" t="s">
        <v>301</v>
      </c>
      <c r="G35" t="s">
        <v>302</v>
      </c>
      <c r="H35" t="s">
        <v>303</v>
      </c>
      <c r="I35" t="s">
        <v>304</v>
      </c>
      <c r="J35" t="s">
        <v>305</v>
      </c>
      <c r="K35">
        <v>54</v>
      </c>
    </row>
    <row r="36" spans="1:19">
      <c r="A36" t="s">
        <v>306</v>
      </c>
      <c r="B36">
        <v>9.9</v>
      </c>
      <c r="C36">
        <v>3.5</v>
      </c>
      <c r="D36">
        <v>96.5</v>
      </c>
      <c r="E36">
        <v>4.5999999999999996</v>
      </c>
      <c r="F36">
        <v>1.5</v>
      </c>
      <c r="G36">
        <v>73</v>
      </c>
      <c r="H36">
        <v>27</v>
      </c>
      <c r="I36">
        <v>37</v>
      </c>
      <c r="J36">
        <v>36</v>
      </c>
      <c r="K36" t="s">
        <v>245</v>
      </c>
    </row>
    <row r="37" spans="1:19">
      <c r="A37" t="s">
        <v>332</v>
      </c>
      <c r="B37">
        <v>25.3</v>
      </c>
      <c r="C37">
        <v>6</v>
      </c>
      <c r="D37">
        <v>7.3</v>
      </c>
      <c r="E37">
        <v>92.7</v>
      </c>
      <c r="F37">
        <v>10</v>
      </c>
      <c r="G37">
        <v>1.1000000000000001</v>
      </c>
      <c r="H37">
        <v>45.8</v>
      </c>
      <c r="I37">
        <v>54.2</v>
      </c>
      <c r="J37">
        <v>23.1</v>
      </c>
      <c r="K37">
        <v>22.7</v>
      </c>
    </row>
    <row r="38" spans="1:19" s="1" customFormat="1" ht="30">
      <c r="A38" t="s">
        <v>333</v>
      </c>
      <c r="B38"/>
      <c r="C38">
        <v>6</v>
      </c>
      <c r="D38">
        <v>94</v>
      </c>
      <c r="E38">
        <v>22.1</v>
      </c>
      <c r="F38">
        <v>11.5</v>
      </c>
      <c r="G38">
        <v>63</v>
      </c>
      <c r="H38">
        <v>37</v>
      </c>
      <c r="I38">
        <v>51</v>
      </c>
      <c r="J38">
        <v>12</v>
      </c>
      <c r="K38">
        <v>12</v>
      </c>
      <c r="N38" s="1" t="s">
        <v>377</v>
      </c>
      <c r="R38" s="1" t="s">
        <v>378</v>
      </c>
    </row>
    <row r="39" spans="1:19">
      <c r="A39" t="s">
        <v>299</v>
      </c>
      <c r="L39">
        <v>89</v>
      </c>
      <c r="M39">
        <f t="shared" ref="M39:M46" si="0">K46*L39/(K$46*L$39)</f>
        <v>1</v>
      </c>
      <c r="N39" t="s">
        <v>338</v>
      </c>
      <c r="O39">
        <v>88</v>
      </c>
      <c r="P39">
        <v>88</v>
      </c>
      <c r="Q39">
        <f>O39*P39/(O$39*P$39)</f>
        <v>1</v>
      </c>
    </row>
    <row r="40" spans="1:19">
      <c r="A40" t="s">
        <v>334</v>
      </c>
      <c r="B40">
        <v>9.4</v>
      </c>
      <c r="C40" t="s">
        <v>307</v>
      </c>
      <c r="D40" t="s">
        <v>308</v>
      </c>
      <c r="E40" t="s">
        <v>309</v>
      </c>
      <c r="F40" t="s">
        <v>310</v>
      </c>
      <c r="G40" t="s">
        <v>311</v>
      </c>
      <c r="H40" t="s">
        <v>312</v>
      </c>
      <c r="I40" t="s">
        <v>313</v>
      </c>
      <c r="J40" t="s">
        <v>266</v>
      </c>
      <c r="K40" t="s">
        <v>314</v>
      </c>
      <c r="L40">
        <v>70</v>
      </c>
      <c r="M40" s="61">
        <f t="shared" si="0"/>
        <v>0.18506278916060806</v>
      </c>
      <c r="N40" t="s">
        <v>167</v>
      </c>
      <c r="O40">
        <v>20</v>
      </c>
      <c r="P40">
        <v>68</v>
      </c>
      <c r="Q40" s="61">
        <f>O40*P40/(O$39*P$39)</f>
        <v>0.1756198347107438</v>
      </c>
    </row>
    <row r="41" spans="1:19">
      <c r="A41" t="s">
        <v>335</v>
      </c>
      <c r="B41">
        <v>12.6</v>
      </c>
      <c r="C41" t="s">
        <v>231</v>
      </c>
      <c r="D41" t="s">
        <v>315</v>
      </c>
      <c r="E41" t="s">
        <v>316</v>
      </c>
      <c r="F41" t="s">
        <v>317</v>
      </c>
      <c r="G41" t="s">
        <v>318</v>
      </c>
      <c r="H41" t="s">
        <v>319</v>
      </c>
      <c r="I41" t="s">
        <v>320</v>
      </c>
      <c r="J41" t="s">
        <v>321</v>
      </c>
      <c r="K41" t="s">
        <v>322</v>
      </c>
      <c r="L41">
        <v>78</v>
      </c>
      <c r="M41" s="61">
        <f t="shared" si="0"/>
        <v>7.2174487772637144E-2</v>
      </c>
      <c r="N41" s="60"/>
      <c r="Q41" s="61"/>
      <c r="R41">
        <v>7</v>
      </c>
      <c r="S41">
        <v>81</v>
      </c>
    </row>
    <row r="42" spans="1:19">
      <c r="A42" t="s">
        <v>336</v>
      </c>
      <c r="B42">
        <v>10.5</v>
      </c>
      <c r="C42" t="s">
        <v>323</v>
      </c>
      <c r="D42" t="s">
        <v>324</v>
      </c>
      <c r="E42" t="s">
        <v>323</v>
      </c>
      <c r="F42" t="s">
        <v>325</v>
      </c>
      <c r="G42" t="s">
        <v>326</v>
      </c>
      <c r="H42" t="s">
        <v>327</v>
      </c>
      <c r="I42" t="s">
        <v>328</v>
      </c>
      <c r="J42" t="s">
        <v>329</v>
      </c>
      <c r="K42" t="s">
        <v>330</v>
      </c>
      <c r="L42">
        <v>89</v>
      </c>
      <c r="M42" s="61">
        <f t="shared" si="0"/>
        <v>1.0352941176470589</v>
      </c>
      <c r="N42" t="s">
        <v>339</v>
      </c>
      <c r="O42">
        <v>90</v>
      </c>
      <c r="P42">
        <v>90</v>
      </c>
      <c r="Q42" s="61">
        <f>O42*P42/(O$39*P$39)</f>
        <v>1.0459710743801653</v>
      </c>
      <c r="R42">
        <v>92</v>
      </c>
      <c r="S42">
        <v>89</v>
      </c>
    </row>
    <row r="43" spans="1:19">
      <c r="A43" t="s">
        <v>241</v>
      </c>
      <c r="B43" t="s">
        <v>242</v>
      </c>
      <c r="C43">
        <v>0.24</v>
      </c>
      <c r="D43">
        <v>0.24</v>
      </c>
      <c r="E43">
        <v>0.14000000000000001</v>
      </c>
      <c r="F43">
        <v>7.0000000000000007E-2</v>
      </c>
      <c r="G43">
        <v>0.11</v>
      </c>
      <c r="H43">
        <v>0.11</v>
      </c>
      <c r="I43">
        <v>0.09</v>
      </c>
      <c r="J43">
        <v>0.1</v>
      </c>
      <c r="K43">
        <v>0.1</v>
      </c>
      <c r="M43" s="61">
        <f t="shared" si="0"/>
        <v>0</v>
      </c>
      <c r="N43" s="62" t="s">
        <v>343</v>
      </c>
      <c r="Q43" s="61">
        <f>O43*P43/(O$39*P$39)</f>
        <v>0</v>
      </c>
    </row>
    <row r="44" spans="1:19">
      <c r="B44" t="s">
        <v>372</v>
      </c>
      <c r="L44">
        <v>69</v>
      </c>
      <c r="M44" s="61">
        <f t="shared" si="0"/>
        <v>5.4725710508922672E-2</v>
      </c>
      <c r="N44" t="s">
        <v>344</v>
      </c>
      <c r="Q44" s="61">
        <f>O44*P44/(O$39*P$39)</f>
        <v>0</v>
      </c>
    </row>
    <row r="45" spans="1:19" ht="60">
      <c r="A45" s="1"/>
      <c r="B45" s="1" t="s">
        <v>340</v>
      </c>
      <c r="C45" s="1" t="s">
        <v>341</v>
      </c>
      <c r="D45" s="1" t="s">
        <v>342</v>
      </c>
      <c r="E45" s="1"/>
      <c r="F45" s="68" t="s">
        <v>371</v>
      </c>
      <c r="G45" s="1"/>
      <c r="H45" s="1"/>
      <c r="I45" s="1"/>
      <c r="J45" s="7" t="s">
        <v>374</v>
      </c>
      <c r="K45" s="7"/>
      <c r="L45">
        <v>81</v>
      </c>
      <c r="M45" s="61">
        <f t="shared" si="0"/>
        <v>0.24626569729015202</v>
      </c>
    </row>
    <row r="46" spans="1:19">
      <c r="A46" t="s">
        <v>338</v>
      </c>
      <c r="B46">
        <v>88.1</v>
      </c>
      <c r="C46">
        <v>88</v>
      </c>
      <c r="D46">
        <f t="shared" ref="D46:D51" si="1">B46*C46/(B$46*C$46)</f>
        <v>1</v>
      </c>
      <c r="F46" t="s">
        <v>338</v>
      </c>
      <c r="G46">
        <v>88</v>
      </c>
      <c r="H46">
        <v>88</v>
      </c>
      <c r="I46">
        <f>G46*H46/(G$46*H$46)</f>
        <v>1</v>
      </c>
      <c r="J46" t="s">
        <v>338</v>
      </c>
      <c r="K46">
        <v>85</v>
      </c>
      <c r="L46">
        <v>51</v>
      </c>
      <c r="M46" s="61">
        <f t="shared" si="0"/>
        <v>3.3707865168539325E-2</v>
      </c>
    </row>
    <row r="47" spans="1:19">
      <c r="A47" t="s">
        <v>167</v>
      </c>
      <c r="B47">
        <v>35.9</v>
      </c>
      <c r="C47">
        <v>57.1</v>
      </c>
      <c r="D47" s="61">
        <f t="shared" si="1"/>
        <v>0.26440640800742959</v>
      </c>
      <c r="F47" t="s">
        <v>167</v>
      </c>
      <c r="G47">
        <v>22</v>
      </c>
      <c r="H47">
        <v>68.900000000000006</v>
      </c>
      <c r="I47" s="61">
        <f>G47*H47/(G$46*H$46)</f>
        <v>0.19573863636363639</v>
      </c>
      <c r="J47" t="s">
        <v>167</v>
      </c>
      <c r="K47">
        <v>20</v>
      </c>
    </row>
    <row r="48" spans="1:19">
      <c r="A48" s="60" t="s">
        <v>345</v>
      </c>
      <c r="B48" s="59">
        <v>20.8</v>
      </c>
      <c r="C48" s="59">
        <v>80.3</v>
      </c>
      <c r="D48" s="67">
        <f t="shared" si="1"/>
        <v>0.21543700340522137</v>
      </c>
      <c r="F48" s="60" t="s">
        <v>345</v>
      </c>
      <c r="J48" s="60" t="s">
        <v>53</v>
      </c>
      <c r="K48">
        <v>7</v>
      </c>
    </row>
    <row r="49" spans="1:11">
      <c r="A49" t="s">
        <v>339</v>
      </c>
      <c r="B49">
        <v>84.7</v>
      </c>
      <c r="C49">
        <v>93</v>
      </c>
      <c r="D49" s="61">
        <f t="shared" si="1"/>
        <v>1.0160329171396143</v>
      </c>
      <c r="F49" t="s">
        <v>339</v>
      </c>
      <c r="G49">
        <v>92</v>
      </c>
      <c r="H49">
        <v>89</v>
      </c>
      <c r="I49" s="61">
        <f>G49*H49/(G$46*H$46)</f>
        <v>1.0573347107438016</v>
      </c>
      <c r="J49" t="s">
        <v>339</v>
      </c>
      <c r="K49">
        <v>88</v>
      </c>
    </row>
    <row r="50" spans="1:11">
      <c r="A50" s="62" t="s">
        <v>343</v>
      </c>
      <c r="D50" s="61">
        <f t="shared" si="1"/>
        <v>0</v>
      </c>
      <c r="F50" s="62" t="s">
        <v>343</v>
      </c>
      <c r="G50">
        <v>90</v>
      </c>
      <c r="H50">
        <v>33</v>
      </c>
      <c r="I50" s="61">
        <f>G50*H50/(G$46*H$46)</f>
        <v>0.38352272727272729</v>
      </c>
      <c r="J50" s="62" t="s">
        <v>343</v>
      </c>
    </row>
    <row r="51" spans="1:11">
      <c r="A51" t="s">
        <v>344</v>
      </c>
      <c r="B51">
        <v>65.5</v>
      </c>
      <c r="C51">
        <v>24.7</v>
      </c>
      <c r="D51" s="61">
        <f t="shared" si="1"/>
        <v>0.20867944484573317</v>
      </c>
      <c r="F51" t="s">
        <v>344</v>
      </c>
      <c r="I51" s="61">
        <f>G51*H51/(G$46*H$46)</f>
        <v>0</v>
      </c>
      <c r="J51" t="s">
        <v>344</v>
      </c>
      <c r="K51">
        <v>6</v>
      </c>
    </row>
    <row r="52" spans="1:11">
      <c r="J52" t="s">
        <v>375</v>
      </c>
      <c r="K52">
        <v>23</v>
      </c>
    </row>
    <row r="53" spans="1:11">
      <c r="J53" t="s">
        <v>376</v>
      </c>
      <c r="K53">
        <v>5</v>
      </c>
    </row>
    <row r="54" spans="1:11">
      <c r="J54" t="s">
        <v>373</v>
      </c>
    </row>
    <row r="60" spans="1:11">
      <c r="A60" s="63" t="s">
        <v>346</v>
      </c>
      <c r="B60" s="63" t="s">
        <v>347</v>
      </c>
      <c r="C60" s="63" t="s">
        <v>348</v>
      </c>
      <c r="D60" s="63" t="s">
        <v>349</v>
      </c>
    </row>
    <row r="61" spans="1:11">
      <c r="A61" s="64" t="s">
        <v>350</v>
      </c>
      <c r="B61" s="64">
        <v>91</v>
      </c>
      <c r="C61" s="64">
        <v>75</v>
      </c>
      <c r="D61" s="64">
        <v>85</v>
      </c>
    </row>
    <row r="62" spans="1:11">
      <c r="A62" s="64" t="s">
        <v>351</v>
      </c>
      <c r="B62" s="65">
        <v>90</v>
      </c>
      <c r="C62" s="65">
        <v>84</v>
      </c>
      <c r="D62" s="65">
        <v>95</v>
      </c>
    </row>
    <row r="63" spans="1:11">
      <c r="A63" s="64" t="s">
        <v>352</v>
      </c>
      <c r="B63" s="65">
        <v>89</v>
      </c>
      <c r="C63" s="65">
        <v>77</v>
      </c>
      <c r="D63" s="65" t="s">
        <v>353</v>
      </c>
    </row>
    <row r="64" spans="1:11">
      <c r="A64" s="64" t="s">
        <v>354</v>
      </c>
      <c r="B64" s="65">
        <v>12</v>
      </c>
      <c r="C64" s="65">
        <v>83</v>
      </c>
      <c r="D64" s="65">
        <v>94</v>
      </c>
    </row>
    <row r="65" spans="1:4">
      <c r="A65" s="64" t="s">
        <v>355</v>
      </c>
      <c r="B65" s="65">
        <v>30</v>
      </c>
      <c r="C65" s="65">
        <v>72</v>
      </c>
      <c r="D65" s="65">
        <v>82</v>
      </c>
    </row>
    <row r="66" spans="1:4">
      <c r="A66" s="64" t="s">
        <v>356</v>
      </c>
      <c r="B66" s="65">
        <v>87</v>
      </c>
      <c r="C66" s="65">
        <v>79</v>
      </c>
      <c r="D66" s="65">
        <v>90</v>
      </c>
    </row>
    <row r="67" spans="1:4">
      <c r="A67" s="64" t="s">
        <v>357</v>
      </c>
      <c r="B67" s="65">
        <v>22</v>
      </c>
      <c r="C67" s="65">
        <v>72</v>
      </c>
      <c r="D67" s="65">
        <v>82</v>
      </c>
    </row>
    <row r="68" spans="1:4">
      <c r="A68" s="64" t="s">
        <v>358</v>
      </c>
      <c r="B68" s="296">
        <v>90</v>
      </c>
      <c r="C68" s="296">
        <v>87</v>
      </c>
      <c r="D68" s="296">
        <v>99</v>
      </c>
    </row>
    <row r="69" spans="1:4">
      <c r="A69" s="64" t="s">
        <v>359</v>
      </c>
      <c r="B69" s="296"/>
      <c r="C69" s="296"/>
      <c r="D69" s="296"/>
    </row>
    <row r="70" spans="1:4">
      <c r="A70" s="64" t="s">
        <v>360</v>
      </c>
      <c r="B70" s="65">
        <v>99</v>
      </c>
      <c r="C70" s="65">
        <v>195</v>
      </c>
      <c r="D70" s="65">
        <v>222</v>
      </c>
    </row>
    <row r="71" spans="1:4">
      <c r="A71" s="64" t="s">
        <v>361</v>
      </c>
      <c r="B71" s="65">
        <v>92</v>
      </c>
      <c r="C71" s="65">
        <v>73</v>
      </c>
      <c r="D71" s="65">
        <v>83</v>
      </c>
    </row>
    <row r="72" spans="1:4">
      <c r="A72" s="64" t="s">
        <v>362</v>
      </c>
      <c r="B72" s="65">
        <v>93</v>
      </c>
      <c r="C72" s="65">
        <v>40</v>
      </c>
      <c r="D72" s="65">
        <v>45</v>
      </c>
    </row>
    <row r="73" spans="1:4">
      <c r="A73" s="64" t="s">
        <v>363</v>
      </c>
      <c r="B73" s="65">
        <v>89</v>
      </c>
      <c r="C73" s="65">
        <v>86</v>
      </c>
      <c r="D73" s="65">
        <v>98</v>
      </c>
    </row>
    <row r="74" spans="1:4">
      <c r="A74" s="64" t="s">
        <v>364</v>
      </c>
      <c r="B74" s="65">
        <v>21</v>
      </c>
      <c r="C74" s="65">
        <v>80</v>
      </c>
      <c r="D74" s="65">
        <v>91</v>
      </c>
    </row>
    <row r="75" spans="1:4">
      <c r="A75" s="64" t="s">
        <v>365</v>
      </c>
      <c r="B75" s="65">
        <v>14</v>
      </c>
      <c r="C75" s="65">
        <v>78</v>
      </c>
      <c r="D75" s="65">
        <v>89</v>
      </c>
    </row>
    <row r="76" spans="1:4">
      <c r="A76" s="64" t="s">
        <v>366</v>
      </c>
      <c r="B76" s="65">
        <v>90</v>
      </c>
      <c r="C76" s="65">
        <v>75</v>
      </c>
      <c r="D76" s="65" t="s">
        <v>367</v>
      </c>
    </row>
    <row r="77" spans="1:4">
      <c r="A77" s="64" t="s">
        <v>368</v>
      </c>
      <c r="B77" s="65">
        <v>10</v>
      </c>
      <c r="C77" s="65">
        <v>75</v>
      </c>
      <c r="D77" s="65">
        <v>85</v>
      </c>
    </row>
    <row r="78" spans="1:4">
      <c r="A78" s="64" t="s">
        <v>369</v>
      </c>
      <c r="B78" s="65">
        <v>90</v>
      </c>
      <c r="C78" s="65">
        <v>70</v>
      </c>
      <c r="D78" s="65">
        <v>80</v>
      </c>
    </row>
    <row r="79" spans="1:4">
      <c r="A79" s="64" t="s">
        <v>370</v>
      </c>
      <c r="B79" s="65">
        <v>89</v>
      </c>
      <c r="C79" s="65">
        <v>84</v>
      </c>
      <c r="D79" s="65">
        <v>95</v>
      </c>
    </row>
  </sheetData>
  <mergeCells count="3">
    <mergeCell ref="B68:B69"/>
    <mergeCell ref="C68:C69"/>
    <mergeCell ref="D68:D6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D12" sqref="D12"/>
    </sheetView>
  </sheetViews>
  <sheetFormatPr baseColWidth="10" defaultColWidth="11" defaultRowHeight="15" x14ac:dyDescent="0"/>
  <cols>
    <col min="1" max="1" width="19" customWidth="1"/>
    <col min="5" max="5" width="48" customWidth="1"/>
    <col min="6" max="6" width="13.1640625" customWidth="1"/>
  </cols>
  <sheetData>
    <row r="2" spans="1:10">
      <c r="A2" t="s">
        <v>147</v>
      </c>
      <c r="G2" t="s">
        <v>150</v>
      </c>
    </row>
    <row r="3" spans="1:10">
      <c r="B3" t="s">
        <v>148</v>
      </c>
      <c r="C3" t="s">
        <v>149</v>
      </c>
      <c r="D3" t="s">
        <v>977</v>
      </c>
      <c r="H3" t="s">
        <v>149</v>
      </c>
      <c r="I3" t="s">
        <v>977</v>
      </c>
    </row>
    <row r="4" spans="1:10">
      <c r="B4">
        <v>7.6</v>
      </c>
      <c r="C4">
        <v>134.5</v>
      </c>
      <c r="D4" s="53">
        <f>B4/C4</f>
        <v>5.6505576208178435E-2</v>
      </c>
      <c r="E4" t="s">
        <v>145</v>
      </c>
      <c r="G4">
        <v>7.6</v>
      </c>
      <c r="H4">
        <v>134.5</v>
      </c>
      <c r="I4" s="53">
        <f>G4/H4</f>
        <v>5.6505576208178435E-2</v>
      </c>
      <c r="J4" t="s">
        <v>145</v>
      </c>
    </row>
    <row r="5" spans="1:10">
      <c r="B5">
        <v>0.5</v>
      </c>
      <c r="C5">
        <v>100</v>
      </c>
      <c r="D5" s="53">
        <f>B5/C5</f>
        <v>5.0000000000000001E-3</v>
      </c>
      <c r="E5" t="s">
        <v>978</v>
      </c>
      <c r="G5">
        <v>1.8</v>
      </c>
      <c r="H5">
        <v>113</v>
      </c>
      <c r="I5" s="53">
        <f>G5/H5</f>
        <v>1.5929203539823009E-2</v>
      </c>
      <c r="J5" t="s">
        <v>151</v>
      </c>
    </row>
    <row r="6" spans="1:10">
      <c r="B6">
        <v>21.5</v>
      </c>
      <c r="C6">
        <v>365</v>
      </c>
      <c r="D6" s="53">
        <f>B6/C6</f>
        <v>5.8904109589041097E-2</v>
      </c>
      <c r="E6" t="s">
        <v>144</v>
      </c>
      <c r="G6">
        <v>12.3</v>
      </c>
      <c r="H6">
        <v>130</v>
      </c>
      <c r="I6" s="53">
        <f>G6/H6</f>
        <v>9.4615384615384615E-2</v>
      </c>
      <c r="J6" t="s">
        <v>152</v>
      </c>
    </row>
    <row r="7" spans="1:10">
      <c r="B7">
        <v>0.24</v>
      </c>
      <c r="C7">
        <v>190</v>
      </c>
      <c r="D7" s="53">
        <f>B7/C7</f>
        <v>1.2631578947368421E-3</v>
      </c>
      <c r="E7" t="s">
        <v>146</v>
      </c>
      <c r="I7" s="53"/>
    </row>
    <row r="8" spans="1:10">
      <c r="B8">
        <v>0</v>
      </c>
      <c r="C8">
        <v>158</v>
      </c>
      <c r="D8" s="53">
        <f>B8/C8</f>
        <v>0</v>
      </c>
      <c r="E8" t="s">
        <v>979</v>
      </c>
    </row>
    <row r="9" spans="1:10">
      <c r="D9" s="59" t="s">
        <v>983</v>
      </c>
      <c r="E9" s="59" t="s">
        <v>982</v>
      </c>
      <c r="F9" s="6"/>
      <c r="G9" s="6"/>
      <c r="H9" s="6"/>
      <c r="I9" s="59" t="s">
        <v>980</v>
      </c>
      <c r="J9" s="59" t="s">
        <v>981</v>
      </c>
    </row>
    <row r="13" spans="1:10" s="59" customFormat="1">
      <c r="A13" s="59" t="s">
        <v>108</v>
      </c>
    </row>
    <row r="14" spans="1:10">
      <c r="A14" t="s">
        <v>540</v>
      </c>
    </row>
    <row r="15" spans="1:10">
      <c r="A15" t="s">
        <v>793</v>
      </c>
    </row>
    <row r="16" spans="1:10">
      <c r="A16" t="s">
        <v>928</v>
      </c>
      <c r="B16" t="s">
        <v>959</v>
      </c>
      <c r="C16" t="s">
        <v>960</v>
      </c>
      <c r="D16" t="s">
        <v>971</v>
      </c>
      <c r="F16" t="s">
        <v>963</v>
      </c>
    </row>
    <row r="17" spans="1:6">
      <c r="A17" t="s">
        <v>866</v>
      </c>
      <c r="C17" s="240" t="s">
        <v>961</v>
      </c>
      <c r="E17" t="s">
        <v>974</v>
      </c>
    </row>
    <row r="18" spans="1:6">
      <c r="A18" t="s">
        <v>964</v>
      </c>
      <c r="E18" t="s">
        <v>962</v>
      </c>
      <c r="F18">
        <v>0.7</v>
      </c>
    </row>
    <row r="19" spans="1:6">
      <c r="A19" t="s">
        <v>965</v>
      </c>
      <c r="E19" t="s">
        <v>966</v>
      </c>
      <c r="F19">
        <v>8</v>
      </c>
    </row>
    <row r="20" spans="1:6">
      <c r="A20" t="s">
        <v>969</v>
      </c>
    </row>
    <row r="21" spans="1:6">
      <c r="A21" t="s">
        <v>970</v>
      </c>
      <c r="C21" s="295">
        <v>0.08</v>
      </c>
      <c r="E21" t="s">
        <v>973</v>
      </c>
    </row>
    <row r="22" spans="1:6" s="59" customFormat="1">
      <c r="A22" s="59" t="s">
        <v>928</v>
      </c>
    </row>
    <row r="23" spans="1:6">
      <c r="A23" t="s">
        <v>970</v>
      </c>
      <c r="C23" s="295">
        <v>0.08</v>
      </c>
      <c r="E23" t="s">
        <v>973</v>
      </c>
    </row>
    <row r="24" spans="1:6">
      <c r="A24" t="s">
        <v>540</v>
      </c>
      <c r="C24" t="s">
        <v>967</v>
      </c>
    </row>
    <row r="25" spans="1:6">
      <c r="A25" t="s">
        <v>969</v>
      </c>
      <c r="C25" t="s">
        <v>968</v>
      </c>
    </row>
    <row r="26" spans="1:6">
      <c r="A26" t="s">
        <v>970</v>
      </c>
      <c r="C26" s="295">
        <v>0.08</v>
      </c>
      <c r="D26">
        <v>7</v>
      </c>
      <c r="E26" t="s">
        <v>972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17" workbookViewId="0">
      <selection activeCell="I49" sqref="I49"/>
    </sheetView>
  </sheetViews>
  <sheetFormatPr baseColWidth="10" defaultRowHeight="15" x14ac:dyDescent="0"/>
  <cols>
    <col min="1" max="1" width="27.1640625" customWidth="1"/>
    <col min="2" max="2" width="10.33203125" customWidth="1"/>
    <col min="3" max="3" width="28.83203125" customWidth="1"/>
    <col min="4" max="4" width="6.5" customWidth="1"/>
    <col min="8" max="8" width="22.83203125" customWidth="1"/>
    <col min="9" max="9" width="76.1640625" customWidth="1"/>
  </cols>
  <sheetData>
    <row r="1" spans="1:15">
      <c r="A1" t="s">
        <v>659</v>
      </c>
      <c r="B1" t="s">
        <v>14</v>
      </c>
      <c r="C1" t="s">
        <v>807</v>
      </c>
      <c r="D1" t="s">
        <v>823</v>
      </c>
      <c r="E1" t="s">
        <v>763</v>
      </c>
      <c r="F1" t="s">
        <v>843</v>
      </c>
      <c r="G1" t="s">
        <v>808</v>
      </c>
      <c r="H1" t="s">
        <v>2</v>
      </c>
      <c r="I1" t="s">
        <v>762</v>
      </c>
      <c r="O1">
        <v>0.453592</v>
      </c>
    </row>
    <row r="2" spans="1:15" s="59" customFormat="1">
      <c r="A2" s="59" t="s">
        <v>778</v>
      </c>
      <c r="C2"/>
      <c r="D2" t="s">
        <v>842</v>
      </c>
      <c r="F2"/>
      <c r="G2"/>
      <c r="K2" s="59" t="s">
        <v>141</v>
      </c>
      <c r="L2" s="59" t="s">
        <v>858</v>
      </c>
      <c r="N2"/>
      <c r="O2" s="59" t="s">
        <v>861</v>
      </c>
    </row>
    <row r="3" spans="1:15">
      <c r="A3" t="str">
        <f>Parameters!A7</f>
        <v>Provision of diesel</v>
      </c>
      <c r="B3" t="str">
        <f>Parameters!B7</f>
        <v>kgCO2e/L diesel</v>
      </c>
      <c r="C3" t="s">
        <v>809</v>
      </c>
      <c r="D3" t="s">
        <v>763</v>
      </c>
      <c r="E3">
        <v>0.45</v>
      </c>
      <c r="F3">
        <v>0.4</v>
      </c>
      <c r="G3">
        <v>0.5</v>
      </c>
      <c r="H3" t="s">
        <v>645</v>
      </c>
      <c r="K3" t="s">
        <v>854</v>
      </c>
      <c r="L3" t="s">
        <v>58</v>
      </c>
      <c r="M3" t="s">
        <v>855</v>
      </c>
      <c r="N3" t="s">
        <v>862</v>
      </c>
    </row>
    <row r="4" spans="1:15">
      <c r="A4" t="s">
        <v>775</v>
      </c>
      <c r="B4" t="s">
        <v>644</v>
      </c>
      <c r="C4" t="s">
        <v>810</v>
      </c>
      <c r="D4" t="s">
        <v>763</v>
      </c>
      <c r="E4" s="69">
        <v>2.7204943424399999</v>
      </c>
      <c r="H4" s="69" t="s">
        <v>853</v>
      </c>
      <c r="J4" t="s">
        <v>856</v>
      </c>
      <c r="K4">
        <v>1180.6199999999999</v>
      </c>
      <c r="L4">
        <f>45.59</f>
        <v>45.59</v>
      </c>
      <c r="M4">
        <v>10.5</v>
      </c>
      <c r="N4">
        <f>K4*$O$1+L4/1000*$O$1*Parameters!$C$6+M4/1000*$O$1*Parameters!$C$5</f>
        <v>537.36092603984002</v>
      </c>
    </row>
    <row r="5" spans="1:15">
      <c r="A5" t="s">
        <v>776</v>
      </c>
      <c r="B5" t="s">
        <v>908</v>
      </c>
      <c r="C5" t="s">
        <v>811</v>
      </c>
      <c r="D5" t="s">
        <v>641</v>
      </c>
      <c r="E5" s="69">
        <f>-N4</f>
        <v>-537.36092603984002</v>
      </c>
      <c r="F5" s="69">
        <f>-N6</f>
        <v>-918.79198627000005</v>
      </c>
      <c r="G5" s="69">
        <f>-N7</f>
        <v>-537.18234233351995</v>
      </c>
      <c r="J5" t="s">
        <v>857</v>
      </c>
      <c r="K5">
        <v>1520.2</v>
      </c>
      <c r="L5">
        <v>31.27</v>
      </c>
      <c r="M5">
        <v>18.34</v>
      </c>
      <c r="N5">
        <f>K5*$O$1+L5/1000*$O$1*Parameters!$C$6+M5/1000*$O$1*Parameters!$C$5</f>
        <v>692.15220789071998</v>
      </c>
    </row>
    <row r="6" spans="1:15">
      <c r="A6" t="s">
        <v>779</v>
      </c>
      <c r="B6" t="s">
        <v>934</v>
      </c>
      <c r="C6" t="s">
        <v>812</v>
      </c>
      <c r="D6" t="s">
        <v>641</v>
      </c>
      <c r="E6">
        <v>-6.8</v>
      </c>
      <c r="F6">
        <v>-13</v>
      </c>
      <c r="G6">
        <v>-4.7</v>
      </c>
      <c r="H6" t="s">
        <v>891</v>
      </c>
      <c r="I6" t="s">
        <v>906</v>
      </c>
      <c r="J6" t="s">
        <v>859</v>
      </c>
      <c r="K6">
        <v>2014.87</v>
      </c>
      <c r="L6">
        <v>56.1</v>
      </c>
      <c r="M6">
        <v>34.53</v>
      </c>
      <c r="N6">
        <f>K6*$O$1+L6/1000*$O$1*Parameters!$C$6+M6/1000*$O$1*Parameters!$C$5</f>
        <v>918.79198627000005</v>
      </c>
    </row>
    <row r="7" spans="1:15" ht="30">
      <c r="A7" t="s">
        <v>803</v>
      </c>
      <c r="B7" t="s">
        <v>934</v>
      </c>
      <c r="C7" s="15" t="s">
        <v>932</v>
      </c>
      <c r="D7" t="s">
        <v>641</v>
      </c>
      <c r="E7">
        <v>0.4</v>
      </c>
      <c r="F7">
        <v>0.2</v>
      </c>
      <c r="G7">
        <v>0.6</v>
      </c>
      <c r="H7" t="s">
        <v>877</v>
      </c>
      <c r="I7" s="1" t="s">
        <v>878</v>
      </c>
      <c r="J7" t="s">
        <v>860</v>
      </c>
      <c r="K7">
        <v>1181.7</v>
      </c>
      <c r="L7">
        <v>20.12</v>
      </c>
      <c r="M7">
        <v>7.63</v>
      </c>
      <c r="N7">
        <f>K7*$O$1+L7/1000*$O$1*Parameters!$C$6+M7/1000*$O$1*Parameters!$C$5</f>
        <v>537.18234233351995</v>
      </c>
    </row>
    <row r="8" spans="1:15">
      <c r="A8" t="s">
        <v>904</v>
      </c>
      <c r="B8" t="s">
        <v>905</v>
      </c>
      <c r="C8" t="s">
        <v>907</v>
      </c>
      <c r="D8" t="s">
        <v>641</v>
      </c>
      <c r="E8" s="69">
        <v>0.3</v>
      </c>
      <c r="F8" s="69">
        <v>0.3</v>
      </c>
      <c r="G8" s="69">
        <v>0.6</v>
      </c>
      <c r="H8" t="s">
        <v>909</v>
      </c>
    </row>
    <row r="9" spans="1:15">
      <c r="A9" t="s">
        <v>892</v>
      </c>
      <c r="C9" t="s">
        <v>635</v>
      </c>
      <c r="D9" t="s">
        <v>842</v>
      </c>
      <c r="E9">
        <v>1.8</v>
      </c>
      <c r="F9">
        <v>0.52</v>
      </c>
      <c r="G9">
        <v>3.09</v>
      </c>
    </row>
    <row r="10" spans="1:15">
      <c r="A10" t="s">
        <v>780</v>
      </c>
      <c r="C10" t="s">
        <v>635</v>
      </c>
      <c r="D10" t="s">
        <v>842</v>
      </c>
      <c r="E10">
        <v>0.96</v>
      </c>
      <c r="F10">
        <v>0.38</v>
      </c>
      <c r="G10">
        <v>1.53</v>
      </c>
    </row>
    <row r="11" spans="1:15">
      <c r="A11" t="s">
        <v>782</v>
      </c>
      <c r="B11" t="s">
        <v>935</v>
      </c>
      <c r="C11" t="s">
        <v>813</v>
      </c>
      <c r="D11" t="s">
        <v>641</v>
      </c>
      <c r="E11">
        <v>-388</v>
      </c>
      <c r="F11">
        <v>-1197</v>
      </c>
      <c r="G11">
        <v>-550</v>
      </c>
    </row>
    <row r="12" spans="1:15" s="59" customFormat="1">
      <c r="A12" s="59" t="s">
        <v>105</v>
      </c>
      <c r="D12" s="59" t="s">
        <v>842</v>
      </c>
    </row>
    <row r="13" spans="1:15">
      <c r="A13" t="str">
        <f>'Landfill '!A3</f>
        <v xml:space="preserve">diesel use at landfill </v>
      </c>
      <c r="B13" t="str">
        <f>'Landfill '!B3</f>
        <v>L/t</v>
      </c>
      <c r="C13" t="s">
        <v>814</v>
      </c>
      <c r="D13" t="s">
        <v>641</v>
      </c>
      <c r="E13" s="69">
        <v>5.8295314000000005</v>
      </c>
      <c r="F13">
        <v>4</v>
      </c>
      <c r="G13">
        <v>10</v>
      </c>
      <c r="H13" t="str">
        <f>'Landfill '!H3</f>
        <v>WARM v.13</v>
      </c>
      <c r="I13" t="str">
        <f>'Landfill '!K3</f>
        <v>0.7 gal/1000lbs; high compared to 1–3 L diesel tonne–1 waste (Hunziker)</v>
      </c>
    </row>
    <row r="14" spans="1:15">
      <c r="A14" t="str">
        <f>'Landfill '!A8</f>
        <v>Factor of oxidation</v>
      </c>
      <c r="B14" t="str">
        <f>'Landfill '!B8</f>
        <v>%</v>
      </c>
      <c r="C14" t="s">
        <v>815</v>
      </c>
      <c r="D14" t="s">
        <v>641</v>
      </c>
      <c r="E14">
        <v>0.1</v>
      </c>
      <c r="F14">
        <v>0.1</v>
      </c>
      <c r="G14">
        <v>0.35</v>
      </c>
      <c r="H14" t="str">
        <f>'Landfill '!H8</f>
        <v xml:space="preserve">EPA biogenic </v>
      </c>
      <c r="I14" t="str">
        <f>'Landfill '!K8</f>
        <v>Barlaz and Warm provide a schedule ranging from 10-35%, with 20% average)</v>
      </c>
    </row>
    <row r="15" spans="1:15" s="44" customFormat="1">
      <c r="A15" s="44" t="str">
        <f>'Landfill '!A9</f>
        <v>Gas Capture factor (GC)</v>
      </c>
      <c r="B15" s="44" t="str">
        <f>'Landfill '!B9</f>
        <v>%</v>
      </c>
      <c r="C15" s="44" t="s">
        <v>635</v>
      </c>
      <c r="D15" s="44" t="s">
        <v>763</v>
      </c>
      <c r="E15" s="44">
        <f>'Landfill '!E9</f>
        <v>1</v>
      </c>
      <c r="F15" s="44">
        <v>0.85</v>
      </c>
      <c r="G15" s="44">
        <v>0.9</v>
      </c>
      <c r="H15" s="44" t="str">
        <f>'Landfill '!H9</f>
        <v>WARM</v>
      </c>
      <c r="I15" s="44" t="str">
        <f>'Landfill '!K9</f>
        <v>not used:85  % Landfills in NYS  with GC recovery</v>
      </c>
    </row>
    <row r="16" spans="1:15">
      <c r="A16" t="str">
        <f>'Landfill '!A22</f>
        <v>Heat rate of LF to E conversion</v>
      </c>
      <c r="B16" t="str">
        <f>'Landfill '!B22</f>
        <v>btu/kwh</v>
      </c>
      <c r="C16" t="s">
        <v>817</v>
      </c>
      <c r="D16" t="s">
        <v>763</v>
      </c>
      <c r="E16">
        <f>'Landfill '!E22</f>
        <v>11700</v>
      </c>
      <c r="F16">
        <v>8979</v>
      </c>
      <c r="G16">
        <v>13648</v>
      </c>
      <c r="H16" t="str">
        <f>'Landfill '!H22</f>
        <v>EPA 2013</v>
      </c>
      <c r="I16" t="str">
        <f>'Landfill '!K22</f>
        <v>29% efficiency based upon 3412 btu/kwh, 25%-38%</v>
      </c>
    </row>
    <row r="17" spans="1:9">
      <c r="A17" t="s">
        <v>802</v>
      </c>
      <c r="B17" t="s">
        <v>23</v>
      </c>
      <c r="C17" t="s">
        <v>822</v>
      </c>
      <c r="D17" t="s">
        <v>641</v>
      </c>
      <c r="E17">
        <v>0.85</v>
      </c>
      <c r="F17">
        <v>0.8</v>
      </c>
      <c r="G17">
        <v>0.9</v>
      </c>
      <c r="H17" t="s">
        <v>804</v>
      </c>
      <c r="I17" t="s">
        <v>805</v>
      </c>
    </row>
    <row r="18" spans="1:9">
      <c r="A18" t="s">
        <v>824</v>
      </c>
      <c r="B18" t="s">
        <v>23</v>
      </c>
      <c r="C18" t="s">
        <v>816</v>
      </c>
      <c r="D18" t="s">
        <v>641</v>
      </c>
      <c r="E18">
        <v>0.9</v>
      </c>
      <c r="F18">
        <v>0.85</v>
      </c>
      <c r="G18">
        <v>0.95</v>
      </c>
      <c r="H18" t="s">
        <v>652</v>
      </c>
    </row>
    <row r="19" spans="1:9" s="6" customFormat="1">
      <c r="A19" s="6" t="s">
        <v>86</v>
      </c>
      <c r="B19" s="6" t="str">
        <f>'Landfill '!B15</f>
        <v>fraction</v>
      </c>
      <c r="C19" t="s">
        <v>820</v>
      </c>
      <c r="D19" t="s">
        <v>641</v>
      </c>
      <c r="E19" s="6">
        <v>1</v>
      </c>
      <c r="F19">
        <v>0.7</v>
      </c>
      <c r="G19">
        <v>1</v>
      </c>
      <c r="H19" s="6" t="s">
        <v>819</v>
      </c>
      <c r="I19" s="6" t="str">
        <f>'Landfill '!K15</f>
        <v>not used at this time, assumed, 0.9 in CCARv. 2, could also be correction factor from Cho paper for bo to Lo</v>
      </c>
    </row>
    <row r="20" spans="1:9" s="6" customFormat="1">
      <c r="A20" s="6" t="s">
        <v>472</v>
      </c>
      <c r="B20" s="6" t="s">
        <v>844</v>
      </c>
      <c r="C20" t="s">
        <v>472</v>
      </c>
      <c r="D20" t="s">
        <v>641</v>
      </c>
      <c r="E20" s="6">
        <v>0.14399999999999999</v>
      </c>
      <c r="F20" s="69">
        <v>9.6000000000000002E-2</v>
      </c>
      <c r="G20">
        <v>0.22900000000000001</v>
      </c>
      <c r="H20" s="6" t="s">
        <v>652</v>
      </c>
    </row>
    <row r="21" spans="1:9" s="59" customFormat="1">
      <c r="A21" s="59" t="s">
        <v>773</v>
      </c>
      <c r="D21" s="59" t="s">
        <v>842</v>
      </c>
    </row>
    <row r="22" spans="1:9">
      <c r="A22" t="str">
        <f>AD!A16</f>
        <v xml:space="preserve">Methane conversion factor </v>
      </c>
      <c r="B22" t="str">
        <f>AD!B16</f>
        <v>%</v>
      </c>
      <c r="C22" t="s">
        <v>852</v>
      </c>
      <c r="D22" t="s">
        <v>641</v>
      </c>
      <c r="E22">
        <f>AD!E16</f>
        <v>0.84</v>
      </c>
      <c r="F22">
        <v>0.7</v>
      </c>
      <c r="G22">
        <v>1</v>
      </c>
      <c r="H22" t="str">
        <f>AD!H16</f>
        <v>Ebner et al, 2014</v>
      </c>
      <c r="I22" t="s">
        <v>894</v>
      </c>
    </row>
    <row r="23" spans="1:9">
      <c r="A23" t="str">
        <f>AD!A18</f>
        <v>Methane leaks</v>
      </c>
      <c r="B23" t="str">
        <f>AD!B18</f>
        <v>% methane utilized</v>
      </c>
      <c r="C23" t="s">
        <v>825</v>
      </c>
      <c r="D23" t="s">
        <v>641</v>
      </c>
      <c r="E23">
        <f>AD!E18</f>
        <v>0.03</v>
      </c>
      <c r="F23">
        <v>0</v>
      </c>
      <c r="G23">
        <v>0.1</v>
      </c>
      <c r="H23" t="str">
        <f>AD!H18</f>
        <v>Ebner et al., 2014</v>
      </c>
      <c r="I23" t="str">
        <f>AD!J18</f>
        <v>3% of methane utilized</v>
      </c>
    </row>
    <row r="24" spans="1:9">
      <c r="A24" t="str">
        <f>AD!A20</f>
        <v>Methane incomplete combustion factor</v>
      </c>
      <c r="B24" t="str">
        <f>AD!B20</f>
        <v>% methane utilized</v>
      </c>
      <c r="C24" t="s">
        <v>826</v>
      </c>
      <c r="D24" t="s">
        <v>763</v>
      </c>
      <c r="E24">
        <f>AD!E20</f>
        <v>5.0000000000000001E-3</v>
      </c>
      <c r="H24" t="str">
        <f>AD!H20</f>
        <v>Dressler, 2012</v>
      </c>
      <c r="I24" t="str">
        <f>AD!J20</f>
        <v>Hildesheim, Gottingen, Celle</v>
      </c>
    </row>
    <row r="25" spans="1:9" s="12" customFormat="1">
      <c r="A25" s="12" t="str">
        <f>AD!A21</f>
        <v>Incomplete combustion CH4IC</v>
      </c>
      <c r="B25" s="12" t="str">
        <f>AD!B21</f>
        <v>kgCO2e/t</v>
      </c>
      <c r="C25" s="44"/>
      <c r="D25" s="44" t="s">
        <v>763</v>
      </c>
      <c r="E25" s="12">
        <f>AD!C21</f>
        <v>7.1078263200000009</v>
      </c>
      <c r="F25" s="44"/>
      <c r="G25" s="44"/>
      <c r="H25" s="12">
        <f>AD!D21</f>
        <v>0.378882</v>
      </c>
      <c r="I25" s="12" t="s">
        <v>893</v>
      </c>
    </row>
    <row r="26" spans="1:9">
      <c r="A26" t="str">
        <f>AD!A22</f>
        <v>Conversion Efficiency</v>
      </c>
      <c r="B26" t="str">
        <f>AD!B22</f>
        <v>MWh/t</v>
      </c>
      <c r="C26" t="s">
        <v>827</v>
      </c>
      <c r="D26" t="s">
        <v>641</v>
      </c>
      <c r="E26">
        <f>AD!E22</f>
        <v>4.19318820416827</v>
      </c>
      <c r="F26">
        <f>3.6</f>
        <v>3.6</v>
      </c>
      <c r="G26" s="86">
        <f>4.5</f>
        <v>4.5</v>
      </c>
      <c r="H26" t="str">
        <f>AD!H22</f>
        <v>Ebner et al, 2014</v>
      </c>
      <c r="I26" t="str">
        <f>AD!J22</f>
        <v>KWh/m3 methane 43% efficiency, if 1m3= 9.8 KWh</v>
      </c>
    </row>
    <row r="27" spans="1:9">
      <c r="A27" t="str">
        <f>AD!A24</f>
        <v>Parasitic load</v>
      </c>
      <c r="B27" t="str">
        <f>AD!B24</f>
        <v>% KWh generated</v>
      </c>
      <c r="C27" t="s">
        <v>828</v>
      </c>
      <c r="D27" t="s">
        <v>641</v>
      </c>
      <c r="E27">
        <f>AD!E24</f>
        <v>0.12</v>
      </c>
      <c r="F27">
        <v>0.1</v>
      </c>
      <c r="G27">
        <v>0.2</v>
      </c>
      <c r="H27" t="str">
        <f>AD!H24</f>
        <v>Ebner et al, 2015</v>
      </c>
      <c r="I27" t="str">
        <f>AD!J24</f>
        <v>Parasitic load</v>
      </c>
    </row>
    <row r="28" spans="1:9">
      <c r="A28" t="str">
        <f>AD!A30</f>
        <v>VS destruction</v>
      </c>
      <c r="B28" t="str">
        <f>AD!B30</f>
        <v>%</v>
      </c>
      <c r="C28" t="s">
        <v>829</v>
      </c>
      <c r="D28" t="s">
        <v>641</v>
      </c>
      <c r="E28">
        <f>AD!E30</f>
        <v>0.55000000000000004</v>
      </c>
      <c r="F28">
        <v>0.4</v>
      </c>
      <c r="G28">
        <v>0.7</v>
      </c>
      <c r="H28" t="str">
        <f>AD!H30</f>
        <v>Ebner et al., 2014</v>
      </c>
      <c r="I28" t="str">
        <f>AD!J30</f>
        <v>assuming a 55% reduction in VS</v>
      </c>
    </row>
    <row r="29" spans="1:9">
      <c r="A29" t="str">
        <f>AD!A32</f>
        <v>Effluent residual methane factor</v>
      </c>
      <c r="B29" t="str">
        <f>AD!B32</f>
        <v>m3CH4/kgVS</v>
      </c>
      <c r="C29" t="s">
        <v>830</v>
      </c>
      <c r="D29" t="s">
        <v>641</v>
      </c>
      <c r="E29">
        <f>AD!E32</f>
        <v>5.3999999999999999E-2</v>
      </c>
      <c r="F29">
        <v>4.0000000000000001E-3</v>
      </c>
      <c r="G29">
        <v>7.3999999999999996E-2</v>
      </c>
      <c r="H29" t="str">
        <f>AD!H32</f>
        <v>Ebner et al., 2014</v>
      </c>
    </row>
    <row r="30" spans="1:9">
      <c r="A30" t="str">
        <f>AD!A37</f>
        <v xml:space="preserve">Direct N2O emission factor </v>
      </c>
      <c r="B30" t="str">
        <f>AD!B37</f>
        <v>kgCO2e/t</v>
      </c>
      <c r="C30" t="s">
        <v>831</v>
      </c>
      <c r="D30" t="s">
        <v>641</v>
      </c>
      <c r="E30">
        <f>AD!E37</f>
        <v>5.0000000000000001E-3</v>
      </c>
      <c r="F30">
        <f>E30/2</f>
        <v>2.5000000000000001E-3</v>
      </c>
      <c r="G30">
        <f>E30*2</f>
        <v>0.01</v>
      </c>
      <c r="H30" t="str">
        <f>AD!H37</f>
        <v>IPCC protocol, EF3=0.005</v>
      </c>
      <c r="I30" t="str">
        <f>AD!I37</f>
        <v>assumes that N in is the same as N out adjusted for D losses</v>
      </c>
    </row>
    <row r="31" spans="1:9">
      <c r="A31" t="str">
        <f>AD!A38</f>
        <v>Indirect N volitilization factor</v>
      </c>
      <c r="B31" t="str">
        <f>AD!B38</f>
        <v>KgNvol/kg N</v>
      </c>
      <c r="C31" t="s">
        <v>832</v>
      </c>
      <c r="D31" t="s">
        <v>641</v>
      </c>
      <c r="E31">
        <f>AD!E38</f>
        <v>0.26</v>
      </c>
      <c r="F31">
        <v>0.05</v>
      </c>
      <c r="G31">
        <v>0.5</v>
      </c>
      <c r="H31" t="str">
        <f>AD!H38</f>
        <v>FracGASMS=0.26</v>
      </c>
      <c r="I31">
        <f>AD!I38</f>
        <v>0</v>
      </c>
    </row>
    <row r="32" spans="1:9">
      <c r="A32" t="str">
        <f>AD!A39</f>
        <v>Indirect N2O-N from NH3</v>
      </c>
      <c r="B32" t="str">
        <f>AD!B39</f>
        <v>Kg N2O-N/kg N</v>
      </c>
      <c r="C32" t="s">
        <v>834</v>
      </c>
      <c r="D32" t="s">
        <v>641</v>
      </c>
      <c r="E32">
        <f>AD!E39</f>
        <v>0.01</v>
      </c>
      <c r="F32">
        <v>2E-3</v>
      </c>
      <c r="G32">
        <v>0.05</v>
      </c>
      <c r="H32" t="str">
        <f>AD!H39</f>
        <v>IPCC, EF4=0.01</v>
      </c>
      <c r="I32" t="str">
        <f>AD!I39</f>
        <v>assumes that N is is the same as N out adjusted for D losses</v>
      </c>
    </row>
    <row r="33" spans="1:9">
      <c r="A33" t="s">
        <v>768</v>
      </c>
      <c r="B33" t="s">
        <v>23</v>
      </c>
      <c r="C33" s="15" t="s">
        <v>937</v>
      </c>
      <c r="D33" t="s">
        <v>641</v>
      </c>
      <c r="E33">
        <v>0.4</v>
      </c>
      <c r="F33">
        <v>0.15</v>
      </c>
      <c r="G33">
        <v>0.48</v>
      </c>
    </row>
    <row r="34" spans="1:9">
      <c r="A34" t="s">
        <v>939</v>
      </c>
      <c r="C34" s="15" t="s">
        <v>940</v>
      </c>
      <c r="D34" t="s">
        <v>641</v>
      </c>
      <c r="E34">
        <v>20</v>
      </c>
      <c r="F34">
        <v>10</v>
      </c>
      <c r="G34">
        <v>30</v>
      </c>
    </row>
    <row r="35" spans="1:9" s="59" customFormat="1">
      <c r="A35" s="59" t="s">
        <v>38</v>
      </c>
      <c r="D35" s="59" t="s">
        <v>842</v>
      </c>
    </row>
    <row r="36" spans="1:9">
      <c r="A36" t="s">
        <v>904</v>
      </c>
      <c r="B36" t="s">
        <v>895</v>
      </c>
      <c r="C36" s="15" t="s">
        <v>907</v>
      </c>
      <c r="D36" t="s">
        <v>641</v>
      </c>
      <c r="E36" s="69">
        <v>0.3</v>
      </c>
      <c r="F36" s="69">
        <v>0.3</v>
      </c>
      <c r="G36" s="69">
        <v>0.6</v>
      </c>
      <c r="H36" t="s">
        <v>909</v>
      </c>
    </row>
    <row r="37" spans="1:9">
      <c r="A37" t="str">
        <f>'Land application'!A10</f>
        <v>Xport to field</v>
      </c>
      <c r="B37" t="s">
        <v>12</v>
      </c>
      <c r="C37" t="s">
        <v>938</v>
      </c>
      <c r="D37" t="s">
        <v>641</v>
      </c>
      <c r="E37">
        <v>20</v>
      </c>
      <c r="F37">
        <v>10</v>
      </c>
      <c r="G37">
        <v>20</v>
      </c>
      <c r="H37" t="s">
        <v>866</v>
      </c>
      <c r="I37" t="s">
        <v>910</v>
      </c>
    </row>
    <row r="38" spans="1:9">
      <c r="A38" t="str">
        <f>'Land application'!A13</f>
        <v>Direct N2O emission factor</v>
      </c>
      <c r="B38" t="str">
        <f>'Land application'!B13</f>
        <v>Kg N2O-N/kg N</v>
      </c>
      <c r="C38" t="s">
        <v>833</v>
      </c>
      <c r="D38" t="s">
        <v>641</v>
      </c>
      <c r="E38">
        <f>'Land application'!E13</f>
        <v>1.2500000000000001E-2</v>
      </c>
      <c r="F38">
        <v>5.0000000000000001E-3</v>
      </c>
      <c r="G38">
        <v>0.05</v>
      </c>
      <c r="H38" t="str">
        <f>'Land application'!H13</f>
        <v>IPCC EF1=0.0125</v>
      </c>
    </row>
    <row r="39" spans="1:9">
      <c r="A39" t="s">
        <v>882</v>
      </c>
      <c r="B39" t="str">
        <f>'Land application'!B16</f>
        <v>KgNvol/kg N</v>
      </c>
      <c r="C39" t="s">
        <v>835</v>
      </c>
      <c r="D39" t="s">
        <v>641</v>
      </c>
      <c r="E39">
        <f>'Land application'!E16</f>
        <v>0.2</v>
      </c>
      <c r="F39">
        <v>0.05</v>
      </c>
      <c r="G39">
        <v>0.5</v>
      </c>
      <c r="H39" t="str">
        <f>'Land application'!H16</f>
        <v>IPCC, FracGASM=0.20</v>
      </c>
    </row>
    <row r="40" spans="1:9">
      <c r="A40" t="str">
        <f>'Land application'!A20</f>
        <v>Carbon storage factor</v>
      </c>
      <c r="B40" t="s">
        <v>23</v>
      </c>
      <c r="C40" s="15" t="s">
        <v>927</v>
      </c>
      <c r="D40" t="s">
        <v>641</v>
      </c>
      <c r="E40">
        <v>0.2</v>
      </c>
      <c r="F40">
        <v>0.15</v>
      </c>
      <c r="G40">
        <v>0.48</v>
      </c>
      <c r="H40" t="s">
        <v>866</v>
      </c>
      <c r="I40" t="s">
        <v>929</v>
      </c>
    </row>
    <row r="41" spans="1:9">
      <c r="A41" t="s">
        <v>936</v>
      </c>
      <c r="C41" s="15" t="s">
        <v>834</v>
      </c>
      <c r="D41" t="s">
        <v>763</v>
      </c>
      <c r="E41">
        <v>0.01</v>
      </c>
    </row>
    <row r="42" spans="1:9" s="59" customFormat="1">
      <c r="A42" s="59" t="s">
        <v>108</v>
      </c>
      <c r="D42" s="59" t="s">
        <v>842</v>
      </c>
    </row>
    <row r="43" spans="1:9">
      <c r="A43" t="s">
        <v>784</v>
      </c>
      <c r="B43" t="str">
        <f>compost!B13</f>
        <v>L/t</v>
      </c>
      <c r="C43" s="15" t="s">
        <v>836</v>
      </c>
      <c r="D43" t="s">
        <v>641</v>
      </c>
      <c r="E43">
        <v>3</v>
      </c>
      <c r="F43">
        <v>0.4</v>
      </c>
      <c r="G43">
        <v>6</v>
      </c>
      <c r="H43" t="s">
        <v>540</v>
      </c>
    </row>
    <row r="44" spans="1:9">
      <c r="A44" t="s">
        <v>796</v>
      </c>
      <c r="B44" t="s">
        <v>797</v>
      </c>
      <c r="C44" t="s">
        <v>635</v>
      </c>
      <c r="D44" t="s">
        <v>842</v>
      </c>
      <c r="E44">
        <v>0</v>
      </c>
      <c r="F44">
        <v>0.03</v>
      </c>
      <c r="G44">
        <v>65</v>
      </c>
      <c r="H44" t="s">
        <v>540</v>
      </c>
    </row>
    <row r="45" spans="1:9" ht="13" customHeight="1">
      <c r="A45" t="str">
        <f>compost!A18</f>
        <v>carbon degraded</v>
      </c>
      <c r="B45" t="str">
        <f>compost!B18</f>
        <v>%/initial C</v>
      </c>
      <c r="C45" t="s">
        <v>837</v>
      </c>
      <c r="D45" t="s">
        <v>641</v>
      </c>
      <c r="E45">
        <v>0.57999999999999996</v>
      </c>
      <c r="F45">
        <v>0.4</v>
      </c>
      <c r="G45">
        <v>0.83</v>
      </c>
      <c r="H45" t="s">
        <v>786</v>
      </c>
    </row>
    <row r="46" spans="1:9">
      <c r="A46" t="s">
        <v>870</v>
      </c>
      <c r="B46" t="s">
        <v>788</v>
      </c>
      <c r="C46" t="s">
        <v>838</v>
      </c>
      <c r="D46" t="s">
        <v>641</v>
      </c>
      <c r="E46">
        <v>0.02</v>
      </c>
      <c r="F46">
        <v>8.0000000000000002E-3</v>
      </c>
      <c r="G46">
        <v>3.5999999999999997E-2</v>
      </c>
      <c r="H46" t="s">
        <v>787</v>
      </c>
    </row>
    <row r="47" spans="1:9">
      <c r="A47" t="s">
        <v>871</v>
      </c>
      <c r="B47" t="s">
        <v>789</v>
      </c>
      <c r="C47" t="s">
        <v>839</v>
      </c>
      <c r="D47" t="s">
        <v>641</v>
      </c>
      <c r="E47">
        <v>5.0000000000000001E-3</v>
      </c>
      <c r="F47">
        <v>1E-3</v>
      </c>
      <c r="G47">
        <v>1.7999999999999999E-2</v>
      </c>
      <c r="H47" t="s">
        <v>880</v>
      </c>
      <c r="I47" t="str">
        <f>compost!H20</f>
        <v xml:space="preserve">Boldrin, 2009 </v>
      </c>
    </row>
    <row r="48" spans="1:9">
      <c r="A48" t="s">
        <v>791</v>
      </c>
      <c r="B48" t="s">
        <v>792</v>
      </c>
      <c r="C48" s="15" t="s">
        <v>872</v>
      </c>
      <c r="D48" t="s">
        <v>641</v>
      </c>
      <c r="E48">
        <v>0.7</v>
      </c>
      <c r="F48">
        <v>0.25</v>
      </c>
      <c r="G48">
        <v>0.9</v>
      </c>
      <c r="H48" t="s">
        <v>793</v>
      </c>
      <c r="I48" t="s">
        <v>975</v>
      </c>
    </row>
    <row r="49" spans="1:8">
      <c r="A49" t="s">
        <v>794</v>
      </c>
      <c r="B49" t="str">
        <f>compost!B35</f>
        <v>%compost/fw</v>
      </c>
      <c r="C49" t="s">
        <v>840</v>
      </c>
      <c r="D49" t="s">
        <v>763</v>
      </c>
      <c r="E49">
        <v>0.4</v>
      </c>
      <c r="H49" t="s">
        <v>540</v>
      </c>
    </row>
    <row r="50" spans="1:8">
      <c r="A50" t="s">
        <v>795</v>
      </c>
      <c r="B50" t="s">
        <v>12</v>
      </c>
      <c r="C50" s="14" t="s">
        <v>841</v>
      </c>
      <c r="D50" t="s">
        <v>641</v>
      </c>
      <c r="E50">
        <v>30</v>
      </c>
      <c r="F50">
        <v>10</v>
      </c>
      <c r="G50">
        <v>60</v>
      </c>
    </row>
    <row r="51" spans="1:8">
      <c r="A51" t="s">
        <v>798</v>
      </c>
      <c r="B51" t="s">
        <v>799</v>
      </c>
      <c r="C51" t="s">
        <v>930</v>
      </c>
      <c r="D51" t="s">
        <v>641</v>
      </c>
      <c r="E51">
        <v>0.38</v>
      </c>
      <c r="F51">
        <v>0.26</v>
      </c>
      <c r="G51">
        <v>0.51</v>
      </c>
      <c r="H51" t="s">
        <v>540</v>
      </c>
    </row>
    <row r="52" spans="1:8">
      <c r="A52" t="s">
        <v>700</v>
      </c>
      <c r="B52" t="s">
        <v>884</v>
      </c>
      <c r="C52" t="s">
        <v>888</v>
      </c>
      <c r="D52" t="s">
        <v>763</v>
      </c>
      <c r="E52">
        <v>1.4999999999999999E-2</v>
      </c>
      <c r="H52" t="s">
        <v>786</v>
      </c>
    </row>
    <row r="53" spans="1:8">
      <c r="A53" t="s">
        <v>881</v>
      </c>
      <c r="B53" t="s">
        <v>885</v>
      </c>
      <c r="C53" t="s">
        <v>883</v>
      </c>
      <c r="D53" t="s">
        <v>763</v>
      </c>
      <c r="E53">
        <v>1.6E-2</v>
      </c>
      <c r="H53" t="s">
        <v>786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topLeftCell="A3" workbookViewId="0">
      <selection activeCell="K28" sqref="K28"/>
    </sheetView>
  </sheetViews>
  <sheetFormatPr baseColWidth="10" defaultColWidth="8.83203125" defaultRowHeight="14" x14ac:dyDescent="0"/>
  <cols>
    <col min="1" max="1" width="27.83203125" style="27" customWidth="1"/>
    <col min="2" max="2" width="12.5" style="27" customWidth="1"/>
    <col min="3" max="3" width="18.6640625" style="119" customWidth="1"/>
    <col min="4" max="4" width="9.83203125" style="119" customWidth="1"/>
    <col min="5" max="6" width="11.33203125" style="27" customWidth="1"/>
    <col min="7" max="7" width="9.83203125" style="27" customWidth="1"/>
    <col min="8" max="9" width="14.33203125" style="27" customWidth="1"/>
    <col min="10" max="10" width="13.1640625" style="27" customWidth="1"/>
    <col min="11" max="11" width="36" style="27" customWidth="1"/>
    <col min="12" max="12" width="8.83203125" style="27"/>
    <col min="13" max="13" width="9.83203125" style="27" customWidth="1"/>
    <col min="14" max="16" width="8.83203125" style="27"/>
    <col min="17" max="17" width="10.83203125" style="27" bestFit="1" customWidth="1"/>
    <col min="18" max="18" width="23" style="27" customWidth="1"/>
    <col min="19" max="23" width="8.83203125" style="27"/>
    <col min="24" max="24" width="14.5" style="27" customWidth="1"/>
    <col min="25" max="16384" width="8.83203125" style="27"/>
  </cols>
  <sheetData>
    <row r="1" spans="1:28" s="43" customFormat="1" ht="30">
      <c r="B1" s="43" t="s">
        <v>14</v>
      </c>
      <c r="C1" s="207" t="s">
        <v>26</v>
      </c>
      <c r="D1" s="207" t="s">
        <v>114</v>
      </c>
      <c r="E1" s="43" t="s">
        <v>666</v>
      </c>
      <c r="F1" s="43" t="s">
        <v>660</v>
      </c>
      <c r="G1" s="43" t="s">
        <v>659</v>
      </c>
      <c r="H1" s="43" t="s">
        <v>2</v>
      </c>
      <c r="I1" s="43" t="s">
        <v>641</v>
      </c>
      <c r="J1" s="43" t="s">
        <v>2</v>
      </c>
      <c r="K1" s="43" t="s">
        <v>5</v>
      </c>
      <c r="S1" s="27">
        <v>3.7854100000000002</v>
      </c>
      <c r="T1" s="111" t="s">
        <v>445</v>
      </c>
    </row>
    <row r="2" spans="1:28" s="37" customFormat="1">
      <c r="A2" s="42" t="s">
        <v>444</v>
      </c>
      <c r="C2" s="209">
        <f>C4+C5</f>
        <v>18.482496322776335</v>
      </c>
      <c r="D2" s="210"/>
      <c r="G2" s="54"/>
      <c r="K2" s="268" t="s">
        <v>865</v>
      </c>
    </row>
    <row r="3" spans="1:28" s="47" customFormat="1">
      <c r="A3" s="116" t="s">
        <v>462</v>
      </c>
      <c r="B3" s="105" t="s">
        <v>463</v>
      </c>
      <c r="C3" s="211">
        <f>E3*G3</f>
        <v>0</v>
      </c>
      <c r="D3" s="212"/>
      <c r="E3" s="225">
        <f>Globalfactors.csv!E13</f>
        <v>5.8295314000000005</v>
      </c>
      <c r="F3" s="118"/>
      <c r="G3" s="224"/>
      <c r="H3" s="105" t="s">
        <v>484</v>
      </c>
      <c r="I3" s="267">
        <v>42010</v>
      </c>
      <c r="J3" s="266" t="s">
        <v>764</v>
      </c>
      <c r="K3" s="105" t="s">
        <v>464</v>
      </c>
    </row>
    <row r="4" spans="1:28">
      <c r="A4" s="111" t="s">
        <v>588</v>
      </c>
      <c r="B4" s="105" t="s">
        <v>649</v>
      </c>
      <c r="C4" s="213">
        <f>E3*G4</f>
        <v>15.859207192776333</v>
      </c>
      <c r="G4" s="194">
        <f>Globalfactors.csv!E4</f>
        <v>2.7204943424399999</v>
      </c>
      <c r="H4" s="111"/>
      <c r="I4" s="111"/>
      <c r="K4" s="105"/>
      <c r="M4" s="111"/>
      <c r="Q4" s="119"/>
    </row>
    <row r="5" spans="1:28">
      <c r="A5" s="111" t="s">
        <v>468</v>
      </c>
      <c r="B5" s="111" t="s">
        <v>30</v>
      </c>
      <c r="C5" s="213">
        <f>G5*E3</f>
        <v>2.6232891300000003</v>
      </c>
      <c r="G5" s="195">
        <f>Globalfactors.csv!E3</f>
        <v>0.45</v>
      </c>
      <c r="H5" s="111" t="s">
        <v>469</v>
      </c>
      <c r="I5" s="111"/>
      <c r="K5" s="27" t="s">
        <v>470</v>
      </c>
    </row>
    <row r="6" spans="1:28" s="37" customFormat="1">
      <c r="A6" s="42" t="s">
        <v>446</v>
      </c>
      <c r="B6" s="42"/>
      <c r="C6" s="209"/>
      <c r="D6" s="210"/>
    </row>
    <row r="7" spans="1:28" hidden="1">
      <c r="A7" s="27" t="s">
        <v>102</v>
      </c>
      <c r="F7" s="200">
        <v>0.14399999999999999</v>
      </c>
      <c r="H7" s="111"/>
      <c r="I7" s="111" t="s">
        <v>651</v>
      </c>
      <c r="K7" s="111" t="s">
        <v>652</v>
      </c>
    </row>
    <row r="8" spans="1:28">
      <c r="A8" s="27" t="s">
        <v>101</v>
      </c>
      <c r="B8" s="206" t="s">
        <v>23</v>
      </c>
      <c r="E8" s="36">
        <f>Globalfactors.csv!E14</f>
        <v>0.1</v>
      </c>
      <c r="F8" s="200"/>
      <c r="H8" s="114" t="s">
        <v>653</v>
      </c>
      <c r="I8" s="114"/>
      <c r="K8" s="27" t="s">
        <v>654</v>
      </c>
    </row>
    <row r="9" spans="1:28">
      <c r="A9" s="111" t="s">
        <v>632</v>
      </c>
      <c r="B9" s="206" t="s">
        <v>23</v>
      </c>
      <c r="E9" s="36">
        <v>1</v>
      </c>
      <c r="F9" s="200"/>
      <c r="H9" s="114" t="s">
        <v>119</v>
      </c>
      <c r="I9" s="114" t="s">
        <v>655</v>
      </c>
      <c r="K9" s="206" t="s">
        <v>685</v>
      </c>
    </row>
    <row r="10" spans="1:28">
      <c r="A10" s="111" t="s">
        <v>631</v>
      </c>
      <c r="B10" s="206" t="s">
        <v>23</v>
      </c>
      <c r="E10" s="36">
        <v>0.9</v>
      </c>
      <c r="F10" s="200"/>
      <c r="H10" s="111" t="s">
        <v>119</v>
      </c>
      <c r="I10" s="111" t="s">
        <v>657</v>
      </c>
      <c r="K10" s="193" t="s">
        <v>656</v>
      </c>
      <c r="Y10" s="38" t="e">
        <f>#REF!*44/12</f>
        <v>#REF!</v>
      </c>
      <c r="Z10" s="35" t="s">
        <v>84</v>
      </c>
      <c r="AB10" s="35" t="s">
        <v>83</v>
      </c>
    </row>
    <row r="11" spans="1:28">
      <c r="A11" s="27" t="s">
        <v>155</v>
      </c>
      <c r="F11" s="201">
        <f>Parameters!E27</f>
        <v>334.11111111111109</v>
      </c>
    </row>
    <row r="12" spans="1:28">
      <c r="A12" s="27" t="s">
        <v>128</v>
      </c>
      <c r="F12" s="200">
        <f>Parameters!D27</f>
        <v>0.27</v>
      </c>
    </row>
    <row r="13" spans="1:28">
      <c r="A13" s="27" t="s">
        <v>82</v>
      </c>
      <c r="B13" s="27" t="s">
        <v>138</v>
      </c>
      <c r="F13" s="202">
        <f>Parameters!F27</f>
        <v>90.21</v>
      </c>
      <c r="K13" s="27" t="s">
        <v>130</v>
      </c>
    </row>
    <row r="14" spans="1:28" s="49" customFormat="1">
      <c r="A14" s="48" t="s">
        <v>132</v>
      </c>
      <c r="B14" s="49" t="s">
        <v>139</v>
      </c>
      <c r="C14" s="214">
        <f>F13*D16*Parameters!C19*Parameters!C6</f>
        <v>580.55007993612196</v>
      </c>
      <c r="D14" s="215"/>
      <c r="H14" s="49" t="s">
        <v>120</v>
      </c>
      <c r="K14" s="49" t="s">
        <v>121</v>
      </c>
    </row>
    <row r="15" spans="1:28">
      <c r="A15" s="27" t="s">
        <v>86</v>
      </c>
      <c r="B15" s="27" t="s">
        <v>133</v>
      </c>
      <c r="G15" s="36">
        <v>0.7</v>
      </c>
      <c r="K15" s="269" t="s">
        <v>772</v>
      </c>
      <c r="Q15" s="111"/>
    </row>
    <row r="16" spans="1:28" ht="15" customHeight="1">
      <c r="A16" s="27" t="s">
        <v>131</v>
      </c>
      <c r="B16" s="27" t="s">
        <v>133</v>
      </c>
      <c r="D16" s="213">
        <f>E87</f>
        <v>0.34304585198864457</v>
      </c>
      <c r="K16" s="27" t="s">
        <v>129</v>
      </c>
      <c r="Q16" s="111"/>
    </row>
    <row r="17" spans="1:25" ht="15" customHeight="1">
      <c r="A17" s="111" t="s">
        <v>479</v>
      </c>
      <c r="B17" s="111" t="s">
        <v>60</v>
      </c>
      <c r="C17" s="213">
        <f>D16*F13*G15*Parameters!C19*Parameters!C6</f>
        <v>406.38505595528528</v>
      </c>
      <c r="Q17" s="111"/>
    </row>
    <row r="18" spans="1:25" s="37" customFormat="1">
      <c r="A18" s="42" t="s">
        <v>140</v>
      </c>
      <c r="B18" s="37" t="s">
        <v>30</v>
      </c>
      <c r="C18" s="209">
        <f>-D23*Parameters!C14/1000</f>
        <v>-64.484627123483364</v>
      </c>
      <c r="D18" s="210"/>
      <c r="G18" s="37">
        <f>Parameters!C14</f>
        <v>533.66</v>
      </c>
      <c r="V18" s="37" t="s">
        <v>85</v>
      </c>
      <c r="W18" s="37" t="s">
        <v>79</v>
      </c>
    </row>
    <row r="19" spans="1:25">
      <c r="A19" s="111" t="s">
        <v>481</v>
      </c>
      <c r="B19" s="27" t="s">
        <v>133</v>
      </c>
      <c r="D19" s="216">
        <f>F87*E10</f>
        <v>0.44377569147881474</v>
      </c>
      <c r="K19" s="111" t="s">
        <v>658</v>
      </c>
      <c r="Q19" s="111"/>
    </row>
    <row r="20" spans="1:25">
      <c r="A20" s="27" t="s">
        <v>136</v>
      </c>
      <c r="B20" s="27" t="s">
        <v>22</v>
      </c>
      <c r="D20" s="216">
        <f>F13*D19</f>
        <v>40.033005128303877</v>
      </c>
      <c r="G20" s="195">
        <f>Parameters!C20</f>
        <v>35315</v>
      </c>
      <c r="H20" s="111" t="s">
        <v>485</v>
      </c>
      <c r="I20" s="111"/>
      <c r="K20" s="111" t="s">
        <v>482</v>
      </c>
    </row>
    <row r="21" spans="1:25">
      <c r="A21" s="269" t="s">
        <v>800</v>
      </c>
      <c r="B21" s="269" t="s">
        <v>23</v>
      </c>
      <c r="D21" s="216"/>
      <c r="G21" s="195"/>
      <c r="H21" s="111"/>
      <c r="I21" s="111"/>
      <c r="K21" s="269" t="s">
        <v>801</v>
      </c>
    </row>
    <row r="22" spans="1:25">
      <c r="A22" s="206" t="s">
        <v>678</v>
      </c>
      <c r="B22" s="206" t="s">
        <v>679</v>
      </c>
      <c r="D22" s="216"/>
      <c r="E22" s="195">
        <v>11700</v>
      </c>
      <c r="F22" s="195"/>
      <c r="G22" s="269" t="s">
        <v>769</v>
      </c>
      <c r="H22" s="269" t="s">
        <v>771</v>
      </c>
      <c r="I22" s="111"/>
      <c r="K22" s="269" t="s">
        <v>770</v>
      </c>
    </row>
    <row r="23" spans="1:25">
      <c r="A23" s="27" t="s">
        <v>13</v>
      </c>
      <c r="B23" s="27" t="s">
        <v>137</v>
      </c>
      <c r="D23" s="213">
        <f>D20*G20/E22</f>
        <v>120.83466462444885</v>
      </c>
      <c r="I23" s="111"/>
      <c r="K23" s="269" t="s">
        <v>483</v>
      </c>
    </row>
    <row r="24" spans="1:25" s="126" customFormat="1">
      <c r="A24" s="126" t="s">
        <v>78</v>
      </c>
      <c r="B24" s="126" t="s">
        <v>30</v>
      </c>
      <c r="C24" s="217">
        <f>D28*-44/12</f>
        <v>-84.966161861607617</v>
      </c>
      <c r="D24" s="217">
        <f>F25*G24</f>
        <v>0</v>
      </c>
      <c r="K24" s="126" t="s">
        <v>448</v>
      </c>
      <c r="X24" s="126" t="e">
        <f>#REF!*1.1</f>
        <v>#REF!</v>
      </c>
      <c r="Y24" s="126" t="s">
        <v>60</v>
      </c>
    </row>
    <row r="25" spans="1:25" s="116" customFormat="1">
      <c r="A25" s="116" t="s">
        <v>486</v>
      </c>
      <c r="B25" s="116" t="s">
        <v>447</v>
      </c>
      <c r="C25" s="211"/>
      <c r="D25" s="211"/>
      <c r="F25" s="220">
        <f>Parameters!J27</f>
        <v>145.73955722402675</v>
      </c>
      <c r="J25" s="116" t="s">
        <v>848</v>
      </c>
      <c r="K25" s="116" t="s">
        <v>846</v>
      </c>
    </row>
    <row r="26" spans="1:25" s="116" customFormat="1">
      <c r="A26" s="116" t="s">
        <v>673</v>
      </c>
      <c r="B26" s="116" t="s">
        <v>23</v>
      </c>
      <c r="C26" s="211"/>
      <c r="D26" s="211"/>
      <c r="F26" s="205">
        <f>Parameters!O27</f>
        <v>0.84099999999999997</v>
      </c>
      <c r="J26" s="116" t="s">
        <v>848</v>
      </c>
      <c r="K26" s="116" t="s">
        <v>845</v>
      </c>
    </row>
    <row r="27" spans="1:25" s="42" customFormat="1">
      <c r="A27" s="42" t="s">
        <v>849</v>
      </c>
      <c r="C27" s="209"/>
      <c r="D27" s="209"/>
      <c r="E27" s="278"/>
      <c r="F27" s="279"/>
      <c r="J27" s="42" t="s">
        <v>847</v>
      </c>
      <c r="K27" s="42" t="s">
        <v>635</v>
      </c>
    </row>
    <row r="28" spans="1:25" s="47" customFormat="1">
      <c r="A28" s="116" t="s">
        <v>539</v>
      </c>
      <c r="B28" s="203" t="s">
        <v>603</v>
      </c>
      <c r="C28" s="212"/>
      <c r="D28" s="211">
        <f>F25*(1-F26)*G29</f>
        <v>23.172589598620259</v>
      </c>
      <c r="F28" s="169"/>
      <c r="G28" s="277"/>
      <c r="H28" s="276"/>
      <c r="I28" s="276"/>
      <c r="K28" s="116" t="s">
        <v>890</v>
      </c>
    </row>
    <row r="29" spans="1:25">
      <c r="A29" s="269" t="s">
        <v>768</v>
      </c>
      <c r="B29" s="269" t="s">
        <v>850</v>
      </c>
      <c r="G29" s="195">
        <v>1</v>
      </c>
      <c r="H29" s="282">
        <f>D28/0.3/1000</f>
        <v>7.7241965328734202E-2</v>
      </c>
      <c r="I29" s="29"/>
      <c r="J29" s="29"/>
      <c r="K29" s="269" t="s">
        <v>851</v>
      </c>
    </row>
    <row r="30" spans="1:25">
      <c r="B30" s="204" t="s">
        <v>634</v>
      </c>
      <c r="C30" s="218">
        <f>SUM(C14,C18,C24,C2)</f>
        <v>449.58178727380732</v>
      </c>
    </row>
    <row r="31" spans="1:25">
      <c r="A31" s="42" t="s">
        <v>113</v>
      </c>
      <c r="K31" s="111" t="s">
        <v>449</v>
      </c>
    </row>
    <row r="32" spans="1:25">
      <c r="C32" s="119">
        <v>3</v>
      </c>
    </row>
    <row r="34" spans="1:23">
      <c r="A34" s="39" t="s">
        <v>99</v>
      </c>
      <c r="H34" s="270" t="s">
        <v>722</v>
      </c>
      <c r="L34" s="37" t="s">
        <v>100</v>
      </c>
      <c r="M34" s="124"/>
      <c r="N34" s="37"/>
      <c r="O34" s="37"/>
      <c r="P34" s="123" t="s">
        <v>478</v>
      </c>
      <c r="Q34" s="37"/>
      <c r="R34" s="37"/>
      <c r="S34" s="37"/>
      <c r="T34" s="37"/>
      <c r="W34" s="111" t="s">
        <v>474</v>
      </c>
    </row>
    <row r="35" spans="1:23" ht="16">
      <c r="B35" s="111" t="s">
        <v>477</v>
      </c>
      <c r="C35" s="219"/>
      <c r="D35" s="119" t="s">
        <v>88</v>
      </c>
      <c r="K35" s="125" t="s">
        <v>98</v>
      </c>
      <c r="L35" s="125"/>
      <c r="M35" s="37"/>
      <c r="N35" s="123" t="s">
        <v>473</v>
      </c>
      <c r="O35" s="37" t="s">
        <v>96</v>
      </c>
      <c r="P35" s="37"/>
      <c r="Q35" s="37"/>
      <c r="R35" s="37"/>
      <c r="S35" s="37"/>
    </row>
    <row r="36" spans="1:23">
      <c r="A36" s="27" t="s">
        <v>95</v>
      </c>
      <c r="B36" s="111" t="s">
        <v>455</v>
      </c>
      <c r="C36" s="219" t="s">
        <v>97</v>
      </c>
      <c r="D36" s="219" t="s">
        <v>476</v>
      </c>
      <c r="E36" s="111" t="s">
        <v>457</v>
      </c>
      <c r="F36" s="111" t="s">
        <v>456</v>
      </c>
      <c r="G36" s="37" t="s">
        <v>94</v>
      </c>
      <c r="H36" s="37"/>
      <c r="I36" s="37" t="s">
        <v>93</v>
      </c>
      <c r="J36" s="37" t="s">
        <v>92</v>
      </c>
      <c r="K36" s="37" t="s">
        <v>91</v>
      </c>
      <c r="L36" s="37" t="s">
        <v>90</v>
      </c>
      <c r="M36" s="37" t="s">
        <v>89</v>
      </c>
      <c r="N36" s="37" t="s">
        <v>88</v>
      </c>
      <c r="O36" s="37" t="s">
        <v>87</v>
      </c>
    </row>
    <row r="37" spans="1:23">
      <c r="A37" s="27">
        <v>1</v>
      </c>
      <c r="B37" s="27">
        <f t="shared" ref="B37:B68" si="0">$F$7*EXP(-$F$7*A37)</f>
        <v>0.12468783572052551</v>
      </c>
      <c r="C37" s="119">
        <v>0.1</v>
      </c>
      <c r="D37" s="119">
        <v>0</v>
      </c>
      <c r="E37" s="29">
        <f>B37*(1-C37)*(1-D37)</f>
        <v>0.11221905214847296</v>
      </c>
      <c r="F37" s="47">
        <f>B37*(1-C37)*D37</f>
        <v>0</v>
      </c>
      <c r="G37" s="37">
        <f t="shared" ref="G37:G68" si="1">EXP(-$F$7*(A37-1))</f>
        <v>1</v>
      </c>
      <c r="H37" s="37"/>
      <c r="I37" s="37">
        <f t="shared" ref="I37:I68" si="2">1-EXP(-$F$7)</f>
        <v>0.13411225194079501</v>
      </c>
      <c r="J37" s="37">
        <f>1-$E$8</f>
        <v>0.9</v>
      </c>
      <c r="K37" s="37" t="e">
        <f>1-#REF!</f>
        <v>#REF!</v>
      </c>
      <c r="L37" s="37" t="e">
        <f t="shared" ref="L37:L68" si="3">G37*I37*K37*J37</f>
        <v>#REF!</v>
      </c>
      <c r="M37" s="37">
        <f t="shared" ref="M37:M68" si="4">G37*I37*(1-$J$37)</f>
        <v>1.3411225194079498E-2</v>
      </c>
      <c r="N37" s="37" t="e">
        <f>G37*I37*#REF!*J37</f>
        <v>#REF!</v>
      </c>
      <c r="O37" s="37">
        <f t="shared" ref="O37:O68" si="5">G37*I37</f>
        <v>0.13411225194079501</v>
      </c>
    </row>
    <row r="38" spans="1:23">
      <c r="A38" s="27">
        <v>2</v>
      </c>
      <c r="B38" s="27">
        <f t="shared" si="0"/>
        <v>0.10796566928242193</v>
      </c>
      <c r="C38" s="119">
        <v>0.1</v>
      </c>
      <c r="D38" s="119">
        <v>0.5</v>
      </c>
      <c r="E38" s="29">
        <f t="shared" ref="E38:E86" si="6">B38*(1-C38)*(1-D38)</f>
        <v>4.8584551177089874E-2</v>
      </c>
      <c r="F38" s="47">
        <f t="shared" ref="F38:F86" si="7">B38*(1-C38)*D38</f>
        <v>4.8584551177089874E-2</v>
      </c>
      <c r="G38" s="37">
        <f t="shared" si="1"/>
        <v>0.86588774805920499</v>
      </c>
      <c r="H38" s="37"/>
      <c r="I38" s="37">
        <f t="shared" si="2"/>
        <v>0.13411225194079501</v>
      </c>
      <c r="J38" s="37">
        <v>0.8</v>
      </c>
      <c r="K38" s="37" t="e">
        <f>1-#REF!</f>
        <v>#REF!</v>
      </c>
      <c r="L38" s="37" t="e">
        <f t="shared" si="3"/>
        <v>#REF!</v>
      </c>
      <c r="M38" s="37">
        <f t="shared" si="4"/>
        <v>1.1612615582016371E-2</v>
      </c>
      <c r="N38" s="37" t="e">
        <f>G38*I38*#REF!*J38</f>
        <v>#REF!</v>
      </c>
      <c r="O38" s="37">
        <f t="shared" si="5"/>
        <v>0.11612615582016374</v>
      </c>
    </row>
    <row r="39" spans="1:23">
      <c r="A39" s="27">
        <v>3</v>
      </c>
      <c r="B39" s="27">
        <f t="shared" si="0"/>
        <v>9.3486150242661228E-2</v>
      </c>
      <c r="C39" s="119">
        <v>0.1</v>
      </c>
      <c r="D39" s="119">
        <v>0.5</v>
      </c>
      <c r="E39" s="29">
        <f t="shared" si="6"/>
        <v>4.2068767609197553E-2</v>
      </c>
      <c r="F39" s="47">
        <f t="shared" si="7"/>
        <v>4.2068767609197553E-2</v>
      </c>
      <c r="G39" s="37">
        <f t="shared" si="1"/>
        <v>0.74976159223904126</v>
      </c>
      <c r="H39" s="37"/>
      <c r="I39" s="37">
        <f t="shared" si="2"/>
        <v>0.13411225194079501</v>
      </c>
      <c r="J39" s="37">
        <v>0.8</v>
      </c>
      <c r="K39" s="37" t="e">
        <f>1-#REF!</f>
        <v>#REF!</v>
      </c>
      <c r="L39" s="37" t="e">
        <f t="shared" si="3"/>
        <v>#REF!</v>
      </c>
      <c r="M39" s="37">
        <f t="shared" si="4"/>
        <v>1.005522155538939E-2</v>
      </c>
      <c r="N39" s="37" t="e">
        <f>G39*I39*#REF!*J39</f>
        <v>#REF!</v>
      </c>
      <c r="O39" s="37">
        <f t="shared" si="5"/>
        <v>0.10055221555389392</v>
      </c>
    </row>
    <row r="40" spans="1:23">
      <c r="A40" s="27">
        <v>4</v>
      </c>
      <c r="B40" s="27">
        <f t="shared" si="0"/>
        <v>8.0948512108342419E-2</v>
      </c>
      <c r="C40" s="119">
        <v>0.1</v>
      </c>
      <c r="D40" s="119">
        <v>0.5</v>
      </c>
      <c r="E40" s="29">
        <f t="shared" si="6"/>
        <v>3.642683044875409E-2</v>
      </c>
      <c r="F40" s="47">
        <f t="shared" si="7"/>
        <v>3.642683044875409E-2</v>
      </c>
      <c r="G40" s="37">
        <f t="shared" si="1"/>
        <v>0.64920937668514744</v>
      </c>
      <c r="H40" s="37"/>
      <c r="I40" s="37">
        <f t="shared" si="2"/>
        <v>0.13411225194079501</v>
      </c>
      <c r="J40" s="37">
        <v>0.8</v>
      </c>
      <c r="K40" s="37" t="e">
        <f>1-#REF!</f>
        <v>#REF!</v>
      </c>
      <c r="L40" s="37" t="e">
        <f t="shared" si="3"/>
        <v>#REF!</v>
      </c>
      <c r="M40" s="37">
        <f t="shared" si="4"/>
        <v>8.7066931488324964E-3</v>
      </c>
      <c r="N40" s="37" t="e">
        <f>G40*I40*#REF!*J40</f>
        <v>#REF!</v>
      </c>
      <c r="O40" s="37">
        <f t="shared" si="5"/>
        <v>8.7066931488324992E-2</v>
      </c>
    </row>
    <row r="41" spans="1:23">
      <c r="A41" s="27">
        <v>5</v>
      </c>
      <c r="B41" s="27">
        <f t="shared" si="0"/>
        <v>7.009232485823591E-2</v>
      </c>
      <c r="C41" s="119">
        <v>0.1</v>
      </c>
      <c r="D41" s="119">
        <v>0.75</v>
      </c>
      <c r="E41" s="29">
        <f t="shared" si="6"/>
        <v>1.5770773093103079E-2</v>
      </c>
      <c r="F41" s="47">
        <f t="shared" si="7"/>
        <v>4.7312319279309234E-2</v>
      </c>
      <c r="G41" s="37">
        <f t="shared" si="1"/>
        <v>0.56214244519682244</v>
      </c>
      <c r="H41" s="37"/>
      <c r="I41" s="37">
        <f t="shared" si="2"/>
        <v>0.13411225194079501</v>
      </c>
      <c r="J41" s="37">
        <v>0.8</v>
      </c>
      <c r="K41" s="37" t="e">
        <f>1-#REF!</f>
        <v>#REF!</v>
      </c>
      <c r="L41" s="37" t="e">
        <f t="shared" si="3"/>
        <v>#REF!</v>
      </c>
      <c r="M41" s="37">
        <f t="shared" si="4"/>
        <v>7.5390189236850778E-3</v>
      </c>
      <c r="N41" s="37" t="e">
        <f>G41*I41*#REF!*J41</f>
        <v>#REF!</v>
      </c>
      <c r="O41" s="37">
        <f t="shared" si="5"/>
        <v>7.5390189236850799E-2</v>
      </c>
    </row>
    <row r="42" spans="1:23">
      <c r="A42" s="27">
        <v>6</v>
      </c>
      <c r="B42" s="27">
        <f t="shared" si="0"/>
        <v>6.0692085327732133E-2</v>
      </c>
      <c r="C42" s="119">
        <v>0.1</v>
      </c>
      <c r="D42" s="119">
        <v>0.75</v>
      </c>
      <c r="E42" s="29">
        <f t="shared" si="6"/>
        <v>1.365571919873973E-2</v>
      </c>
      <c r="F42" s="47">
        <f t="shared" si="7"/>
        <v>4.0967157596219189E-2</v>
      </c>
      <c r="G42" s="37">
        <f t="shared" si="1"/>
        <v>0.48675225595997168</v>
      </c>
      <c r="H42" s="37"/>
      <c r="I42" s="37">
        <f t="shared" si="2"/>
        <v>0.13411225194079501</v>
      </c>
      <c r="J42" s="37">
        <v>0.8</v>
      </c>
      <c r="K42" s="37" t="e">
        <f>1-#REF!</f>
        <v>#REF!</v>
      </c>
      <c r="L42" s="37" t="e">
        <f t="shared" si="3"/>
        <v>#REF!</v>
      </c>
      <c r="M42" s="37">
        <f t="shared" si="4"/>
        <v>6.5279441184054043E-3</v>
      </c>
      <c r="N42" s="37" t="e">
        <f>G42*I42*#REF!*J42</f>
        <v>#REF!</v>
      </c>
      <c r="O42" s="37">
        <f t="shared" si="5"/>
        <v>6.5279441184054057E-2</v>
      </c>
    </row>
    <row r="43" spans="1:23">
      <c r="A43" s="27">
        <v>7</v>
      </c>
      <c r="B43" s="27">
        <f t="shared" si="0"/>
        <v>5.2552533089447094E-2</v>
      </c>
      <c r="C43" s="119">
        <v>0.1</v>
      </c>
      <c r="D43" s="119">
        <v>0.75</v>
      </c>
      <c r="E43" s="29">
        <f t="shared" si="6"/>
        <v>1.1824319945125596E-2</v>
      </c>
      <c r="F43" s="47">
        <f t="shared" si="7"/>
        <v>3.5472959835376787E-2</v>
      </c>
      <c r="G43" s="37">
        <f t="shared" si="1"/>
        <v>0.42147281477591764</v>
      </c>
      <c r="H43" s="37"/>
      <c r="I43" s="37">
        <f t="shared" si="2"/>
        <v>0.13411225194079501</v>
      </c>
      <c r="J43" s="37">
        <v>0.8</v>
      </c>
      <c r="K43" s="37" t="e">
        <f>1-#REF!</f>
        <v>#REF!</v>
      </c>
      <c r="L43" s="37" t="e">
        <f t="shared" si="3"/>
        <v>#REF!</v>
      </c>
      <c r="M43" s="37">
        <f t="shared" si="4"/>
        <v>5.6524668321423881E-3</v>
      </c>
      <c r="N43" s="37" t="e">
        <f>G43*I43*#REF!*J43</f>
        <v>#REF!</v>
      </c>
      <c r="O43" s="37">
        <f t="shared" si="5"/>
        <v>5.6524668321423895E-2</v>
      </c>
    </row>
    <row r="44" spans="1:23">
      <c r="A44" s="27">
        <v>8</v>
      </c>
      <c r="B44" s="27">
        <f t="shared" si="0"/>
        <v>4.5504594531628202E-2</v>
      </c>
      <c r="C44" s="119">
        <v>0.1</v>
      </c>
      <c r="D44" s="119">
        <v>0.75</v>
      </c>
      <c r="E44" s="29">
        <f t="shared" si="6"/>
        <v>1.0238533769616346E-2</v>
      </c>
      <c r="F44" s="47">
        <f t="shared" si="7"/>
        <v>3.0715601308849039E-2</v>
      </c>
      <c r="G44" s="37">
        <f t="shared" si="1"/>
        <v>0.36494814645449375</v>
      </c>
      <c r="H44" s="37"/>
      <c r="I44" s="37">
        <f t="shared" si="2"/>
        <v>0.13411225194079501</v>
      </c>
      <c r="J44" s="37">
        <v>0.8</v>
      </c>
      <c r="K44" s="37" t="e">
        <f>1-#REF!</f>
        <v>#REF!</v>
      </c>
      <c r="L44" s="37" t="e">
        <f t="shared" si="3"/>
        <v>#REF!</v>
      </c>
      <c r="M44" s="37">
        <f t="shared" si="4"/>
        <v>4.8944017762631211E-3</v>
      </c>
      <c r="N44" s="37" t="e">
        <f>G44*I44*#REF!*J44</f>
        <v>#REF!</v>
      </c>
      <c r="O44" s="37">
        <f t="shared" si="5"/>
        <v>4.8944017762631221E-2</v>
      </c>
    </row>
    <row r="45" spans="1:23">
      <c r="A45" s="27">
        <v>9</v>
      </c>
      <c r="B45" s="27">
        <f t="shared" si="0"/>
        <v>3.9401870885338766E-2</v>
      </c>
      <c r="C45" s="119">
        <v>0.1</v>
      </c>
      <c r="D45" s="119">
        <v>0.75</v>
      </c>
      <c r="E45" s="29">
        <f t="shared" si="6"/>
        <v>8.8654209492012234E-3</v>
      </c>
      <c r="F45" s="47">
        <f t="shared" si="7"/>
        <v>2.659626284760367E-2</v>
      </c>
      <c r="G45" s="37">
        <f t="shared" si="1"/>
        <v>0.31600412869186256</v>
      </c>
      <c r="H45" s="37"/>
      <c r="I45" s="37">
        <f t="shared" si="2"/>
        <v>0.13411225194079501</v>
      </c>
      <c r="J45" s="37">
        <v>0.8</v>
      </c>
      <c r="K45" s="37" t="e">
        <f>1-#REF!</f>
        <v>#REF!</v>
      </c>
      <c r="L45" s="37" t="e">
        <f t="shared" si="3"/>
        <v>#REF!</v>
      </c>
      <c r="M45" s="37">
        <f t="shared" si="4"/>
        <v>4.2380025321454478E-3</v>
      </c>
      <c r="N45" s="37" t="e">
        <f>G45*I45*#REF!*J45</f>
        <v>#REF!</v>
      </c>
      <c r="O45" s="37">
        <f t="shared" si="5"/>
        <v>4.2380025321454483E-2</v>
      </c>
    </row>
    <row r="46" spans="1:23">
      <c r="A46" s="27">
        <v>10</v>
      </c>
      <c r="B46" s="27">
        <f t="shared" si="0"/>
        <v>3.4117597250225534E-2</v>
      </c>
      <c r="C46" s="119">
        <v>0.1</v>
      </c>
      <c r="D46" s="119">
        <v>0.75</v>
      </c>
      <c r="E46" s="29">
        <f t="shared" si="6"/>
        <v>7.6764593813007454E-3</v>
      </c>
      <c r="F46" s="47">
        <f t="shared" si="7"/>
        <v>2.3029378143902237E-2</v>
      </c>
      <c r="G46" s="37">
        <f t="shared" si="1"/>
        <v>0.2736241033704081</v>
      </c>
      <c r="H46" s="37"/>
      <c r="I46" s="37">
        <f t="shared" si="2"/>
        <v>0.13411225194079501</v>
      </c>
      <c r="J46" s="37">
        <v>0.8</v>
      </c>
      <c r="K46" s="37" t="e">
        <f>1-#REF!</f>
        <v>#REF!</v>
      </c>
      <c r="L46" s="37" t="e">
        <f t="shared" si="3"/>
        <v>#REF!</v>
      </c>
      <c r="M46" s="37">
        <f t="shared" si="4"/>
        <v>3.6696344688286302E-3</v>
      </c>
      <c r="N46" s="37" t="e">
        <f>G46*I46*#REF!*J46</f>
        <v>#REF!</v>
      </c>
      <c r="O46" s="37">
        <f t="shared" si="5"/>
        <v>3.6696344688286309E-2</v>
      </c>
    </row>
    <row r="47" spans="1:23">
      <c r="A47" s="27">
        <v>11</v>
      </c>
      <c r="B47" s="27">
        <f t="shared" si="0"/>
        <v>2.9542009452188715E-2</v>
      </c>
      <c r="C47" s="119">
        <v>0.1</v>
      </c>
      <c r="D47" s="119">
        <v>0.75</v>
      </c>
      <c r="E47" s="29">
        <f t="shared" si="6"/>
        <v>6.6469521267424605E-3</v>
      </c>
      <c r="F47" s="47">
        <f t="shared" si="7"/>
        <v>1.9940856380227381E-2</v>
      </c>
      <c r="G47" s="37">
        <f t="shared" si="1"/>
        <v>0.23692775868212176</v>
      </c>
      <c r="H47" s="37"/>
      <c r="I47" s="37">
        <f t="shared" si="2"/>
        <v>0.13411225194079501</v>
      </c>
      <c r="J47" s="37">
        <v>0.8</v>
      </c>
      <c r="K47" s="37" t="e">
        <f>1-#REF!</f>
        <v>#REF!</v>
      </c>
      <c r="L47" s="37" t="e">
        <f t="shared" si="3"/>
        <v>#REF!</v>
      </c>
      <c r="M47" s="37">
        <f t="shared" si="4"/>
        <v>3.1774915264144591E-3</v>
      </c>
      <c r="N47" s="37" t="e">
        <f>G47*I47*#REF!*J47</f>
        <v>#REF!</v>
      </c>
      <c r="O47" s="37">
        <f t="shared" si="5"/>
        <v>3.1774915264144596E-2</v>
      </c>
    </row>
    <row r="48" spans="1:23">
      <c r="A48" s="27">
        <v>12</v>
      </c>
      <c r="B48" s="27">
        <f t="shared" si="0"/>
        <v>2.5580064037699433E-2</v>
      </c>
      <c r="C48" s="119">
        <v>0.1</v>
      </c>
      <c r="D48" s="119">
        <v>0.75</v>
      </c>
      <c r="E48" s="29">
        <f t="shared" si="6"/>
        <v>5.7555144084823727E-3</v>
      </c>
      <c r="F48" s="47">
        <f t="shared" si="7"/>
        <v>1.7266543225447118E-2</v>
      </c>
      <c r="G48" s="37">
        <f t="shared" si="1"/>
        <v>0.20515284341797721</v>
      </c>
      <c r="H48" s="37"/>
      <c r="I48" s="37">
        <f t="shared" si="2"/>
        <v>0.13411225194079501</v>
      </c>
      <c r="J48" s="37">
        <v>0.8</v>
      </c>
      <c r="K48" s="37" t="e">
        <f>1-#REF!</f>
        <v>#REF!</v>
      </c>
      <c r="L48" s="37" t="e">
        <f t="shared" si="3"/>
        <v>#REF!</v>
      </c>
      <c r="M48" s="37">
        <f t="shared" si="4"/>
        <v>2.7513509822842223E-3</v>
      </c>
      <c r="N48" s="37" t="e">
        <f>G48*I48*#REF!*J48</f>
        <v>#REF!</v>
      </c>
      <c r="O48" s="37">
        <f t="shared" si="5"/>
        <v>2.751350982284223E-2</v>
      </c>
    </row>
    <row r="49" spans="1:15">
      <c r="A49" s="27">
        <v>13</v>
      </c>
      <c r="B49" s="27">
        <f t="shared" si="0"/>
        <v>2.214946404481382E-2</v>
      </c>
      <c r="C49" s="119">
        <v>0.1</v>
      </c>
      <c r="D49" s="119">
        <v>0.75</v>
      </c>
      <c r="E49" s="29">
        <f t="shared" si="6"/>
        <v>4.9836294100831097E-3</v>
      </c>
      <c r="F49" s="47">
        <f t="shared" si="7"/>
        <v>1.4950888230249329E-2</v>
      </c>
      <c r="G49" s="37">
        <f t="shared" si="1"/>
        <v>0.17763933359513498</v>
      </c>
      <c r="H49" s="37"/>
      <c r="I49" s="37">
        <f t="shared" si="2"/>
        <v>0.13411225194079501</v>
      </c>
      <c r="J49" s="37">
        <v>0.8</v>
      </c>
      <c r="K49" s="37" t="e">
        <f>1-#REF!</f>
        <v>#REF!</v>
      </c>
      <c r="L49" s="37" t="e">
        <f t="shared" si="3"/>
        <v>#REF!</v>
      </c>
      <c r="M49" s="37">
        <f t="shared" si="4"/>
        <v>2.3823611061705666E-3</v>
      </c>
      <c r="N49" s="37" t="e">
        <f>G49*I49*#REF!*J49</f>
        <v>#REF!</v>
      </c>
      <c r="O49" s="37">
        <f t="shared" si="5"/>
        <v>2.3823611061705673E-2</v>
      </c>
    </row>
    <row r="50" spans="1:15">
      <c r="A50" s="27">
        <v>14</v>
      </c>
      <c r="B50" s="27">
        <f t="shared" si="0"/>
        <v>1.9178949542482164E-2</v>
      </c>
      <c r="C50" s="119">
        <v>0.1</v>
      </c>
      <c r="D50" s="119">
        <v>0.75</v>
      </c>
      <c r="E50" s="29">
        <f t="shared" si="6"/>
        <v>4.3152636470584873E-3</v>
      </c>
      <c r="F50" s="47">
        <f t="shared" si="7"/>
        <v>1.2945790941175463E-2</v>
      </c>
      <c r="G50" s="37">
        <f t="shared" si="1"/>
        <v>0.15381572253342932</v>
      </c>
      <c r="H50" s="37"/>
      <c r="I50" s="37">
        <f t="shared" si="2"/>
        <v>0.13411225194079501</v>
      </c>
      <c r="J50" s="37">
        <v>0.8</v>
      </c>
      <c r="K50" s="37" t="e">
        <f>1-#REF!</f>
        <v>#REF!</v>
      </c>
      <c r="L50" s="37" t="e">
        <f t="shared" si="3"/>
        <v>#REF!</v>
      </c>
      <c r="M50" s="37">
        <f t="shared" si="4"/>
        <v>2.0628572932858691E-3</v>
      </c>
      <c r="N50" s="37" t="e">
        <f>G50*I50*#REF!*J50</f>
        <v>#REF!</v>
      </c>
      <c r="O50" s="37">
        <f t="shared" si="5"/>
        <v>2.0628572932858694E-2</v>
      </c>
    </row>
    <row r="51" spans="1:15">
      <c r="A51" s="27">
        <v>15</v>
      </c>
      <c r="B51" s="27">
        <f t="shared" si="0"/>
        <v>1.6606817429481006E-2</v>
      </c>
      <c r="C51" s="119">
        <v>0.1</v>
      </c>
      <c r="D51" s="119">
        <v>0.82499999999999996</v>
      </c>
      <c r="E51" s="29">
        <f t="shared" si="6"/>
        <v>2.6155737451432591E-3</v>
      </c>
      <c r="F51" s="47">
        <f t="shared" si="7"/>
        <v>1.2330561941389647E-2</v>
      </c>
      <c r="G51" s="37">
        <f t="shared" si="1"/>
        <v>0.1331871496005706</v>
      </c>
      <c r="H51" s="37"/>
      <c r="I51" s="37">
        <f t="shared" si="2"/>
        <v>0.13411225194079501</v>
      </c>
      <c r="J51" s="37">
        <v>0.8</v>
      </c>
      <c r="K51" s="37" t="e">
        <f>1-#REF!</f>
        <v>#REF!</v>
      </c>
      <c r="L51" s="37" t="e">
        <f t="shared" si="3"/>
        <v>#REF!</v>
      </c>
      <c r="M51" s="37">
        <f t="shared" si="4"/>
        <v>1.7862028562508076E-3</v>
      </c>
      <c r="N51" s="37" t="e">
        <f>G51*I51*#REF!*J51</f>
        <v>#REF!</v>
      </c>
      <c r="O51" s="37">
        <f t="shared" si="5"/>
        <v>1.786202856250808E-2</v>
      </c>
    </row>
    <row r="52" spans="1:15">
      <c r="A52" s="27">
        <v>16</v>
      </c>
      <c r="B52" s="27">
        <f t="shared" si="0"/>
        <v>1.4379639746443663E-2</v>
      </c>
      <c r="C52" s="119">
        <v>0.1</v>
      </c>
      <c r="D52" s="119">
        <v>0.82499999999999996</v>
      </c>
      <c r="E52" s="29">
        <f t="shared" si="6"/>
        <v>2.2647932600648778E-3</v>
      </c>
      <c r="F52" s="47">
        <f t="shared" si="7"/>
        <v>1.0676882511734421E-2</v>
      </c>
      <c r="G52" s="37">
        <f t="shared" si="1"/>
        <v>0.11532512103806256</v>
      </c>
      <c r="H52" s="37"/>
      <c r="I52" s="37">
        <f t="shared" si="2"/>
        <v>0.13411225194079501</v>
      </c>
      <c r="J52" s="37">
        <v>0.8</v>
      </c>
      <c r="K52" s="37" t="e">
        <f>1-#REF!</f>
        <v>#REF!</v>
      </c>
      <c r="L52" s="37" t="e">
        <f t="shared" si="3"/>
        <v>#REF!</v>
      </c>
      <c r="M52" s="37">
        <f t="shared" si="4"/>
        <v>1.546651168775932E-3</v>
      </c>
      <c r="N52" s="37" t="e">
        <f>G52*I52*#REF!*J52</f>
        <v>#REF!</v>
      </c>
      <c r="O52" s="37">
        <f t="shared" si="5"/>
        <v>1.5466511687759324E-2</v>
      </c>
    </row>
    <row r="53" spans="1:15">
      <c r="A53" s="27">
        <v>17</v>
      </c>
      <c r="B53" s="27">
        <f t="shared" si="0"/>
        <v>1.2451153877950739E-2</v>
      </c>
      <c r="C53" s="119">
        <v>0.1</v>
      </c>
      <c r="D53" s="119">
        <v>0.82499999999999996</v>
      </c>
      <c r="E53" s="29">
        <f t="shared" si="6"/>
        <v>1.9610567357772422E-3</v>
      </c>
      <c r="F53" s="47">
        <f t="shared" si="7"/>
        <v>9.2449817543784236E-3</v>
      </c>
      <c r="G53" s="37">
        <f t="shared" si="1"/>
        <v>9.9858609350303232E-2</v>
      </c>
      <c r="H53" s="37"/>
      <c r="I53" s="37">
        <f t="shared" si="2"/>
        <v>0.13411225194079501</v>
      </c>
      <c r="J53" s="37">
        <v>0.75</v>
      </c>
      <c r="K53" s="37" t="e">
        <f>1-#REF!</f>
        <v>#REF!</v>
      </c>
      <c r="L53" s="37" t="e">
        <f t="shared" si="3"/>
        <v>#REF!</v>
      </c>
      <c r="M53" s="37">
        <f t="shared" si="4"/>
        <v>1.3392262975645292E-3</v>
      </c>
      <c r="N53" s="37" t="e">
        <f>G53*I53*#REF!*J53</f>
        <v>#REF!</v>
      </c>
      <c r="O53" s="37">
        <f t="shared" si="5"/>
        <v>1.3392262975645296E-2</v>
      </c>
    </row>
    <row r="54" spans="1:15">
      <c r="A54" s="27">
        <v>18</v>
      </c>
      <c r="B54" s="27">
        <f t="shared" si="0"/>
        <v>1.0781301592117407E-2</v>
      </c>
      <c r="C54" s="119">
        <v>0.1</v>
      </c>
      <c r="D54" s="119">
        <v>0.9</v>
      </c>
      <c r="E54" s="29">
        <f t="shared" si="6"/>
        <v>9.7031714329056642E-4</v>
      </c>
      <c r="F54" s="47">
        <f t="shared" si="7"/>
        <v>8.7328542896150992E-3</v>
      </c>
      <c r="G54" s="37">
        <f t="shared" si="1"/>
        <v>8.6466346374657915E-2</v>
      </c>
      <c r="H54" s="37"/>
      <c r="I54" s="37">
        <f t="shared" si="2"/>
        <v>0.13411225194079501</v>
      </c>
      <c r="J54" s="37">
        <v>0.75</v>
      </c>
      <c r="K54" s="37" t="e">
        <f>1-#REF!</f>
        <v>#REF!</v>
      </c>
      <c r="L54" s="37" t="e">
        <f t="shared" si="3"/>
        <v>#REF!</v>
      </c>
      <c r="M54" s="37">
        <f t="shared" si="4"/>
        <v>1.1596196429398166E-3</v>
      </c>
      <c r="N54" s="37" t="e">
        <f>G54*I54*#REF!*J54</f>
        <v>#REF!</v>
      </c>
      <c r="O54" s="37">
        <f t="shared" si="5"/>
        <v>1.1596196429398169E-2</v>
      </c>
    </row>
    <row r="55" spans="1:15">
      <c r="A55" s="27">
        <v>19</v>
      </c>
      <c r="B55" s="27">
        <f t="shared" si="0"/>
        <v>9.3353969567456611E-3</v>
      </c>
      <c r="C55" s="119">
        <v>0.1</v>
      </c>
      <c r="D55" s="119">
        <v>0.9</v>
      </c>
      <c r="E55" s="29">
        <f t="shared" si="6"/>
        <v>8.4018572610710936E-4</v>
      </c>
      <c r="F55" s="47">
        <f t="shared" si="7"/>
        <v>7.5616715349639861E-3</v>
      </c>
      <c r="G55" s="37">
        <f t="shared" si="1"/>
        <v>7.4870149945259784E-2</v>
      </c>
      <c r="H55" s="37"/>
      <c r="I55" s="37">
        <f t="shared" si="2"/>
        <v>0.13411225194079501</v>
      </c>
      <c r="J55" s="37">
        <v>0.75</v>
      </c>
      <c r="K55" s="37" t="e">
        <f>1-#REF!</f>
        <v>#REF!</v>
      </c>
      <c r="L55" s="37" t="e">
        <f t="shared" si="3"/>
        <v>#REF!</v>
      </c>
      <c r="M55" s="37">
        <f t="shared" si="4"/>
        <v>1.0041004412303779E-3</v>
      </c>
      <c r="N55" s="37" t="e">
        <f>G55*I55*#REF!*J55</f>
        <v>#REF!</v>
      </c>
      <c r="O55" s="37">
        <f t="shared" si="5"/>
        <v>1.0041004412303781E-2</v>
      </c>
    </row>
    <row r="56" spans="1:15">
      <c r="A56" s="27">
        <v>20</v>
      </c>
      <c r="B56" s="27">
        <f t="shared" si="0"/>
        <v>8.0834058481152552E-3</v>
      </c>
      <c r="C56" s="119">
        <v>0.1</v>
      </c>
      <c r="D56" s="119">
        <v>0.9</v>
      </c>
      <c r="E56" s="29">
        <f t="shared" si="6"/>
        <v>7.2750652633037289E-4</v>
      </c>
      <c r="F56" s="47">
        <f t="shared" si="7"/>
        <v>6.5475587369733575E-3</v>
      </c>
      <c r="G56" s="37">
        <f t="shared" si="1"/>
        <v>6.482914553295599E-2</v>
      </c>
      <c r="H56" s="37"/>
      <c r="I56" s="37">
        <f t="shared" si="2"/>
        <v>0.13411225194079501</v>
      </c>
      <c r="J56" s="37">
        <v>0.75</v>
      </c>
      <c r="K56" s="37" t="e">
        <f>1-#REF!</f>
        <v>#REF!</v>
      </c>
      <c r="L56" s="37" t="e">
        <f t="shared" si="3"/>
        <v>#REF!</v>
      </c>
      <c r="M56" s="37">
        <f t="shared" si="4"/>
        <v>8.6943826988222577E-4</v>
      </c>
      <c r="N56" s="37" t="e">
        <f>G56*I56*#REF!*J56</f>
        <v>#REF!</v>
      </c>
      <c r="O56" s="37">
        <f t="shared" si="5"/>
        <v>8.6943826988222592E-3</v>
      </c>
    </row>
    <row r="57" spans="1:15">
      <c r="A57" s="27">
        <v>21</v>
      </c>
      <c r="B57" s="27">
        <f t="shared" si="0"/>
        <v>6.9993220864731295E-3</v>
      </c>
      <c r="C57" s="119">
        <v>0.1</v>
      </c>
      <c r="D57" s="119">
        <v>0.9</v>
      </c>
      <c r="E57" s="29">
        <f t="shared" si="6"/>
        <v>6.2993898778258156E-4</v>
      </c>
      <c r="F57" s="47">
        <f t="shared" si="7"/>
        <v>5.6694508900432357E-3</v>
      </c>
      <c r="G57" s="37">
        <f t="shared" si="1"/>
        <v>5.6134762834133725E-2</v>
      </c>
      <c r="H57" s="37"/>
      <c r="I57" s="37">
        <f t="shared" si="2"/>
        <v>0.13411225194079501</v>
      </c>
      <c r="J57" s="37">
        <v>0.75</v>
      </c>
      <c r="K57" s="37" t="e">
        <f>1-#REF!</f>
        <v>#REF!</v>
      </c>
      <c r="L57" s="37" t="e">
        <f t="shared" si="3"/>
        <v>#REF!</v>
      </c>
      <c r="M57" s="37">
        <f t="shared" si="4"/>
        <v>7.5283594558481161E-4</v>
      </c>
      <c r="N57" s="37" t="e">
        <f>G57*I57*#REF!*J57</f>
        <v>#REF!</v>
      </c>
      <c r="O57" s="37">
        <f t="shared" si="5"/>
        <v>7.528359455848118E-3</v>
      </c>
    </row>
    <row r="58" spans="1:15">
      <c r="A58" s="27">
        <v>22</v>
      </c>
      <c r="B58" s="27">
        <f t="shared" si="0"/>
        <v>6.0606272393972736E-3</v>
      </c>
      <c r="C58" s="119">
        <v>0.1</v>
      </c>
      <c r="D58" s="119">
        <v>0.9</v>
      </c>
      <c r="E58" s="29">
        <f t="shared" si="6"/>
        <v>5.454564515457545E-4</v>
      </c>
      <c r="F58" s="47">
        <f t="shared" si="7"/>
        <v>4.9091080639117922E-3</v>
      </c>
      <c r="G58" s="37">
        <f t="shared" si="1"/>
        <v>4.8606403378285624E-2</v>
      </c>
      <c r="H58" s="37"/>
      <c r="I58" s="37">
        <f t="shared" si="2"/>
        <v>0.13411225194079501</v>
      </c>
      <c r="J58" s="37">
        <v>0.75</v>
      </c>
      <c r="K58" s="37" t="e">
        <f>1-#REF!</f>
        <v>#REF!</v>
      </c>
      <c r="L58" s="37" t="e">
        <f t="shared" si="3"/>
        <v>#REF!</v>
      </c>
      <c r="M58" s="37">
        <f t="shared" si="4"/>
        <v>6.5187142158045495E-4</v>
      </c>
      <c r="N58" s="37" t="e">
        <f>G58*I58*#REF!*J58</f>
        <v>#REF!</v>
      </c>
      <c r="O58" s="37">
        <f t="shared" si="5"/>
        <v>6.5187142158045514E-3</v>
      </c>
    </row>
    <row r="59" spans="1:15">
      <c r="A59" s="27">
        <v>23</v>
      </c>
      <c r="B59" s="27">
        <f t="shared" si="0"/>
        <v>5.2478228721479815E-3</v>
      </c>
      <c r="C59" s="119">
        <v>0.1</v>
      </c>
      <c r="D59" s="119">
        <v>0.9</v>
      </c>
      <c r="E59" s="29">
        <f t="shared" si="6"/>
        <v>4.7230405849331826E-4</v>
      </c>
      <c r="F59" s="47">
        <f t="shared" si="7"/>
        <v>4.2507365264398654E-3</v>
      </c>
      <c r="G59" s="37">
        <f t="shared" si="1"/>
        <v>4.2087689162481068E-2</v>
      </c>
      <c r="H59" s="37"/>
      <c r="I59" s="37">
        <f t="shared" si="2"/>
        <v>0.13411225194079501</v>
      </c>
      <c r="J59" s="37">
        <v>0.75</v>
      </c>
      <c r="K59" s="37" t="e">
        <f>1-#REF!</f>
        <v>#REF!</v>
      </c>
      <c r="L59" s="37" t="e">
        <f t="shared" si="3"/>
        <v>#REF!</v>
      </c>
      <c r="M59" s="37">
        <f t="shared" si="4"/>
        <v>5.6444747725645271E-4</v>
      </c>
      <c r="N59" s="37" t="e">
        <f>G59*I59*#REF!*J59</f>
        <v>#REF!</v>
      </c>
      <c r="O59" s="37">
        <f t="shared" si="5"/>
        <v>5.6444747725645289E-3</v>
      </c>
    </row>
    <row r="60" spans="1:15">
      <c r="A60" s="27">
        <v>24</v>
      </c>
      <c r="B60" s="27">
        <f t="shared" si="0"/>
        <v>4.5440255289778061E-3</v>
      </c>
      <c r="C60" s="119">
        <v>0.1</v>
      </c>
      <c r="D60" s="119">
        <v>0.9</v>
      </c>
      <c r="E60" s="29">
        <f t="shared" si="6"/>
        <v>4.089622976080025E-4</v>
      </c>
      <c r="F60" s="47">
        <f t="shared" si="7"/>
        <v>3.6806606784720234E-3</v>
      </c>
      <c r="G60" s="37">
        <f t="shared" si="1"/>
        <v>3.6443214389916538E-2</v>
      </c>
      <c r="H60" s="37"/>
      <c r="I60" s="37">
        <f t="shared" si="2"/>
        <v>0.13411225194079501</v>
      </c>
      <c r="J60" s="37">
        <v>0.75</v>
      </c>
      <c r="K60" s="37" t="e">
        <f>1-#REF!</f>
        <v>#REF!</v>
      </c>
      <c r="L60" s="37" t="e">
        <f t="shared" si="3"/>
        <v>#REF!</v>
      </c>
      <c r="M60" s="37">
        <f t="shared" si="4"/>
        <v>4.8874815497928917E-4</v>
      </c>
      <c r="N60" s="37" t="e">
        <f>G60*I60*#REF!*J60</f>
        <v>#REF!</v>
      </c>
      <c r="O60" s="37">
        <f t="shared" si="5"/>
        <v>4.8874815497928926E-3</v>
      </c>
    </row>
    <row r="61" spans="1:15">
      <c r="A61" s="27">
        <v>25</v>
      </c>
      <c r="B61" s="27">
        <f t="shared" si="0"/>
        <v>3.9346160324101294E-3</v>
      </c>
      <c r="C61" s="119">
        <v>0.1</v>
      </c>
      <c r="D61" s="119">
        <v>0.9</v>
      </c>
      <c r="E61" s="29">
        <f t="shared" si="6"/>
        <v>3.5411544291691154E-4</v>
      </c>
      <c r="F61" s="47">
        <f t="shared" si="7"/>
        <v>3.187038986252205E-3</v>
      </c>
      <c r="G61" s="37">
        <f t="shared" si="1"/>
        <v>3.1555732840123654E-2</v>
      </c>
      <c r="H61" s="37"/>
      <c r="I61" s="37">
        <f t="shared" si="2"/>
        <v>0.13411225194079501</v>
      </c>
      <c r="J61" s="37">
        <v>0.75</v>
      </c>
      <c r="K61" s="37" t="e">
        <f>1-#REF!</f>
        <v>#REF!</v>
      </c>
      <c r="L61" s="37" t="e">
        <f t="shared" si="3"/>
        <v>#REF!</v>
      </c>
      <c r="M61" s="37">
        <f t="shared" si="4"/>
        <v>4.2320103928310813E-4</v>
      </c>
      <c r="N61" s="37" t="e">
        <f>G61*I61*#REF!*J61</f>
        <v>#REF!</v>
      </c>
      <c r="O61" s="37">
        <f t="shared" si="5"/>
        <v>4.2320103928310824E-3</v>
      </c>
    </row>
    <row r="62" spans="1:15">
      <c r="A62" s="27">
        <v>26</v>
      </c>
      <c r="B62" s="27">
        <f t="shared" si="0"/>
        <v>3.406935815781251E-3</v>
      </c>
      <c r="C62" s="119">
        <v>0.1</v>
      </c>
      <c r="D62" s="119">
        <v>0.9</v>
      </c>
      <c r="E62" s="29">
        <f t="shared" si="6"/>
        <v>3.0662422342031255E-4</v>
      </c>
      <c r="F62" s="47">
        <f t="shared" si="7"/>
        <v>2.7596180107828136E-3</v>
      </c>
      <c r="G62" s="37">
        <f t="shared" si="1"/>
        <v>2.7323722447292569E-2</v>
      </c>
      <c r="H62" s="37"/>
      <c r="I62" s="37">
        <f t="shared" si="2"/>
        <v>0.13411225194079501</v>
      </c>
      <c r="J62" s="37">
        <v>0.75</v>
      </c>
      <c r="K62" s="37" t="e">
        <f>1-#REF!</f>
        <v>#REF!</v>
      </c>
      <c r="L62" s="37" t="e">
        <f t="shared" si="3"/>
        <v>#REF!</v>
      </c>
      <c r="M62" s="37">
        <f t="shared" si="4"/>
        <v>3.664445948811656E-4</v>
      </c>
      <c r="N62" s="37" t="e">
        <f>G62*I62*#REF!*J62</f>
        <v>#REF!</v>
      </c>
      <c r="O62" s="37">
        <f t="shared" si="5"/>
        <v>3.664445948811657E-3</v>
      </c>
    </row>
    <row r="63" spans="1:15">
      <c r="A63" s="27">
        <v>27</v>
      </c>
      <c r="B63" s="27">
        <f t="shared" si="0"/>
        <v>2.9500239813090774E-3</v>
      </c>
      <c r="C63" s="119">
        <v>0.1</v>
      </c>
      <c r="D63" s="119">
        <v>0.9</v>
      </c>
      <c r="E63" s="29">
        <f t="shared" si="6"/>
        <v>2.6550215831781695E-4</v>
      </c>
      <c r="F63" s="47">
        <f t="shared" si="7"/>
        <v>2.3895194248603527E-3</v>
      </c>
      <c r="G63" s="37">
        <f t="shared" si="1"/>
        <v>2.3659276498480913E-2</v>
      </c>
      <c r="H63" s="37"/>
      <c r="I63" s="37">
        <f t="shared" si="2"/>
        <v>0.13411225194079501</v>
      </c>
      <c r="J63" s="37">
        <v>0.75</v>
      </c>
      <c r="K63" s="37" t="e">
        <f>1-#REF!</f>
        <v>#REF!</v>
      </c>
      <c r="L63" s="37" t="e">
        <f t="shared" si="3"/>
        <v>#REF!</v>
      </c>
      <c r="M63" s="37">
        <f t="shared" si="4"/>
        <v>3.1729988505012021E-4</v>
      </c>
      <c r="N63" s="37" t="e">
        <f>G63*I63*#REF!*J63</f>
        <v>#REF!</v>
      </c>
      <c r="O63" s="37">
        <f t="shared" si="5"/>
        <v>3.1729988505012027E-3</v>
      </c>
    </row>
    <row r="64" spans="1:15">
      <c r="A64" s="27">
        <v>28</v>
      </c>
      <c r="B64" s="27">
        <f t="shared" si="0"/>
        <v>2.5543896218963671E-3</v>
      </c>
      <c r="C64" s="119">
        <v>0.1</v>
      </c>
      <c r="D64" s="119">
        <v>0.9</v>
      </c>
      <c r="E64" s="29">
        <f t="shared" si="6"/>
        <v>2.29895065970673E-4</v>
      </c>
      <c r="F64" s="47">
        <f t="shared" si="7"/>
        <v>2.0690555937360575E-3</v>
      </c>
      <c r="G64" s="37">
        <f t="shared" si="1"/>
        <v>2.0486277647979705E-2</v>
      </c>
      <c r="H64" s="37"/>
      <c r="I64" s="37">
        <f t="shared" si="2"/>
        <v>0.13411225194079501</v>
      </c>
      <c r="J64" s="37">
        <v>0.75</v>
      </c>
      <c r="K64" s="37" t="e">
        <f>1-#REF!</f>
        <v>#REF!</v>
      </c>
      <c r="L64" s="37" t="e">
        <f t="shared" si="3"/>
        <v>#REF!</v>
      </c>
      <c r="M64" s="37">
        <f t="shared" si="4"/>
        <v>2.7474608292549311E-4</v>
      </c>
      <c r="N64" s="37" t="e">
        <f>G64*I64*#REF!*J64</f>
        <v>#REF!</v>
      </c>
      <c r="O64" s="37">
        <f t="shared" si="5"/>
        <v>2.7474608292549318E-3</v>
      </c>
    </row>
    <row r="65" spans="1:15">
      <c r="A65" s="27">
        <v>29</v>
      </c>
      <c r="B65" s="27">
        <f t="shared" si="0"/>
        <v>2.2118146773696511E-3</v>
      </c>
      <c r="C65" s="119">
        <v>0.1</v>
      </c>
      <c r="D65" s="119">
        <v>0.9</v>
      </c>
      <c r="E65" s="29">
        <f t="shared" si="6"/>
        <v>1.9906332096326858E-4</v>
      </c>
      <c r="F65" s="47">
        <f t="shared" si="7"/>
        <v>1.7915698886694176E-3</v>
      </c>
      <c r="G65" s="37">
        <f t="shared" si="1"/>
        <v>1.7738816818724773E-2</v>
      </c>
      <c r="H65" s="37"/>
      <c r="I65" s="37">
        <f t="shared" si="2"/>
        <v>0.13411225194079501</v>
      </c>
      <c r="J65" s="37">
        <v>0.75</v>
      </c>
      <c r="K65" s="37" t="e">
        <f>1-#REF!</f>
        <v>#REF!</v>
      </c>
      <c r="L65" s="37" t="e">
        <f t="shared" si="3"/>
        <v>#REF!</v>
      </c>
      <c r="M65" s="37">
        <f t="shared" si="4"/>
        <v>2.3789926703244281E-4</v>
      </c>
      <c r="N65" s="37" t="e">
        <f>G65*I65*#REF!*J65</f>
        <v>#REF!</v>
      </c>
      <c r="O65" s="37">
        <f t="shared" si="5"/>
        <v>2.3789926703244287E-3</v>
      </c>
    </row>
    <row r="66" spans="1:15">
      <c r="A66" s="27">
        <v>30</v>
      </c>
      <c r="B66" s="27">
        <f t="shared" si="0"/>
        <v>1.9151832301119041E-3</v>
      </c>
      <c r="C66" s="119">
        <v>0.1</v>
      </c>
      <c r="D66" s="119">
        <v>0.9</v>
      </c>
      <c r="E66" s="29">
        <f t="shared" si="6"/>
        <v>1.7236649071007134E-4</v>
      </c>
      <c r="F66" s="47">
        <f t="shared" si="7"/>
        <v>1.5512984163906425E-3</v>
      </c>
      <c r="G66" s="37">
        <f t="shared" si="1"/>
        <v>1.5359824148400357E-2</v>
      </c>
      <c r="H66" s="37"/>
      <c r="I66" s="37">
        <f t="shared" si="2"/>
        <v>0.13411225194079501</v>
      </c>
      <c r="J66" s="37">
        <v>0.75</v>
      </c>
      <c r="K66" s="37" t="e">
        <f>1-#REF!</f>
        <v>#REF!</v>
      </c>
      <c r="L66" s="37" t="e">
        <f t="shared" si="3"/>
        <v>#REF!</v>
      </c>
      <c r="M66" s="37">
        <f t="shared" si="4"/>
        <v>2.0599406059565754E-4</v>
      </c>
      <c r="N66" s="37" t="e">
        <f>G66*I66*#REF!*J66</f>
        <v>#REF!</v>
      </c>
      <c r="O66" s="37">
        <f t="shared" si="5"/>
        <v>2.0599406059565758E-3</v>
      </c>
    </row>
    <row r="67" spans="1:15">
      <c r="A67" s="27">
        <v>31</v>
      </c>
      <c r="B67" s="27">
        <f t="shared" si="0"/>
        <v>1.6583336942423506E-3</v>
      </c>
      <c r="C67" s="119">
        <v>0.1</v>
      </c>
      <c r="D67" s="119">
        <v>0.9</v>
      </c>
      <c r="E67" s="29">
        <f t="shared" si="6"/>
        <v>1.4925003248181151E-4</v>
      </c>
      <c r="F67" s="47">
        <f t="shared" si="7"/>
        <v>1.3432502923363039E-3</v>
      </c>
      <c r="G67" s="37">
        <f t="shared" si="1"/>
        <v>1.3299883542443779E-2</v>
      </c>
      <c r="H67" s="37"/>
      <c r="I67" s="37">
        <f t="shared" si="2"/>
        <v>0.13411225194079501</v>
      </c>
      <c r="J67" s="37">
        <v>0.75</v>
      </c>
      <c r="K67" s="37" t="e">
        <f>1-#REF!</f>
        <v>#REF!</v>
      </c>
      <c r="L67" s="37" t="e">
        <f t="shared" si="3"/>
        <v>#REF!</v>
      </c>
      <c r="M67" s="37">
        <f t="shared" si="4"/>
        <v>1.783677332427453E-4</v>
      </c>
      <c r="N67" s="37" t="e">
        <f>G67*I67*#REF!*J67</f>
        <v>#REF!</v>
      </c>
      <c r="O67" s="37">
        <f t="shared" si="5"/>
        <v>1.7836773324274534E-3</v>
      </c>
    </row>
    <row r="68" spans="1:15">
      <c r="A68" s="27">
        <v>32</v>
      </c>
      <c r="B68" s="27">
        <f t="shared" si="0"/>
        <v>1.4359308280382109E-3</v>
      </c>
      <c r="C68" s="119">
        <v>0.1</v>
      </c>
      <c r="D68" s="119">
        <v>0.9</v>
      </c>
      <c r="E68" s="29">
        <f t="shared" si="6"/>
        <v>1.2923377452343896E-4</v>
      </c>
      <c r="F68" s="47">
        <f t="shared" si="7"/>
        <v>1.1631039707109508E-3</v>
      </c>
      <c r="G68" s="37">
        <f t="shared" si="1"/>
        <v>1.1516206210016325E-2</v>
      </c>
      <c r="H68" s="37"/>
      <c r="I68" s="37">
        <f t="shared" si="2"/>
        <v>0.13411225194079501</v>
      </c>
      <c r="J68" s="37">
        <v>0.75</v>
      </c>
      <c r="K68" s="37" t="e">
        <f>1-#REF!</f>
        <v>#REF!</v>
      </c>
      <c r="L68" s="37" t="e">
        <f t="shared" si="3"/>
        <v>#REF!</v>
      </c>
      <c r="M68" s="37">
        <f t="shared" si="4"/>
        <v>1.544464348639857E-4</v>
      </c>
      <c r="N68" s="37" t="e">
        <f>G68*I68*#REF!*J68</f>
        <v>#REF!</v>
      </c>
      <c r="O68" s="37">
        <f t="shared" si="5"/>
        <v>1.5444643486398574E-3</v>
      </c>
    </row>
    <row r="69" spans="1:15">
      <c r="A69" s="27">
        <v>33</v>
      </c>
      <c r="B69" s="27">
        <f t="shared" ref="B69:B86" si="8">$F$7*EXP(-$F$7*A69)</f>
        <v>1.243354911058796E-3</v>
      </c>
      <c r="C69" s="119">
        <v>0.1</v>
      </c>
      <c r="D69" s="119">
        <v>0.9</v>
      </c>
      <c r="E69" s="29">
        <f t="shared" si="6"/>
        <v>1.1190194199529161E-4</v>
      </c>
      <c r="F69" s="47">
        <f t="shared" si="7"/>
        <v>1.0071174779576247E-3</v>
      </c>
      <c r="G69" s="37">
        <f t="shared" ref="G69:G85" si="9">EXP(-$F$7*(A69-1))</f>
        <v>9.9717418613764659E-3</v>
      </c>
      <c r="H69" s="37"/>
      <c r="I69" s="37">
        <f t="shared" ref="I69:I85" si="10">1-EXP(-$F$7)</f>
        <v>0.13411225194079501</v>
      </c>
      <c r="J69" s="37">
        <v>0.75</v>
      </c>
      <c r="K69" s="37" t="e">
        <f>1-#REF!</f>
        <v>#REF!</v>
      </c>
      <c r="L69" s="37" t="e">
        <f t="shared" ref="L69:L85" si="11">G69*I69*K69*J69</f>
        <v>#REF!</v>
      </c>
      <c r="M69" s="37">
        <f t="shared" ref="M69:M85" si="12">G69*I69*(1-$J$37)</f>
        <v>1.3373327568014926E-4</v>
      </c>
      <c r="N69" s="37" t="e">
        <f>G69*I69*#REF!*J69</f>
        <v>#REF!</v>
      </c>
      <c r="O69" s="37">
        <f t="shared" ref="O69:O85" si="13">G69*I69</f>
        <v>1.3373327568014929E-3</v>
      </c>
    </row>
    <row r="70" spans="1:15">
      <c r="A70" s="27">
        <v>34</v>
      </c>
      <c r="B70" s="27">
        <f t="shared" si="8"/>
        <v>1.0766057839750539E-3</v>
      </c>
      <c r="C70" s="119">
        <v>0.1</v>
      </c>
      <c r="D70" s="119">
        <v>0.9</v>
      </c>
      <c r="E70" s="29">
        <f t="shared" si="6"/>
        <v>9.6894520557754845E-5</v>
      </c>
      <c r="F70" s="47">
        <f t="shared" si="7"/>
        <v>8.7205068501979379E-4</v>
      </c>
      <c r="G70" s="37">
        <f t="shared" si="9"/>
        <v>8.6344091045749728E-3</v>
      </c>
      <c r="H70" s="37"/>
      <c r="I70" s="37">
        <f t="shared" si="10"/>
        <v>0.13411225194079501</v>
      </c>
      <c r="J70" s="37">
        <v>0.75</v>
      </c>
      <c r="K70" s="37" t="e">
        <f>1-#REF!</f>
        <v>#REF!</v>
      </c>
      <c r="L70" s="37" t="e">
        <f t="shared" si="11"/>
        <v>#REF!</v>
      </c>
      <c r="M70" s="37">
        <f t="shared" si="12"/>
        <v>1.1579800491926528E-4</v>
      </c>
      <c r="N70" s="37" t="e">
        <f>G70*I70*#REF!*J70</f>
        <v>#REF!</v>
      </c>
      <c r="O70" s="37">
        <f t="shared" si="13"/>
        <v>1.1579800491926531E-3</v>
      </c>
    </row>
    <row r="71" spans="1:15">
      <c r="A71" s="27">
        <v>35</v>
      </c>
      <c r="B71" s="27">
        <f t="shared" si="8"/>
        <v>9.3221975783367426E-4</v>
      </c>
      <c r="C71" s="119">
        <v>0.1</v>
      </c>
      <c r="D71" s="119">
        <v>0.9</v>
      </c>
      <c r="E71" s="29">
        <f t="shared" si="6"/>
        <v>8.3899778205030667E-5</v>
      </c>
      <c r="F71" s="47">
        <f t="shared" si="7"/>
        <v>7.5509800384527615E-4</v>
      </c>
      <c r="G71" s="37">
        <f t="shared" si="9"/>
        <v>7.4764290553823191E-3</v>
      </c>
      <c r="H71" s="37"/>
      <c r="I71" s="37">
        <f t="shared" si="10"/>
        <v>0.13411225194079501</v>
      </c>
      <c r="J71" s="37">
        <v>0.75</v>
      </c>
      <c r="K71" s="37" t="e">
        <f>1-#REF!</f>
        <v>#REF!</v>
      </c>
      <c r="L71" s="37" t="e">
        <f t="shared" si="11"/>
        <v>#REF!</v>
      </c>
      <c r="M71" s="37">
        <f t="shared" si="12"/>
        <v>1.0026807370929134E-4</v>
      </c>
      <c r="N71" s="37" t="e">
        <f>G71*I71*#REF!*J71</f>
        <v>#REF!</v>
      </c>
      <c r="O71" s="37">
        <f t="shared" si="13"/>
        <v>1.0026807370929135E-3</v>
      </c>
    </row>
    <row r="72" spans="1:15">
      <c r="A72" s="27">
        <v>36</v>
      </c>
      <c r="B72" s="27">
        <f t="shared" si="8"/>
        <v>8.0719766680689817E-4</v>
      </c>
      <c r="C72" s="119">
        <v>0.1</v>
      </c>
      <c r="D72" s="119">
        <v>0.9</v>
      </c>
      <c r="E72" s="29">
        <f t="shared" si="6"/>
        <v>7.2647790012620817E-5</v>
      </c>
      <c r="F72" s="47">
        <f t="shared" si="7"/>
        <v>6.5383011011358751E-4</v>
      </c>
      <c r="G72" s="37">
        <f t="shared" si="9"/>
        <v>6.4737483182894049E-3</v>
      </c>
      <c r="H72" s="37"/>
      <c r="I72" s="37">
        <f t="shared" si="10"/>
        <v>0.13411225194079501</v>
      </c>
      <c r="J72" s="37">
        <v>0.75</v>
      </c>
      <c r="K72" s="37" t="e">
        <f>1-#REF!</f>
        <v>#REF!</v>
      </c>
      <c r="L72" s="37" t="e">
        <f t="shared" si="11"/>
        <v>#REF!</v>
      </c>
      <c r="M72" s="37">
        <f t="shared" si="12"/>
        <v>8.682089654637265E-5</v>
      </c>
      <c r="N72" s="37" t="e">
        <f>G72*I72*#REF!*J72</f>
        <v>#REF!</v>
      </c>
      <c r="O72" s="37">
        <f t="shared" si="13"/>
        <v>8.6820896546372674E-4</v>
      </c>
    </row>
    <row r="73" spans="1:15">
      <c r="A73" s="27">
        <v>37</v>
      </c>
      <c r="B73" s="27">
        <f t="shared" si="8"/>
        <v>6.9894256995006948E-4</v>
      </c>
      <c r="C73" s="119">
        <v>0.1</v>
      </c>
      <c r="D73" s="119">
        <v>0.9</v>
      </c>
      <c r="E73" s="29">
        <f t="shared" si="6"/>
        <v>6.2904831295506247E-5</v>
      </c>
      <c r="F73" s="47">
        <f t="shared" si="7"/>
        <v>5.6614348165955639E-4</v>
      </c>
      <c r="G73" s="37">
        <f t="shared" si="9"/>
        <v>5.6055393528256824E-3</v>
      </c>
      <c r="H73" s="37"/>
      <c r="I73" s="37">
        <f t="shared" si="10"/>
        <v>0.13411225194079501</v>
      </c>
      <c r="J73" s="37">
        <v>0.75</v>
      </c>
      <c r="K73" s="37" t="e">
        <f>1-#REF!</f>
        <v>#REF!</v>
      </c>
      <c r="L73" s="37" t="e">
        <f t="shared" si="11"/>
        <v>#REF!</v>
      </c>
      <c r="M73" s="37">
        <f t="shared" si="12"/>
        <v>7.5177150595019882E-5</v>
      </c>
      <c r="N73" s="37" t="e">
        <f>G73*I73*#REF!*J73</f>
        <v>#REF!</v>
      </c>
      <c r="O73" s="37">
        <f t="shared" si="13"/>
        <v>7.5177150595019898E-4</v>
      </c>
    </row>
    <row r="74" spans="1:15">
      <c r="A74" s="27">
        <v>38</v>
      </c>
      <c r="B74" s="27">
        <f t="shared" si="8"/>
        <v>6.0520580791677909E-4</v>
      </c>
      <c r="C74" s="119">
        <v>0.1</v>
      </c>
      <c r="D74" s="119">
        <v>0.9</v>
      </c>
      <c r="E74" s="29">
        <f t="shared" si="6"/>
        <v>5.4468522712510111E-5</v>
      </c>
      <c r="F74" s="47">
        <f t="shared" si="7"/>
        <v>4.9021670441259111E-4</v>
      </c>
      <c r="G74" s="37">
        <f t="shared" si="9"/>
        <v>4.8537678468754831E-3</v>
      </c>
      <c r="H74" s="37"/>
      <c r="I74" s="37">
        <f t="shared" si="10"/>
        <v>0.13411225194079501</v>
      </c>
      <c r="J74" s="37">
        <v>0.75</v>
      </c>
      <c r="K74" s="37" t="e">
        <f>1-#REF!</f>
        <v>#REF!</v>
      </c>
      <c r="L74" s="37" t="e">
        <f t="shared" si="11"/>
        <v>#REF!</v>
      </c>
      <c r="M74" s="37">
        <f t="shared" si="12"/>
        <v>6.5094973634229484E-5</v>
      </c>
      <c r="N74" s="37" t="e">
        <f>G74*I74*#REF!*J74</f>
        <v>#REF!</v>
      </c>
      <c r="O74" s="37">
        <f t="shared" si="13"/>
        <v>6.5094973634229492E-4</v>
      </c>
    </row>
    <row r="75" spans="1:15">
      <c r="A75" s="27">
        <v>39</v>
      </c>
      <c r="B75" s="27">
        <f t="shared" si="8"/>
        <v>5.240402941294115E-4</v>
      </c>
      <c r="C75" s="119">
        <v>0.1</v>
      </c>
      <c r="D75" s="119">
        <v>0.9</v>
      </c>
      <c r="E75" s="29">
        <f t="shared" si="6"/>
        <v>4.7163626471647028E-5</v>
      </c>
      <c r="F75" s="47">
        <f t="shared" si="7"/>
        <v>4.2447263824482332E-4</v>
      </c>
      <c r="G75" s="37">
        <f t="shared" si="9"/>
        <v>4.2028181105331882E-3</v>
      </c>
      <c r="H75" s="37"/>
      <c r="I75" s="37">
        <f t="shared" si="10"/>
        <v>0.13411225194079501</v>
      </c>
      <c r="J75" s="37">
        <v>0.75</v>
      </c>
      <c r="K75" s="37" t="e">
        <f>1-#REF!</f>
        <v>#REF!</v>
      </c>
      <c r="L75" s="37" t="e">
        <f t="shared" si="11"/>
        <v>#REF!</v>
      </c>
      <c r="M75" s="37">
        <f t="shared" si="12"/>
        <v>5.6364940130116291E-5</v>
      </c>
      <c r="N75" s="37" t="e">
        <f>G75*I75*#REF!*J75</f>
        <v>#REF!</v>
      </c>
      <c r="O75" s="37">
        <f t="shared" si="13"/>
        <v>5.6364940130116303E-4</v>
      </c>
    </row>
    <row r="76" spans="1:15">
      <c r="A76" s="27">
        <v>40</v>
      </c>
      <c r="B76" s="27">
        <f t="shared" si="8"/>
        <v>4.5376007017599955E-4</v>
      </c>
      <c r="C76" s="119">
        <v>0.1</v>
      </c>
      <c r="D76" s="119">
        <v>0.9</v>
      </c>
      <c r="E76" s="29">
        <f t="shared" si="6"/>
        <v>4.0838406315839953E-5</v>
      </c>
      <c r="F76" s="47">
        <f t="shared" si="7"/>
        <v>3.6754565684255966E-4</v>
      </c>
      <c r="G76" s="37">
        <f t="shared" si="9"/>
        <v>3.6391687092320246E-3</v>
      </c>
      <c r="H76" s="37"/>
      <c r="I76" s="37">
        <f t="shared" si="10"/>
        <v>0.13411225194079501</v>
      </c>
      <c r="J76" s="37">
        <v>0.75</v>
      </c>
      <c r="K76" s="37" t="e">
        <f>1-#REF!</f>
        <v>#REF!</v>
      </c>
      <c r="L76" s="37" t="e">
        <f t="shared" si="11"/>
        <v>#REF!</v>
      </c>
      <c r="M76" s="37">
        <f t="shared" si="12"/>
        <v>4.8805711078758298E-5</v>
      </c>
      <c r="N76" s="37" t="e">
        <f>G76*I76*#REF!*J76</f>
        <v>#REF!</v>
      </c>
      <c r="O76" s="37">
        <f t="shared" si="13"/>
        <v>4.8805711078758307E-4</v>
      </c>
    </row>
    <row r="77" spans="1:15">
      <c r="A77" s="27">
        <v>41</v>
      </c>
      <c r="B77" s="27">
        <f t="shared" si="8"/>
        <v>3.9290528532388299E-4</v>
      </c>
      <c r="C77" s="119">
        <v>0.1</v>
      </c>
      <c r="D77" s="119">
        <v>0.9</v>
      </c>
      <c r="E77" s="29">
        <f t="shared" si="6"/>
        <v>3.536147567914946E-5</v>
      </c>
      <c r="F77" s="47">
        <f t="shared" si="7"/>
        <v>3.1825328111234521E-4</v>
      </c>
      <c r="G77" s="37">
        <f t="shared" si="9"/>
        <v>3.1511115984444414E-3</v>
      </c>
      <c r="H77" s="37"/>
      <c r="I77" s="37">
        <f t="shared" si="10"/>
        <v>0.13411225194079501</v>
      </c>
      <c r="J77" s="37">
        <v>0.75</v>
      </c>
      <c r="K77" s="37" t="e">
        <f>1-#REF!</f>
        <v>#REF!</v>
      </c>
      <c r="L77" s="37" t="e">
        <f t="shared" si="11"/>
        <v>#REF!</v>
      </c>
      <c r="M77" s="37">
        <f t="shared" si="12"/>
        <v>4.226026725841421E-5</v>
      </c>
      <c r="N77" s="37" t="e">
        <f>G77*I77*#REF!*J77</f>
        <v>#REF!</v>
      </c>
      <c r="O77" s="37">
        <f t="shared" si="13"/>
        <v>4.2260267258414219E-4</v>
      </c>
    </row>
    <row r="78" spans="1:15">
      <c r="A78" s="27">
        <v>42</v>
      </c>
      <c r="B78" s="27">
        <f t="shared" si="8"/>
        <v>3.402118727096567E-4</v>
      </c>
      <c r="C78" s="119">
        <v>0.1</v>
      </c>
      <c r="D78" s="119">
        <v>0.9</v>
      </c>
      <c r="E78" s="29">
        <f t="shared" si="6"/>
        <v>3.0619068543869093E-5</v>
      </c>
      <c r="F78" s="47">
        <f t="shared" si="7"/>
        <v>2.7557161689482191E-4</v>
      </c>
      <c r="G78" s="37">
        <f t="shared" si="9"/>
        <v>2.7285089258602987E-3</v>
      </c>
      <c r="H78" s="37"/>
      <c r="I78" s="37">
        <f t="shared" si="10"/>
        <v>0.13411225194079501</v>
      </c>
      <c r="J78" s="37">
        <v>0.75</v>
      </c>
      <c r="K78" s="37" t="e">
        <f>1-#REF!</f>
        <v>#REF!</v>
      </c>
      <c r="L78" s="37" t="e">
        <f t="shared" si="11"/>
        <v>#REF!</v>
      </c>
      <c r="M78" s="37">
        <f t="shared" si="12"/>
        <v>3.6592647648768428E-5</v>
      </c>
      <c r="N78" s="37" t="e">
        <f>G78*I78*#REF!*J78</f>
        <v>#REF!</v>
      </c>
      <c r="O78" s="37">
        <f t="shared" si="13"/>
        <v>3.6592647648768436E-4</v>
      </c>
    </row>
    <row r="79" spans="1:15">
      <c r="A79" s="27">
        <v>43</v>
      </c>
      <c r="B79" s="27">
        <f t="shared" si="8"/>
        <v>2.9458529232356952E-4</v>
      </c>
      <c r="C79" s="119">
        <v>0.1</v>
      </c>
      <c r="D79" s="119">
        <v>0.9</v>
      </c>
      <c r="E79" s="29">
        <f t="shared" si="6"/>
        <v>2.6512676309121251E-5</v>
      </c>
      <c r="F79" s="47">
        <f t="shared" si="7"/>
        <v>2.3861408678209134E-4</v>
      </c>
      <c r="G79" s="37">
        <f t="shared" si="9"/>
        <v>2.3625824493726162E-3</v>
      </c>
      <c r="H79" s="37"/>
      <c r="I79" s="37">
        <f t="shared" si="10"/>
        <v>0.13411225194079501</v>
      </c>
      <c r="J79" s="37">
        <v>0.75</v>
      </c>
      <c r="K79" s="37" t="e">
        <f>1-#REF!</f>
        <v>#REF!</v>
      </c>
      <c r="L79" s="37" t="e">
        <f t="shared" si="11"/>
        <v>#REF!</v>
      </c>
      <c r="M79" s="37">
        <f t="shared" si="12"/>
        <v>3.1685125268116083E-5</v>
      </c>
      <c r="N79" s="37" t="e">
        <f>G79*I79*#REF!*J79</f>
        <v>#REF!</v>
      </c>
      <c r="O79" s="37">
        <f t="shared" si="13"/>
        <v>3.1685125268116087E-4</v>
      </c>
    </row>
    <row r="80" spans="1:15">
      <c r="A80" s="27">
        <v>44</v>
      </c>
      <c r="B80" s="27">
        <f t="shared" si="8"/>
        <v>2.5507779538141821E-4</v>
      </c>
      <c r="C80" s="119">
        <v>0.1</v>
      </c>
      <c r="D80" s="119">
        <v>0.9</v>
      </c>
      <c r="E80" s="29">
        <f t="shared" si="6"/>
        <v>2.2957001584327634E-5</v>
      </c>
      <c r="F80" s="47">
        <f t="shared" si="7"/>
        <v>2.0661301425894875E-4</v>
      </c>
      <c r="G80" s="37">
        <f t="shared" si="9"/>
        <v>2.0457311966914551E-3</v>
      </c>
      <c r="H80" s="37"/>
      <c r="I80" s="37">
        <f t="shared" si="10"/>
        <v>0.13411225194079501</v>
      </c>
      <c r="J80" s="37">
        <v>0.75</v>
      </c>
      <c r="K80" s="37" t="e">
        <f>1-#REF!</f>
        <v>#REF!</v>
      </c>
      <c r="L80" s="37" t="e">
        <f t="shared" si="11"/>
        <v>#REF!</v>
      </c>
      <c r="M80" s="37">
        <f t="shared" si="12"/>
        <v>2.7435761765382843E-5</v>
      </c>
      <c r="N80" s="37" t="e">
        <f>G80*I80*#REF!*J80</f>
        <v>#REF!</v>
      </c>
      <c r="O80" s="37">
        <f t="shared" si="13"/>
        <v>2.743576176538285E-4</v>
      </c>
    </row>
    <row r="81" spans="1:30">
      <c r="A81" s="27">
        <v>45</v>
      </c>
      <c r="B81" s="27">
        <f t="shared" si="8"/>
        <v>2.2086873782272285E-4</v>
      </c>
      <c r="C81" s="119">
        <v>0.1</v>
      </c>
      <c r="D81" s="119">
        <v>0.9</v>
      </c>
      <c r="E81" s="29">
        <f t="shared" si="6"/>
        <v>1.9878186404045054E-5</v>
      </c>
      <c r="F81" s="47">
        <f t="shared" si="7"/>
        <v>1.7890367763640552E-4</v>
      </c>
      <c r="G81" s="37">
        <f t="shared" si="9"/>
        <v>1.7713735790376266E-3</v>
      </c>
      <c r="H81" s="37"/>
      <c r="I81" s="37">
        <f t="shared" si="10"/>
        <v>0.13411225194079501</v>
      </c>
      <c r="J81" s="37">
        <v>0.75</v>
      </c>
      <c r="K81" s="37" t="e">
        <f>1-#REF!</f>
        <v>#REF!</v>
      </c>
      <c r="L81" s="37" t="e">
        <f t="shared" si="11"/>
        <v>#REF!</v>
      </c>
      <c r="M81" s="37">
        <f t="shared" si="12"/>
        <v>2.3756289971316189E-5</v>
      </c>
      <c r="N81" s="37" t="e">
        <f>G81*I81*#REF!*J81</f>
        <v>#REF!</v>
      </c>
      <c r="O81" s="37">
        <f t="shared" si="13"/>
        <v>2.3756289971316194E-4</v>
      </c>
    </row>
    <row r="82" spans="1:30">
      <c r="A82" s="27">
        <v>46</v>
      </c>
      <c r="B82" s="27">
        <f t="shared" si="8"/>
        <v>1.9124753400999643E-4</v>
      </c>
      <c r="C82" s="119">
        <v>0.1</v>
      </c>
      <c r="D82" s="119">
        <v>0.9</v>
      </c>
      <c r="E82" s="29">
        <f t="shared" si="6"/>
        <v>1.7212278060899674E-5</v>
      </c>
      <c r="F82" s="47">
        <f t="shared" si="7"/>
        <v>1.5491050254809712E-4</v>
      </c>
      <c r="G82" s="37">
        <f t="shared" si="9"/>
        <v>1.5338106793244643E-3</v>
      </c>
      <c r="H82" s="37"/>
      <c r="I82" s="37">
        <f t="shared" si="10"/>
        <v>0.13411225194079501</v>
      </c>
      <c r="J82" s="37">
        <v>0.75</v>
      </c>
      <c r="K82" s="37" t="e">
        <f>1-#REF!</f>
        <v>#REF!</v>
      </c>
      <c r="L82" s="37" t="e">
        <f t="shared" si="11"/>
        <v>#REF!</v>
      </c>
      <c r="M82" s="37">
        <f t="shared" si="12"/>
        <v>2.0570280425504444E-5</v>
      </c>
      <c r="N82" s="37" t="e">
        <f>G82*I82*#REF!*J82</f>
        <v>#REF!</v>
      </c>
      <c r="O82" s="37">
        <f t="shared" si="13"/>
        <v>2.057028042550445E-4</v>
      </c>
    </row>
    <row r="83" spans="1:30">
      <c r="A83" s="27">
        <v>47</v>
      </c>
      <c r="B83" s="27">
        <f t="shared" si="8"/>
        <v>1.6559889654579202E-4</v>
      </c>
      <c r="C83" s="119">
        <v>0.1</v>
      </c>
      <c r="D83" s="119">
        <v>0.9</v>
      </c>
      <c r="E83" s="29">
        <f t="shared" si="6"/>
        <v>1.4903900689121277E-5</v>
      </c>
      <c r="F83" s="47">
        <f t="shared" si="7"/>
        <v>1.3413510620209154E-4</v>
      </c>
      <c r="G83" s="37">
        <f t="shared" si="9"/>
        <v>1.3281078750694197E-3</v>
      </c>
      <c r="H83" s="37"/>
      <c r="I83" s="37">
        <f t="shared" si="10"/>
        <v>0.13411225194079501</v>
      </c>
      <c r="J83" s="37">
        <v>0.75</v>
      </c>
      <c r="K83" s="37" t="e">
        <f>1-#REF!</f>
        <v>#REF!</v>
      </c>
      <c r="L83" s="37" t="e">
        <f t="shared" si="11"/>
        <v>#REF!</v>
      </c>
      <c r="M83" s="37">
        <f t="shared" si="12"/>
        <v>1.7811553794586387E-5</v>
      </c>
      <c r="N83" s="37" t="e">
        <f>G83*I83*#REF!*J83</f>
        <v>#REF!</v>
      </c>
      <c r="O83" s="37">
        <f t="shared" si="13"/>
        <v>1.7811553794586392E-4</v>
      </c>
    </row>
    <row r="84" spans="1:30">
      <c r="A84" s="27">
        <v>48</v>
      </c>
      <c r="B84" s="27">
        <f t="shared" si="8"/>
        <v>1.4339005561112524E-4</v>
      </c>
      <c r="C84" s="119">
        <v>0.1</v>
      </c>
      <c r="D84" s="119">
        <v>0.9</v>
      </c>
      <c r="E84" s="29">
        <f t="shared" si="6"/>
        <v>1.290510500500127E-5</v>
      </c>
      <c r="F84" s="47">
        <f t="shared" si="7"/>
        <v>1.1614594504501145E-4</v>
      </c>
      <c r="G84" s="37">
        <f t="shared" si="9"/>
        <v>1.1499923371235557E-3</v>
      </c>
      <c r="H84" s="37"/>
      <c r="I84" s="37">
        <f t="shared" si="10"/>
        <v>0.13411225194079501</v>
      </c>
      <c r="J84" s="37">
        <v>0.75</v>
      </c>
      <c r="K84" s="37" t="e">
        <f>1-#REF!</f>
        <v>#REF!</v>
      </c>
      <c r="L84" s="37" t="e">
        <f t="shared" si="11"/>
        <v>#REF!</v>
      </c>
      <c r="M84" s="37">
        <f t="shared" si="12"/>
        <v>1.5422806204629794E-5</v>
      </c>
      <c r="N84" s="37" t="e">
        <f>G84*I84*#REF!*J84</f>
        <v>#REF!</v>
      </c>
      <c r="O84" s="37">
        <f t="shared" si="13"/>
        <v>1.5422806204629796E-4</v>
      </c>
    </row>
    <row r="85" spans="1:30">
      <c r="A85" s="27">
        <v>49</v>
      </c>
      <c r="B85" s="27">
        <f t="shared" si="8"/>
        <v>1.2415969234720137E-4</v>
      </c>
      <c r="C85" s="119">
        <v>0.1</v>
      </c>
      <c r="D85" s="119">
        <v>0.9</v>
      </c>
      <c r="E85" s="29">
        <f t="shared" si="6"/>
        <v>1.1174372311248121E-5</v>
      </c>
      <c r="F85" s="47">
        <f t="shared" si="7"/>
        <v>1.0056935080123311E-4</v>
      </c>
      <c r="G85" s="37">
        <f t="shared" si="9"/>
        <v>9.9576427507725861E-4</v>
      </c>
      <c r="H85" s="37"/>
      <c r="I85" s="37">
        <f t="shared" si="10"/>
        <v>0.13411225194079501</v>
      </c>
      <c r="J85" s="37">
        <v>0.75</v>
      </c>
      <c r="K85" s="37" t="e">
        <f>1-#REF!</f>
        <v>#REF!</v>
      </c>
      <c r="L85" s="37" t="e">
        <f t="shared" si="11"/>
        <v>#REF!</v>
      </c>
      <c r="M85" s="37">
        <f t="shared" si="12"/>
        <v>1.3354418933280437E-5</v>
      </c>
      <c r="N85" s="37" t="e">
        <f>G85*I85*#REF!*J85</f>
        <v>#REF!</v>
      </c>
      <c r="O85" s="37">
        <f t="shared" si="13"/>
        <v>1.3354418933280441E-4</v>
      </c>
    </row>
    <row r="86" spans="1:30">
      <c r="A86" s="27">
        <v>50</v>
      </c>
      <c r="B86" s="27">
        <f t="shared" si="8"/>
        <v>1.075083564062419E-4</v>
      </c>
      <c r="C86" s="119">
        <v>0.1</v>
      </c>
      <c r="D86" s="119">
        <v>0.9</v>
      </c>
      <c r="E86" s="29">
        <f t="shared" si="6"/>
        <v>9.6757520765617683E-6</v>
      </c>
      <c r="F86" s="47">
        <f t="shared" si="7"/>
        <v>8.7081768689055932E-5</v>
      </c>
      <c r="G86" s="37"/>
      <c r="H86" s="37"/>
      <c r="I86" s="37"/>
      <c r="J86" s="37"/>
      <c r="K86" s="37">
        <f>SUM(B37:B86)</f>
        <v>0.92903328181307976</v>
      </c>
      <c r="L86" s="37">
        <f>SUM(C37:C86)</f>
        <v>4.9999999999999982</v>
      </c>
      <c r="M86" s="37">
        <f>SUM(E37:E86)</f>
        <v>0.34304585198864457</v>
      </c>
      <c r="N86" s="37">
        <f>SUM(F37:F86)</f>
        <v>0.49308410164312749</v>
      </c>
      <c r="O86" s="37">
        <f>SUM(L86:N86)</f>
        <v>5.8361299536317706</v>
      </c>
    </row>
    <row r="87" spans="1:30">
      <c r="B87" s="27">
        <f>SUM(B37:B86)</f>
        <v>0.92903328181307976</v>
      </c>
      <c r="C87" s="119">
        <v>0.1</v>
      </c>
      <c r="E87" s="226">
        <f>SUM(E37:E86)</f>
        <v>0.34304585198864457</v>
      </c>
      <c r="F87" s="115">
        <f>SUM(F37:F86)</f>
        <v>0.49308410164312749</v>
      </c>
      <c r="G87" s="115">
        <f>E87+F87+C87</f>
        <v>0.93612995363177209</v>
      </c>
      <c r="I87" s="37"/>
      <c r="J87" s="37"/>
      <c r="K87" s="37"/>
      <c r="L87" s="37"/>
      <c r="M87" s="37"/>
      <c r="N87" s="37">
        <f>SUM(C38:C87)</f>
        <v>4.9999999999999982</v>
      </c>
      <c r="O87" s="37"/>
      <c r="P87" s="37"/>
      <c r="Q87" s="37"/>
      <c r="T87" s="27">
        <f>EXP(-$F$7*(A86-1))</f>
        <v>8.6222008574445409E-4</v>
      </c>
      <c r="U87" s="27">
        <f>1-EXP(-$F$7)</f>
        <v>0.13411225194079501</v>
      </c>
      <c r="V87" s="27">
        <v>0.9</v>
      </c>
      <c r="W87" s="27" t="e">
        <f>#REF!</f>
        <v>#REF!</v>
      </c>
      <c r="X87" s="27">
        <v>0.75</v>
      </c>
      <c r="Y87" s="27" t="e">
        <f t="shared" ref="Y87" si="14">V87*W87</f>
        <v>#REF!</v>
      </c>
      <c r="Z87" s="27" t="e">
        <f t="shared" ref="Z87" si="15">1-Y87</f>
        <v>#REF!</v>
      </c>
      <c r="AA87" s="27" t="e">
        <f t="shared" ref="AA87" si="16">T87*U87*Z87*X87</f>
        <v>#REF!</v>
      </c>
      <c r="AB87" s="27">
        <f>T87*U87*(1-$J$37)</f>
        <v>1.1563427736777408E-5</v>
      </c>
      <c r="AC87" s="27" t="e">
        <f t="shared" ref="AC87" si="17">T87*U87*Y87*X87</f>
        <v>#REF!</v>
      </c>
      <c r="AD87" s="27">
        <f t="shared" ref="AD87" si="18">T87*U87</f>
        <v>1.156342773677741E-4</v>
      </c>
    </row>
    <row r="88" spans="1:30">
      <c r="A88" s="27" t="s">
        <v>81</v>
      </c>
      <c r="B88" s="111"/>
      <c r="Z88" s="36" t="e">
        <f>SUM(AA38:AA87)</f>
        <v>#REF!</v>
      </c>
      <c r="AA88" s="115">
        <f>SUM(AB38:AB87)</f>
        <v>1.1563427736777408E-5</v>
      </c>
      <c r="AB88" s="115" t="e">
        <f>SUM(AC38:AC87)</f>
        <v>#REF!</v>
      </c>
      <c r="AC88" s="27" t="e">
        <f>Z88+AA88+AB88</f>
        <v>#REF!</v>
      </c>
    </row>
    <row r="89" spans="1:30">
      <c r="A89" s="27" t="s">
        <v>80</v>
      </c>
    </row>
    <row r="90" spans="1:30">
      <c r="A90" s="111" t="s">
        <v>475</v>
      </c>
      <c r="AD90" s="27" t="s">
        <v>74</v>
      </c>
    </row>
    <row r="91" spans="1:30">
      <c r="A91" s="27" t="s">
        <v>77</v>
      </c>
      <c r="B91" s="35" t="s">
        <v>76</v>
      </c>
      <c r="D91" s="119" t="s">
        <v>67</v>
      </c>
    </row>
    <row r="92" spans="1:30">
      <c r="A92" s="111" t="s">
        <v>451</v>
      </c>
      <c r="B92" s="112">
        <f>D20</f>
        <v>40.033005128303877</v>
      </c>
      <c r="C92" s="119" t="s">
        <v>75</v>
      </c>
      <c r="D92" s="119" t="s">
        <v>67</v>
      </c>
    </row>
    <row r="93" spans="1:30">
      <c r="A93" s="27" t="s">
        <v>73</v>
      </c>
      <c r="B93" s="27">
        <v>35315</v>
      </c>
      <c r="C93" s="119" t="s">
        <v>72</v>
      </c>
    </row>
    <row r="94" spans="1:30">
      <c r="A94" s="34" t="s">
        <v>71</v>
      </c>
      <c r="B94" s="27">
        <v>11700</v>
      </c>
      <c r="C94" s="119" t="s">
        <v>70</v>
      </c>
      <c r="D94" s="119" t="s">
        <v>63</v>
      </c>
      <c r="H94" s="33"/>
      <c r="I94" s="33"/>
      <c r="K94" s="111">
        <v>3412</v>
      </c>
      <c r="L94" s="111" t="s">
        <v>452</v>
      </c>
      <c r="M94" s="113">
        <f>K94/B94</f>
        <v>0.29162393162393163</v>
      </c>
      <c r="N94" s="111" t="s">
        <v>454</v>
      </c>
    </row>
    <row r="95" spans="1:30">
      <c r="A95" s="27" t="s">
        <v>69</v>
      </c>
      <c r="B95" s="27">
        <v>1</v>
      </c>
      <c r="C95" s="119" t="s">
        <v>68</v>
      </c>
      <c r="K95" s="111" t="s">
        <v>453</v>
      </c>
    </row>
    <row r="96" spans="1:30">
      <c r="B96" s="27">
        <f>B92*B93/B94*B95</f>
        <v>120.83466462444885</v>
      </c>
      <c r="C96" s="119" t="s">
        <v>66</v>
      </c>
    </row>
    <row r="97" spans="1:15">
      <c r="A97" s="27" t="s">
        <v>65</v>
      </c>
      <c r="B97" s="27">
        <f>-D100/1000</f>
        <v>-0.53737674279288006</v>
      </c>
      <c r="C97" s="119" t="s">
        <v>64</v>
      </c>
      <c r="D97" s="119" t="s">
        <v>59</v>
      </c>
      <c r="E97" s="27" t="s">
        <v>58</v>
      </c>
    </row>
    <row r="98" spans="1:15">
      <c r="B98" s="31">
        <f>B96*B97</f>
        <v>-64.933738492356369</v>
      </c>
      <c r="C98" s="119" t="s">
        <v>62</v>
      </c>
      <c r="D98" s="119">
        <v>1253.77</v>
      </c>
      <c r="E98" s="27">
        <v>36.83</v>
      </c>
    </row>
    <row r="99" spans="1:15">
      <c r="B99" s="32"/>
      <c r="G99" s="27" t="s">
        <v>57</v>
      </c>
    </row>
    <row r="100" spans="1:15">
      <c r="A100" s="27" t="s">
        <v>61</v>
      </c>
      <c r="B100" s="31" t="e">
        <f>#REF!+B98</f>
        <v>#REF!</v>
      </c>
      <c r="C100" s="119" t="s">
        <v>60</v>
      </c>
      <c r="D100" s="119">
        <v>537.37674279288001</v>
      </c>
      <c r="E100" s="28" t="s">
        <v>56</v>
      </c>
      <c r="F100" s="28"/>
      <c r="G100" s="27">
        <v>13.67</v>
      </c>
    </row>
    <row r="102" spans="1:15">
      <c r="A102" s="27" t="s">
        <v>542</v>
      </c>
      <c r="B102" s="27" t="s">
        <v>543</v>
      </c>
      <c r="C102" s="119" t="s">
        <v>544</v>
      </c>
      <c r="D102" s="119" t="s">
        <v>545</v>
      </c>
      <c r="E102" s="27" t="s">
        <v>546</v>
      </c>
      <c r="G102" s="27" t="s">
        <v>547</v>
      </c>
    </row>
    <row r="103" spans="1:15">
      <c r="A103" s="27" t="s">
        <v>548</v>
      </c>
      <c r="B103" s="27" t="s">
        <v>543</v>
      </c>
      <c r="C103" s="119" t="s">
        <v>549</v>
      </c>
      <c r="D103" s="119" t="s">
        <v>550</v>
      </c>
      <c r="E103" s="27" t="s">
        <v>551</v>
      </c>
      <c r="G103" s="27" t="s">
        <v>552</v>
      </c>
      <c r="H103" s="27" t="s">
        <v>553</v>
      </c>
      <c r="J103" s="27" t="s">
        <v>554</v>
      </c>
      <c r="K103" s="27" t="s">
        <v>549</v>
      </c>
      <c r="L103" s="27" t="s">
        <v>555</v>
      </c>
      <c r="M103" s="27" t="s">
        <v>556</v>
      </c>
      <c r="N103" s="27" t="s">
        <v>557</v>
      </c>
      <c r="O103" s="27">
        <v>-2009</v>
      </c>
    </row>
    <row r="104" spans="1:15">
      <c r="A104" s="27" t="s">
        <v>558</v>
      </c>
      <c r="B104" s="27" t="s">
        <v>543</v>
      </c>
      <c r="C104" s="119" t="s">
        <v>549</v>
      </c>
      <c r="D104" s="119" t="s">
        <v>550</v>
      </c>
      <c r="E104" s="27">
        <v>2.7</v>
      </c>
      <c r="G104" s="27" t="s">
        <v>552</v>
      </c>
      <c r="H104" s="27" t="s">
        <v>553</v>
      </c>
      <c r="J104" s="27" t="s">
        <v>554</v>
      </c>
      <c r="K104" s="27" t="s">
        <v>549</v>
      </c>
      <c r="L104" s="27" t="s">
        <v>555</v>
      </c>
      <c r="M104" s="27" t="s">
        <v>556</v>
      </c>
      <c r="N104" s="27" t="s">
        <v>557</v>
      </c>
      <c r="O104" s="27">
        <v>-2009</v>
      </c>
    </row>
    <row r="105" spans="1:15">
      <c r="A105" s="27" t="s">
        <v>548</v>
      </c>
      <c r="B105" s="27" t="s">
        <v>543</v>
      </c>
      <c r="C105" s="119" t="s">
        <v>559</v>
      </c>
      <c r="D105" s="119" t="s">
        <v>560</v>
      </c>
      <c r="E105" s="27" t="s">
        <v>552</v>
      </c>
      <c r="G105" s="27" t="s">
        <v>553</v>
      </c>
      <c r="H105" s="27" t="s">
        <v>561</v>
      </c>
      <c r="J105" s="27" t="s">
        <v>555</v>
      </c>
      <c r="K105" s="27" t="s">
        <v>556</v>
      </c>
      <c r="L105" s="27" t="s">
        <v>557</v>
      </c>
      <c r="M105" s="27">
        <v>-2009</v>
      </c>
    </row>
    <row r="106" spans="1:15">
      <c r="A106" s="27" t="s">
        <v>562</v>
      </c>
      <c r="B106" s="27" t="s">
        <v>543</v>
      </c>
      <c r="C106" s="119" t="s">
        <v>55</v>
      </c>
      <c r="D106" s="119" t="s">
        <v>563</v>
      </c>
      <c r="E106" s="27" t="s">
        <v>564</v>
      </c>
      <c r="G106" s="27" t="s">
        <v>552</v>
      </c>
      <c r="H106" s="27" t="s">
        <v>553</v>
      </c>
      <c r="J106" s="27" t="s">
        <v>552</v>
      </c>
      <c r="K106" s="27" t="s">
        <v>565</v>
      </c>
      <c r="L106" s="27" t="s">
        <v>566</v>
      </c>
      <c r="M106" s="27">
        <v>10</v>
      </c>
    </row>
    <row r="107" spans="1:15">
      <c r="A107" s="27" t="s">
        <v>562</v>
      </c>
      <c r="B107" s="27" t="s">
        <v>543</v>
      </c>
      <c r="C107" s="119" t="s">
        <v>567</v>
      </c>
      <c r="D107" s="119" t="s">
        <v>563</v>
      </c>
      <c r="E107" s="27" t="s">
        <v>568</v>
      </c>
      <c r="G107" s="27" t="s">
        <v>552</v>
      </c>
      <c r="H107" s="27" t="s">
        <v>553</v>
      </c>
      <c r="J107" s="27" t="s">
        <v>552</v>
      </c>
      <c r="K107" s="27" t="s">
        <v>569</v>
      </c>
      <c r="L107" s="27" t="s">
        <v>566</v>
      </c>
      <c r="M107" s="27">
        <v>10</v>
      </c>
    </row>
    <row r="108" spans="1:15">
      <c r="A108" s="27" t="s">
        <v>562</v>
      </c>
      <c r="B108" s="27" t="s">
        <v>543</v>
      </c>
      <c r="C108" s="119" t="s">
        <v>570</v>
      </c>
      <c r="D108" s="119" t="s">
        <v>563</v>
      </c>
      <c r="E108" s="27" t="s">
        <v>571</v>
      </c>
      <c r="G108" s="27" t="s">
        <v>552</v>
      </c>
      <c r="H108" s="27" t="s">
        <v>553</v>
      </c>
      <c r="J108" s="27" t="s">
        <v>552</v>
      </c>
      <c r="K108" s="27" t="s">
        <v>572</v>
      </c>
      <c r="L108" s="27" t="s">
        <v>566</v>
      </c>
      <c r="M108" s="27">
        <v>10</v>
      </c>
    </row>
    <row r="109" spans="1:15">
      <c r="A109" s="27" t="s">
        <v>562</v>
      </c>
      <c r="B109" s="27" t="s">
        <v>543</v>
      </c>
      <c r="C109" s="119" t="s">
        <v>573</v>
      </c>
      <c r="D109" s="119" t="s">
        <v>574</v>
      </c>
      <c r="E109" s="27" t="s">
        <v>552</v>
      </c>
      <c r="G109" s="27" t="s">
        <v>553</v>
      </c>
      <c r="H109" s="27" t="s">
        <v>575</v>
      </c>
      <c r="J109" s="27" t="s">
        <v>573</v>
      </c>
      <c r="K109" s="27" t="s">
        <v>576</v>
      </c>
      <c r="L109" s="27" t="s">
        <v>577</v>
      </c>
      <c r="M109" s="27" t="s">
        <v>578</v>
      </c>
      <c r="N109" s="27" t="s">
        <v>579</v>
      </c>
      <c r="O109" s="27" t="s">
        <v>580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opLeftCell="A26" workbookViewId="0">
      <selection activeCell="I62" sqref="I62"/>
    </sheetView>
  </sheetViews>
  <sheetFormatPr baseColWidth="10" defaultColWidth="11" defaultRowHeight="15" x14ac:dyDescent="0"/>
  <cols>
    <col min="1" max="1" width="34.6640625" customWidth="1"/>
    <col min="2" max="2" width="22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12.1640625" customWidth="1"/>
    <col min="8" max="8" width="20.6640625" customWidth="1"/>
    <col min="9" max="9" width="15.83203125" customWidth="1"/>
    <col min="10" max="10" width="35.33203125" customWidth="1"/>
  </cols>
  <sheetData>
    <row r="1" spans="1:20" s="43" customFormat="1" ht="30">
      <c r="B1" s="43" t="s">
        <v>14</v>
      </c>
      <c r="C1" s="43" t="s">
        <v>26</v>
      </c>
      <c r="D1" s="43" t="s">
        <v>114</v>
      </c>
      <c r="E1" s="43" t="s">
        <v>674</v>
      </c>
      <c r="F1" s="43" t="s">
        <v>660</v>
      </c>
      <c r="G1" s="43" t="s">
        <v>659</v>
      </c>
      <c r="H1" s="43" t="s">
        <v>2</v>
      </c>
      <c r="I1" s="43" t="s">
        <v>641</v>
      </c>
      <c r="J1" s="43" t="s">
        <v>5</v>
      </c>
      <c r="S1" s="27">
        <v>3.7854100000000002</v>
      </c>
      <c r="T1" s="111" t="s">
        <v>445</v>
      </c>
    </row>
    <row r="2" spans="1:20" s="12" customFormat="1" hidden="1">
      <c r="A2" s="13" t="s">
        <v>0</v>
      </c>
      <c r="C2" s="11">
        <f>C5</f>
        <v>4.28</v>
      </c>
      <c r="D2" s="11"/>
      <c r="E2" s="11"/>
    </row>
    <row r="3" spans="1:20" hidden="1">
      <c r="A3" t="s">
        <v>427</v>
      </c>
      <c r="B3" t="s">
        <v>4</v>
      </c>
      <c r="F3" s="10">
        <v>0.107</v>
      </c>
      <c r="G3" s="1" t="s">
        <v>7</v>
      </c>
      <c r="H3" s="6" t="s">
        <v>390</v>
      </c>
    </row>
    <row r="4" spans="1:20" hidden="1">
      <c r="A4" s="15" t="s">
        <v>9</v>
      </c>
      <c r="B4" s="15" t="s">
        <v>12</v>
      </c>
      <c r="C4" s="2"/>
      <c r="D4" s="2"/>
      <c r="E4" s="8">
        <v>40</v>
      </c>
      <c r="H4" s="5" t="s">
        <v>24</v>
      </c>
    </row>
    <row r="5" spans="1:20" hidden="1">
      <c r="A5" s="16" t="s">
        <v>15</v>
      </c>
      <c r="B5" s="16" t="s">
        <v>30</v>
      </c>
      <c r="C5" s="17">
        <f>E4*F3</f>
        <v>4.28</v>
      </c>
      <c r="H5" s="5" t="s">
        <v>18</v>
      </c>
    </row>
    <row r="6" spans="1:20" s="41" customFormat="1" hidden="1">
      <c r="A6" s="41" t="s">
        <v>112</v>
      </c>
    </row>
    <row r="7" spans="1:20" hidden="1">
      <c r="A7" t="s">
        <v>122</v>
      </c>
      <c r="H7" t="s">
        <v>438</v>
      </c>
    </row>
    <row r="8" spans="1:20" hidden="1">
      <c r="A8" t="s">
        <v>123</v>
      </c>
      <c r="B8" s="104"/>
      <c r="H8" t="s">
        <v>439</v>
      </c>
    </row>
    <row r="9" spans="1:20" hidden="1">
      <c r="A9" t="s">
        <v>124</v>
      </c>
      <c r="H9" t="s">
        <v>125</v>
      </c>
    </row>
    <row r="10" spans="1:20" s="45" customFormat="1">
      <c r="A10" s="45" t="s">
        <v>946</v>
      </c>
      <c r="B10" s="45" t="s">
        <v>945</v>
      </c>
      <c r="C10" s="285">
        <f>D13*(Globalfactors.csv!E4+Globalfactors.csv!E3)</f>
        <v>8.4018100074660005</v>
      </c>
    </row>
    <row r="11" spans="1:20">
      <c r="A11" t="s">
        <v>941</v>
      </c>
      <c r="B11" t="s">
        <v>797</v>
      </c>
      <c r="E11">
        <v>10.6</v>
      </c>
    </row>
    <row r="12" spans="1:20">
      <c r="A12" t="s">
        <v>944</v>
      </c>
      <c r="B12" t="s">
        <v>942</v>
      </c>
      <c r="E12">
        <v>0.25</v>
      </c>
      <c r="J12" t="s">
        <v>958</v>
      </c>
    </row>
    <row r="13" spans="1:20">
      <c r="A13" t="s">
        <v>943</v>
      </c>
      <c r="B13" t="s">
        <v>463</v>
      </c>
      <c r="D13">
        <f>E11*E12</f>
        <v>2.65</v>
      </c>
    </row>
    <row r="14" spans="1:20" s="13" customFormat="1">
      <c r="A14" s="13" t="s">
        <v>8</v>
      </c>
    </row>
    <row r="15" spans="1:20">
      <c r="A15" s="15" t="s">
        <v>391</v>
      </c>
      <c r="B15" s="15" t="s">
        <v>22</v>
      </c>
      <c r="C15" s="2"/>
      <c r="D15" s="2"/>
      <c r="F15" s="227">
        <f>Parameters!F27</f>
        <v>90.21</v>
      </c>
      <c r="G15" s="99"/>
      <c r="I15" s="5"/>
    </row>
    <row r="16" spans="1:20">
      <c r="A16" s="15" t="s">
        <v>692</v>
      </c>
      <c r="B16" s="15" t="s">
        <v>23</v>
      </c>
      <c r="C16" s="2"/>
      <c r="D16" s="2"/>
      <c r="E16" s="228">
        <v>0.84</v>
      </c>
      <c r="H16" t="s">
        <v>16</v>
      </c>
      <c r="I16" t="s">
        <v>818</v>
      </c>
      <c r="J16" s="14" t="s">
        <v>25</v>
      </c>
    </row>
    <row r="17" spans="1:10" s="6" customFormat="1" ht="14" customHeight="1">
      <c r="A17" s="14" t="s">
        <v>425</v>
      </c>
      <c r="B17" s="14" t="s">
        <v>22</v>
      </c>
      <c r="C17" s="5"/>
      <c r="D17" s="9">
        <f>F15*E16</f>
        <v>75.776399999999995</v>
      </c>
      <c r="E17" s="5"/>
      <c r="I17" s="6" t="s">
        <v>19</v>
      </c>
    </row>
    <row r="18" spans="1:10" s="6" customFormat="1" ht="14" customHeight="1">
      <c r="A18" s="14" t="s">
        <v>693</v>
      </c>
      <c r="B18" s="14" t="s">
        <v>694</v>
      </c>
      <c r="C18" s="5"/>
      <c r="D18" s="232"/>
      <c r="E18" s="10">
        <v>0.03</v>
      </c>
      <c r="H18" t="s">
        <v>10</v>
      </c>
      <c r="I18" s="6" t="s">
        <v>675</v>
      </c>
      <c r="J18" s="6" t="s">
        <v>17</v>
      </c>
    </row>
    <row r="19" spans="1:10" s="6" customFormat="1" ht="14" customHeight="1">
      <c r="A19" s="230" t="s">
        <v>696</v>
      </c>
      <c r="B19" s="14" t="s">
        <v>30</v>
      </c>
      <c r="C19" s="9">
        <f>D19*Parameters!C19*Parameters!C6</f>
        <v>42.646957919999991</v>
      </c>
      <c r="D19" s="235">
        <f>D17*E18</f>
        <v>2.2732919999999996</v>
      </c>
    </row>
    <row r="20" spans="1:10" s="6" customFormat="1" ht="14" customHeight="1">
      <c r="A20" s="230" t="s">
        <v>695</v>
      </c>
      <c r="B20" s="14" t="s">
        <v>694</v>
      </c>
      <c r="C20" s="89"/>
      <c r="D20" s="235"/>
      <c r="E20" s="10">
        <v>5.0000000000000001E-3</v>
      </c>
      <c r="F20"/>
      <c r="G20" s="4"/>
      <c r="H20" t="s">
        <v>31</v>
      </c>
      <c r="I20"/>
      <c r="J20" t="s">
        <v>32</v>
      </c>
    </row>
    <row r="21" spans="1:10">
      <c r="A21" s="230" t="s">
        <v>426</v>
      </c>
      <c r="B21" s="14" t="s">
        <v>30</v>
      </c>
      <c r="C21" s="21">
        <f>D21*Parameters!C19*Parameters!C6</f>
        <v>7.1078263200000009</v>
      </c>
      <c r="D21" s="236">
        <f>D17*E20</f>
        <v>0.378882</v>
      </c>
    </row>
    <row r="22" spans="1:10">
      <c r="A22" s="14" t="s">
        <v>392</v>
      </c>
      <c r="B22" s="14" t="s">
        <v>37</v>
      </c>
      <c r="D22" s="108"/>
      <c r="E22" s="229">
        <v>4.19318820416827</v>
      </c>
      <c r="F22">
        <f>3.6</f>
        <v>3.6</v>
      </c>
      <c r="G22" s="86">
        <f>4.5</f>
        <v>4.5</v>
      </c>
      <c r="H22" t="s">
        <v>16</v>
      </c>
      <c r="I22" t="s">
        <v>864</v>
      </c>
      <c r="J22" t="s">
        <v>863</v>
      </c>
    </row>
    <row r="23" spans="1:10">
      <c r="A23" s="230" t="s">
        <v>13</v>
      </c>
      <c r="B23" s="230" t="s">
        <v>37</v>
      </c>
      <c r="D23" s="110">
        <f>E22*D17/1000</f>
        <v>0.31774470663433646</v>
      </c>
      <c r="J23" s="86"/>
    </row>
    <row r="24" spans="1:10">
      <c r="A24" s="230" t="s">
        <v>676</v>
      </c>
      <c r="B24" s="14" t="s">
        <v>697</v>
      </c>
      <c r="D24" s="110"/>
      <c r="E24" s="10">
        <v>0.12</v>
      </c>
      <c r="G24" s="4"/>
      <c r="H24" t="s">
        <v>33</v>
      </c>
      <c r="I24" t="s">
        <v>677</v>
      </c>
      <c r="J24" t="s">
        <v>676</v>
      </c>
    </row>
    <row r="25" spans="1:10">
      <c r="A25" t="s">
        <v>422</v>
      </c>
      <c r="B25" t="s">
        <v>37</v>
      </c>
      <c r="D25" s="26">
        <f>D23*(1-0.12)</f>
        <v>0.27961534183821607</v>
      </c>
    </row>
    <row r="26" spans="1:10">
      <c r="A26" s="3" t="s">
        <v>35</v>
      </c>
      <c r="B26" s="16" t="s">
        <v>30</v>
      </c>
      <c r="D26" s="237">
        <f>D25*G26</f>
        <v>-150.25435902513021</v>
      </c>
      <c r="G26" s="25">
        <f>Globalfactors.csv!E5</f>
        <v>-537.36092603984002</v>
      </c>
      <c r="H26" t="s">
        <v>34</v>
      </c>
    </row>
    <row r="27" spans="1:10">
      <c r="A27" s="3" t="s">
        <v>714</v>
      </c>
      <c r="B27" s="16" t="s">
        <v>30</v>
      </c>
      <c r="C27" s="234">
        <f>C19+C21+D26</f>
        <v>-100.49957478513022</v>
      </c>
      <c r="G27" s="25"/>
    </row>
    <row r="28" spans="1:10" s="12" customFormat="1">
      <c r="A28" s="13" t="s">
        <v>36</v>
      </c>
    </row>
    <row r="29" spans="1:10" s="6" customFormat="1">
      <c r="A29" s="88" t="s">
        <v>682</v>
      </c>
      <c r="C29" s="89"/>
      <c r="F29" s="222">
        <f>Parameters!D27</f>
        <v>0.27</v>
      </c>
    </row>
    <row r="30" spans="1:10" s="6" customFormat="1">
      <c r="A30" s="46" t="s">
        <v>681</v>
      </c>
      <c r="B30" s="6" t="s">
        <v>23</v>
      </c>
      <c r="C30" s="89"/>
      <c r="E30" s="10">
        <v>0.55000000000000004</v>
      </c>
      <c r="F30" s="221"/>
      <c r="H30" s="6" t="s">
        <v>10</v>
      </c>
      <c r="I30" s="6" t="s">
        <v>680</v>
      </c>
      <c r="J30" s="6" t="s">
        <v>393</v>
      </c>
    </row>
    <row r="31" spans="1:10" s="6" customFormat="1">
      <c r="A31" s="46" t="s">
        <v>394</v>
      </c>
      <c r="B31" s="6" t="s">
        <v>396</v>
      </c>
      <c r="D31" s="223">
        <f>F29*1000*(1-E30)</f>
        <v>121.49999999999999</v>
      </c>
    </row>
    <row r="32" spans="1:10" s="6" customFormat="1">
      <c r="A32" s="46" t="s">
        <v>687</v>
      </c>
      <c r="B32" s="6" t="s">
        <v>683</v>
      </c>
      <c r="D32" s="223"/>
      <c r="E32" s="10">
        <v>5.3999999999999999E-2</v>
      </c>
      <c r="F32"/>
      <c r="G32" s="4"/>
      <c r="H32" t="s">
        <v>10</v>
      </c>
      <c r="I32" s="61" t="s">
        <v>719</v>
      </c>
      <c r="J32"/>
    </row>
    <row r="33" spans="1:10">
      <c r="A33" t="s">
        <v>712</v>
      </c>
      <c r="B33" t="s">
        <v>713</v>
      </c>
      <c r="D33" s="90">
        <f>D31*E32</f>
        <v>6.5609999999999991</v>
      </c>
    </row>
    <row r="34" spans="1:10">
      <c r="A34" t="s">
        <v>686</v>
      </c>
      <c r="B34" t="s">
        <v>30</v>
      </c>
      <c r="D34" s="87">
        <f>D33*Parameters!C19*Parameters!C6</f>
        <v>123.08435999999999</v>
      </c>
      <c r="F34" s="4"/>
      <c r="G34" s="4"/>
    </row>
    <row r="35" spans="1:10">
      <c r="A35" t="s">
        <v>395</v>
      </c>
      <c r="B35" t="s">
        <v>30</v>
      </c>
      <c r="D35" s="87">
        <f>D37+D40</f>
        <v>17.723199999999999</v>
      </c>
      <c r="F35" s="4"/>
      <c r="G35" s="4"/>
    </row>
    <row r="36" spans="1:10">
      <c r="A36" t="s">
        <v>127</v>
      </c>
      <c r="B36" t="s">
        <v>397</v>
      </c>
      <c r="C36" s="5"/>
      <c r="F36" s="8">
        <f>Parameters!G34</f>
        <v>5600</v>
      </c>
      <c r="G36" s="4"/>
    </row>
    <row r="37" spans="1:10">
      <c r="A37" t="s">
        <v>688</v>
      </c>
      <c r="B37" t="s">
        <v>30</v>
      </c>
      <c r="D37" s="9">
        <f>F36/1000*Parameters!C$16*Parameters!$C$5*E37</f>
        <v>11.659999999999998</v>
      </c>
      <c r="E37" s="10">
        <v>5.0000000000000001E-3</v>
      </c>
      <c r="G37" s="4"/>
      <c r="H37" t="s">
        <v>42</v>
      </c>
      <c r="I37" s="2" t="s">
        <v>43</v>
      </c>
    </row>
    <row r="38" spans="1:10">
      <c r="A38" t="s">
        <v>702</v>
      </c>
      <c r="B38" t="s">
        <v>691</v>
      </c>
      <c r="D38" s="9"/>
      <c r="E38" s="10">
        <v>0.26</v>
      </c>
      <c r="G38" s="6"/>
      <c r="H38" t="s">
        <v>436</v>
      </c>
      <c r="I38" s="2"/>
    </row>
    <row r="39" spans="1:10">
      <c r="A39" t="s">
        <v>705</v>
      </c>
      <c r="B39" t="s">
        <v>690</v>
      </c>
      <c r="E39" s="10">
        <f>0.01</f>
        <v>0.01</v>
      </c>
      <c r="G39" s="6"/>
      <c r="H39" t="s">
        <v>428</v>
      </c>
      <c r="I39" s="2" t="s">
        <v>44</v>
      </c>
    </row>
    <row r="40" spans="1:10">
      <c r="A40" t="s">
        <v>689</v>
      </c>
      <c r="B40" t="s">
        <v>30</v>
      </c>
      <c r="D40" s="9">
        <f>E39/1000*F36*E38*Parameters!C16*Parameters!C5</f>
        <v>6.0632000000000001</v>
      </c>
    </row>
    <row r="41" spans="1:10" s="3" customFormat="1">
      <c r="A41" s="3" t="s">
        <v>717</v>
      </c>
      <c r="B41" s="3" t="s">
        <v>30</v>
      </c>
      <c r="C41" s="20">
        <f>D34+D35</f>
        <v>140.80756</v>
      </c>
      <c r="D41" s="20"/>
    </row>
    <row r="42" spans="1:10" s="12" customFormat="1">
      <c r="A42" s="13" t="s">
        <v>38</v>
      </c>
    </row>
    <row r="43" spans="1:10" s="6" customFormat="1">
      <c r="A43" s="46" t="s">
        <v>898</v>
      </c>
      <c r="B43" s="6" t="s">
        <v>895</v>
      </c>
      <c r="G43" s="271">
        <f>Globalfactors.csv!E8</f>
        <v>0.3</v>
      </c>
      <c r="H43" s="6" t="s">
        <v>896</v>
      </c>
      <c r="I43" s="6" t="s">
        <v>900</v>
      </c>
      <c r="J43" s="6" t="s">
        <v>897</v>
      </c>
    </row>
    <row r="44" spans="1:10" s="6" customFormat="1">
      <c r="A44" s="46" t="s">
        <v>899</v>
      </c>
      <c r="B44" s="6" t="s">
        <v>12</v>
      </c>
      <c r="E44" s="233">
        <f>Globalfactors.csv!E34</f>
        <v>20</v>
      </c>
      <c r="G44" s="10"/>
    </row>
    <row r="45" spans="1:10" s="6" customFormat="1">
      <c r="A45" s="46" t="s">
        <v>901</v>
      </c>
      <c r="B45" s="6" t="s">
        <v>902</v>
      </c>
      <c r="E45" s="233"/>
      <c r="G45" s="10"/>
    </row>
    <row r="46" spans="1:10">
      <c r="A46" t="s">
        <v>703</v>
      </c>
      <c r="B46" t="s">
        <v>30</v>
      </c>
      <c r="D46" s="223">
        <f>E44*G43*(Globalfactors.csv!E4+Globalfactors.csv!E3)</f>
        <v>19.022966054640001</v>
      </c>
      <c r="H46" t="s">
        <v>45</v>
      </c>
      <c r="I46" t="s">
        <v>704</v>
      </c>
    </row>
    <row r="47" spans="1:10">
      <c r="A47" t="s">
        <v>47</v>
      </c>
      <c r="B47" t="s">
        <v>54</v>
      </c>
      <c r="D47" s="92">
        <f>F36*(1-E37-E38-E47)</f>
        <v>4004</v>
      </c>
      <c r="E47" s="10">
        <v>0.02</v>
      </c>
      <c r="G47" s="4"/>
      <c r="H47" t="s">
        <v>431</v>
      </c>
      <c r="J47" t="s">
        <v>429</v>
      </c>
    </row>
    <row r="48" spans="1:10">
      <c r="A48" t="s">
        <v>700</v>
      </c>
      <c r="B48" t="s">
        <v>690</v>
      </c>
      <c r="D48" s="9">
        <f>D47*Parameters!C$16*Parameters!$C$5/1000*E48</f>
        <v>20.842250000000003</v>
      </c>
      <c r="E48" s="10">
        <v>1.2500000000000001E-2</v>
      </c>
      <c r="H48" t="s">
        <v>430</v>
      </c>
    </row>
    <row r="49" spans="1:11">
      <c r="A49" t="s">
        <v>701</v>
      </c>
      <c r="B49" t="s">
        <v>691</v>
      </c>
      <c r="D49" s="9"/>
      <c r="E49" s="10">
        <v>0.2</v>
      </c>
      <c r="H49" t="s">
        <v>698</v>
      </c>
    </row>
    <row r="50" spans="1:11">
      <c r="A50" t="s">
        <v>705</v>
      </c>
      <c r="B50" t="s">
        <v>690</v>
      </c>
      <c r="D50" s="9">
        <f>E50*E49*D47*Parameters!C16*Parameters!C5/1000</f>
        <v>3.3347600000000002</v>
      </c>
      <c r="E50" s="10">
        <f>0.01</f>
        <v>0.01</v>
      </c>
      <c r="H50" t="s">
        <v>699</v>
      </c>
    </row>
    <row r="51" spans="1:11">
      <c r="A51" t="s">
        <v>395</v>
      </c>
      <c r="B51" t="s">
        <v>30</v>
      </c>
      <c r="D51" s="18">
        <f>D48+D50</f>
        <v>24.177010000000003</v>
      </c>
    </row>
    <row r="52" spans="1:11" s="3" customFormat="1">
      <c r="A52" s="3" t="s">
        <v>716</v>
      </c>
      <c r="B52" s="3" t="s">
        <v>30</v>
      </c>
      <c r="C52" s="20">
        <f>D46+D51</f>
        <v>43.199976054640004</v>
      </c>
    </row>
    <row r="53" spans="1:11" s="13" customFormat="1">
      <c r="A53" s="13" t="s">
        <v>435</v>
      </c>
      <c r="D53" s="107"/>
    </row>
    <row r="54" spans="1:11" s="116" customFormat="1" ht="14">
      <c r="A54" s="116" t="s">
        <v>486</v>
      </c>
      <c r="B54" s="116" t="s">
        <v>711</v>
      </c>
      <c r="C54" s="211"/>
      <c r="D54" s="211"/>
      <c r="F54" s="220">
        <f>Parameters!J27</f>
        <v>145.73955722402675</v>
      </c>
      <c r="H54" s="116" t="s">
        <v>668</v>
      </c>
      <c r="I54" s="116" t="s">
        <v>708</v>
      </c>
      <c r="J54" s="116" t="s">
        <v>707</v>
      </c>
    </row>
    <row r="55" spans="1:11" s="116" customFormat="1" ht="14">
      <c r="A55" s="116" t="s">
        <v>720</v>
      </c>
      <c r="B55" s="116" t="s">
        <v>710</v>
      </c>
      <c r="C55" s="211"/>
      <c r="D55" s="211"/>
      <c r="F55" s="205">
        <f>Parameters!O27</f>
        <v>0.84099999999999997</v>
      </c>
      <c r="I55" s="116">
        <f>+-3%</f>
        <v>-0.03</v>
      </c>
    </row>
    <row r="56" spans="1:11" s="47" customFormat="1">
      <c r="A56" s="116" t="s">
        <v>539</v>
      </c>
      <c r="B56" s="231" t="s">
        <v>709</v>
      </c>
      <c r="C56" s="234">
        <f>-D62*Parameters!C17</f>
        <v>-33.986464744643051</v>
      </c>
      <c r="D56" s="283">
        <f>F54*(1-F55)</f>
        <v>23.172589598620259</v>
      </c>
      <c r="F56" s="169"/>
      <c r="J56" s="266" t="s">
        <v>923</v>
      </c>
      <c r="K56" s="190"/>
    </row>
    <row r="57" spans="1:11" s="47" customFormat="1">
      <c r="A57" s="116" t="s">
        <v>914</v>
      </c>
      <c r="B57" s="266" t="s">
        <v>915</v>
      </c>
      <c r="D57" s="234">
        <f>F15*0.7</f>
        <v>63.146999999999991</v>
      </c>
      <c r="F57" s="169"/>
      <c r="J57" s="203"/>
      <c r="K57" s="190"/>
    </row>
    <row r="58" spans="1:11">
      <c r="A58" s="116" t="s">
        <v>924</v>
      </c>
      <c r="B58" t="s">
        <v>911</v>
      </c>
      <c r="D58" s="21">
        <f>(D57)*12/16</f>
        <v>47.360249999999994</v>
      </c>
    </row>
    <row r="59" spans="1:11">
      <c r="A59" s="116" t="s">
        <v>916</v>
      </c>
      <c r="B59" t="s">
        <v>912</v>
      </c>
      <c r="D59" s="21">
        <f>D57/0.6-D57</f>
        <v>42.097999999999999</v>
      </c>
      <c r="J59" t="s">
        <v>913</v>
      </c>
    </row>
    <row r="60" spans="1:11">
      <c r="A60" s="116" t="s">
        <v>921</v>
      </c>
      <c r="B60" t="s">
        <v>922</v>
      </c>
      <c r="D60" s="21">
        <f>D59*12/44</f>
        <v>11.481272727272726</v>
      </c>
    </row>
    <row r="61" spans="1:11">
      <c r="A61" s="116" t="s">
        <v>917</v>
      </c>
      <c r="B61" t="s">
        <v>918</v>
      </c>
      <c r="D61" s="86">
        <f>F54-D60-D58</f>
        <v>86.898034496754022</v>
      </c>
    </row>
    <row r="62" spans="1:11">
      <c r="A62" s="116" t="s">
        <v>919</v>
      </c>
      <c r="D62" s="86">
        <f>D56*(F62)</f>
        <v>9.2690358394481045</v>
      </c>
      <c r="E62">
        <v>1</v>
      </c>
      <c r="F62" s="10">
        <v>0.4</v>
      </c>
      <c r="G62" s="53">
        <f>D62/D61</f>
        <v>0.10666565582440578</v>
      </c>
      <c r="I62" t="s">
        <v>920</v>
      </c>
      <c r="J62" t="s">
        <v>976</v>
      </c>
    </row>
    <row r="64" spans="1:11" s="44" customFormat="1">
      <c r="A64" s="45" t="s">
        <v>388</v>
      </c>
      <c r="C64" s="183">
        <f>C27+C41+C52+C56</f>
        <v>49.521496524866727</v>
      </c>
    </row>
    <row r="65" spans="1:9" s="45" customFormat="1">
      <c r="A65" s="45" t="s">
        <v>111</v>
      </c>
    </row>
    <row r="66" spans="1:9">
      <c r="A66" t="s">
        <v>47</v>
      </c>
      <c r="C66" s="91"/>
      <c r="D66" s="93">
        <f>D47-D47*E48-D47*E49-D47*0.02</f>
        <v>3073.0699999999997</v>
      </c>
    </row>
    <row r="67" spans="1:9" s="6" customFormat="1">
      <c r="A67" s="6" t="s">
        <v>401</v>
      </c>
      <c r="B67" s="6" t="s">
        <v>48</v>
      </c>
      <c r="D67" s="18">
        <f>D66*E67</f>
        <v>1229.2280000000001</v>
      </c>
      <c r="E67" s="10">
        <v>0.4</v>
      </c>
      <c r="H67" s="94">
        <f>-'[2]Fertilizer literature'!I1</f>
        <v>0</v>
      </c>
      <c r="I67" s="6" t="s">
        <v>432</v>
      </c>
    </row>
    <row r="68" spans="1:9">
      <c r="A68" t="s">
        <v>399</v>
      </c>
      <c r="B68" t="s">
        <v>400</v>
      </c>
      <c r="D68" s="18">
        <f>G68*D67/1000</f>
        <v>-8.3587504000000017</v>
      </c>
      <c r="G68" s="4">
        <f>Globalfactors.csv!E6</f>
        <v>-6.8</v>
      </c>
      <c r="I68" t="s">
        <v>433</v>
      </c>
    </row>
    <row r="69" spans="1:9">
      <c r="A69" t="s">
        <v>404</v>
      </c>
      <c r="B69" t="s">
        <v>400</v>
      </c>
      <c r="D69" s="18">
        <f>G69*D67/1000</f>
        <v>-6.6378312000000008</v>
      </c>
      <c r="G69">
        <v>-5.4</v>
      </c>
      <c r="I69" t="s">
        <v>434</v>
      </c>
    </row>
    <row r="70" spans="1:9" s="3" customFormat="1">
      <c r="A70" s="3" t="s">
        <v>715</v>
      </c>
      <c r="B70" s="3" t="s">
        <v>30</v>
      </c>
      <c r="C70" s="20">
        <f>D68+D69</f>
        <v>-14.996581600000003</v>
      </c>
      <c r="D70" s="238"/>
    </row>
    <row r="71" spans="1:9" s="6" customFormat="1">
      <c r="A71" s="88" t="s">
        <v>718</v>
      </c>
      <c r="C71" s="239">
        <f>C64+C70</f>
        <v>34.524914924866721</v>
      </c>
      <c r="D71" s="7"/>
    </row>
    <row r="72" spans="1:9" s="6" customFormat="1">
      <c r="A72" s="88"/>
      <c r="C72" s="108"/>
    </row>
    <row r="73" spans="1:9" s="6" customFormat="1">
      <c r="A73" s="88"/>
      <c r="C73" s="108"/>
    </row>
    <row r="74" spans="1:9">
      <c r="C74" s="86"/>
    </row>
    <row r="75" spans="1:9">
      <c r="A75" s="7"/>
      <c r="C75" s="86"/>
      <c r="E75" s="7"/>
    </row>
    <row r="76" spans="1:9">
      <c r="A76" s="7" t="s">
        <v>437</v>
      </c>
      <c r="H76" s="104"/>
    </row>
    <row r="77" spans="1:9">
      <c r="A77" s="7"/>
    </row>
    <row r="82" spans="6:7" ht="16">
      <c r="F82" s="75"/>
      <c r="G82" s="7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E10" sqref="E10"/>
    </sheetView>
  </sheetViews>
  <sheetFormatPr baseColWidth="10" defaultColWidth="11" defaultRowHeight="15" x14ac:dyDescent="0"/>
  <cols>
    <col min="1" max="1" width="34.6640625" customWidth="1"/>
    <col min="2" max="2" width="14.33203125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27.6640625" customWidth="1"/>
    <col min="8" max="8" width="46" customWidth="1"/>
    <col min="10" max="10" width="18.83203125" customWidth="1"/>
  </cols>
  <sheetData>
    <row r="1" spans="1:20" s="43" customFormat="1" ht="30">
      <c r="B1" s="43" t="s">
        <v>14</v>
      </c>
      <c r="C1" s="43" t="s">
        <v>26</v>
      </c>
      <c r="D1" s="43" t="s">
        <v>114</v>
      </c>
      <c r="E1" s="43" t="s">
        <v>774</v>
      </c>
      <c r="F1" s="43" t="s">
        <v>660</v>
      </c>
      <c r="G1" s="43" t="s">
        <v>659</v>
      </c>
      <c r="H1" s="43" t="s">
        <v>2</v>
      </c>
      <c r="I1" s="43" t="s">
        <v>641</v>
      </c>
      <c r="J1" s="43" t="s">
        <v>5</v>
      </c>
      <c r="S1" s="27">
        <v>3.7854100000000002</v>
      </c>
      <c r="T1" s="111" t="s">
        <v>445</v>
      </c>
    </row>
    <row r="2" spans="1:20" s="12" customFormat="1" hidden="1">
      <c r="A2" s="13" t="s">
        <v>0</v>
      </c>
      <c r="C2" s="11">
        <f>C6</f>
        <v>4.28</v>
      </c>
      <c r="D2" s="11"/>
      <c r="E2" s="11"/>
    </row>
    <row r="3" spans="1:20" hidden="1">
      <c r="A3" t="s">
        <v>3</v>
      </c>
      <c r="B3" t="s">
        <v>4</v>
      </c>
      <c r="E3" s="8" t="s">
        <v>20</v>
      </c>
      <c r="F3" s="10">
        <v>0.107</v>
      </c>
      <c r="G3" s="1" t="s">
        <v>7</v>
      </c>
      <c r="H3" s="6" t="s">
        <v>6</v>
      </c>
    </row>
    <row r="4" spans="1:20" s="50" customFormat="1" ht="56" hidden="1">
      <c r="A4" s="76" t="s">
        <v>1</v>
      </c>
      <c r="B4" s="77" t="s">
        <v>4</v>
      </c>
      <c r="C4" s="78"/>
      <c r="D4" s="78"/>
      <c r="E4" s="79" t="s">
        <v>21</v>
      </c>
      <c r="F4" s="80">
        <v>1.31</v>
      </c>
      <c r="G4" s="81" t="s">
        <v>143</v>
      </c>
      <c r="H4" s="81" t="s">
        <v>389</v>
      </c>
      <c r="I4" s="52" t="s">
        <v>85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H5" s="5" t="s">
        <v>24</v>
      </c>
    </row>
    <row r="6" spans="1:20" hidden="1">
      <c r="A6" s="16" t="s">
        <v>15</v>
      </c>
      <c r="B6" s="16" t="s">
        <v>30</v>
      </c>
      <c r="C6" s="17">
        <f>E5*F3</f>
        <v>4.28</v>
      </c>
      <c r="H6" s="5" t="s">
        <v>18</v>
      </c>
    </row>
    <row r="7" spans="1:20" s="12" customFormat="1">
      <c r="A7" s="13" t="s">
        <v>38</v>
      </c>
      <c r="C7" s="284">
        <f>C10+C12</f>
        <v>52.836966054640001</v>
      </c>
    </row>
    <row r="8" spans="1:20" s="6" customFormat="1">
      <c r="A8" s="46" t="s">
        <v>903</v>
      </c>
      <c r="B8" s="6" t="s">
        <v>895</v>
      </c>
      <c r="C8" s="232"/>
      <c r="E8" s="235">
        <f>Globalfactors.csv!E8</f>
        <v>0.3</v>
      </c>
    </row>
    <row r="9" spans="1:20" s="6" customFormat="1">
      <c r="A9" s="46" t="s">
        <v>899</v>
      </c>
      <c r="B9" s="6" t="s">
        <v>12</v>
      </c>
      <c r="C9" s="232"/>
      <c r="E9" s="5">
        <f>Globalfactors.csv!E37</f>
        <v>20</v>
      </c>
    </row>
    <row r="10" spans="1:20">
      <c r="A10" t="s">
        <v>46</v>
      </c>
      <c r="B10" t="s">
        <v>30</v>
      </c>
      <c r="C10" s="9">
        <f>E9*E8*(Globalfactors.csv!E3+Globalfactors.csv!E4)</f>
        <v>19.022966054640001</v>
      </c>
      <c r="G10" s="240" t="s">
        <v>721</v>
      </c>
      <c r="H10" t="s">
        <v>45</v>
      </c>
    </row>
    <row r="11" spans="1:20">
      <c r="A11" t="s">
        <v>405</v>
      </c>
      <c r="B11" t="s">
        <v>54</v>
      </c>
      <c r="D11" s="92"/>
      <c r="F11" s="8">
        <f>Parameters!G34</f>
        <v>5600</v>
      </c>
      <c r="H11" t="s">
        <v>398</v>
      </c>
    </row>
    <row r="12" spans="1:20">
      <c r="A12" t="s">
        <v>395</v>
      </c>
      <c r="B12" t="s">
        <v>30</v>
      </c>
      <c r="C12" s="18">
        <f>D14+D17</f>
        <v>33.814</v>
      </c>
    </row>
    <row r="13" spans="1:20">
      <c r="A13" t="s">
        <v>700</v>
      </c>
      <c r="B13" t="s">
        <v>690</v>
      </c>
      <c r="C13" s="18"/>
      <c r="E13" s="4">
        <v>1.2500000000000001E-2</v>
      </c>
      <c r="H13" t="s">
        <v>430</v>
      </c>
    </row>
    <row r="14" spans="1:20">
      <c r="A14" t="s">
        <v>40</v>
      </c>
      <c r="B14" t="s">
        <v>30</v>
      </c>
      <c r="D14" s="9">
        <f>F11*Parameters!C$16*Parameters!$C$5/1000*E13</f>
        <v>29.150000000000002</v>
      </c>
    </row>
    <row r="15" spans="1:20">
      <c r="A15" t="s">
        <v>705</v>
      </c>
      <c r="B15" t="s">
        <v>690</v>
      </c>
      <c r="D15" s="9"/>
      <c r="E15" s="4">
        <v>0.01</v>
      </c>
      <c r="H15" t="s">
        <v>699</v>
      </c>
    </row>
    <row r="16" spans="1:20">
      <c r="A16" t="s">
        <v>701</v>
      </c>
      <c r="B16" t="s">
        <v>691</v>
      </c>
      <c r="D16" s="9"/>
      <c r="E16" s="10">
        <v>0.2</v>
      </c>
      <c r="H16" t="s">
        <v>698</v>
      </c>
    </row>
    <row r="17" spans="1:11">
      <c r="A17" t="s">
        <v>41</v>
      </c>
      <c r="B17" t="s">
        <v>30</v>
      </c>
      <c r="D17" s="9">
        <f>F11*Parameters!C$16*Parameters!$C$5/1000*E15*E16</f>
        <v>4.6640000000000006</v>
      </c>
    </row>
    <row r="18" spans="1:11" s="13" customFormat="1">
      <c r="A18" s="13" t="s">
        <v>435</v>
      </c>
      <c r="D18" s="107"/>
    </row>
    <row r="19" spans="1:11" s="116" customFormat="1" ht="14">
      <c r="A19" s="116" t="s">
        <v>486</v>
      </c>
      <c r="B19" s="116" t="s">
        <v>711</v>
      </c>
      <c r="C19" s="211"/>
      <c r="D19" s="211"/>
      <c r="F19" s="220">
        <f>Parameters!J27</f>
        <v>145.73955722402675</v>
      </c>
      <c r="H19" s="116" t="s">
        <v>668</v>
      </c>
      <c r="I19" s="116" t="s">
        <v>708</v>
      </c>
      <c r="J19" s="116" t="s">
        <v>707</v>
      </c>
    </row>
    <row r="20" spans="1:11" s="116" customFormat="1" ht="14">
      <c r="A20" s="116" t="s">
        <v>768</v>
      </c>
      <c r="C20" s="211"/>
      <c r="D20" s="211"/>
      <c r="E20" s="116">
        <v>1</v>
      </c>
      <c r="F20" s="220"/>
    </row>
    <row r="21" spans="1:11" s="116" customFormat="1" ht="14">
      <c r="A21" s="116" t="s">
        <v>720</v>
      </c>
      <c r="B21" s="116" t="s">
        <v>710</v>
      </c>
      <c r="C21" s="211"/>
      <c r="D21" s="211"/>
      <c r="F21" s="205">
        <f>Parameters!O27</f>
        <v>0.84099999999999997</v>
      </c>
      <c r="I21" s="116">
        <f>+-3%</f>
        <v>-0.03</v>
      </c>
    </row>
    <row r="22" spans="1:11" s="47" customFormat="1" ht="14">
      <c r="A22" s="116" t="s">
        <v>539</v>
      </c>
      <c r="B22" s="231" t="s">
        <v>709</v>
      </c>
      <c r="D22" s="211">
        <f>F19*(1-F21)</f>
        <v>23.172589598620259</v>
      </c>
      <c r="F22" s="169"/>
      <c r="J22" s="203" t="s">
        <v>667</v>
      </c>
      <c r="K22" s="190"/>
    </row>
    <row r="23" spans="1:11">
      <c r="A23" s="116" t="s">
        <v>919</v>
      </c>
      <c r="C23" s="234">
        <f>-D23*Parameters!C17</f>
        <v>-59.47631330312533</v>
      </c>
      <c r="D23" s="86">
        <f>D22*(F23)</f>
        <v>16.220812719034182</v>
      </c>
      <c r="E23">
        <v>1</v>
      </c>
      <c r="F23" s="10">
        <f>Globalfactors.csv!E48</f>
        <v>0.7</v>
      </c>
      <c r="G23" s="53">
        <f>D23/F19</f>
        <v>0.11130000000000002</v>
      </c>
      <c r="H23" t="s">
        <v>933</v>
      </c>
      <c r="I23" t="s">
        <v>920</v>
      </c>
      <c r="J23" t="s">
        <v>925</v>
      </c>
    </row>
    <row r="24" spans="1:11" s="44" customFormat="1">
      <c r="A24" s="45" t="s">
        <v>388</v>
      </c>
      <c r="C24" s="183">
        <f>C23+C7</f>
        <v>-6.6393472484853291</v>
      </c>
    </row>
    <row r="25" spans="1:11" s="45" customFormat="1">
      <c r="A25" s="45" t="s">
        <v>111</v>
      </c>
      <c r="C25" s="242">
        <f>D29+D30</f>
        <v>-20.974240000000002</v>
      </c>
    </row>
    <row r="26" spans="1:11" s="45" customFormat="1">
      <c r="A26" s="88" t="s">
        <v>431</v>
      </c>
      <c r="B26" s="88" t="s">
        <v>23</v>
      </c>
      <c r="C26" s="241"/>
      <c r="D26" s="88"/>
      <c r="E26" s="88"/>
      <c r="F26" s="10">
        <v>0.02</v>
      </c>
      <c r="G26" s="4"/>
      <c r="H26" t="s">
        <v>431</v>
      </c>
      <c r="I26"/>
      <c r="J26"/>
    </row>
    <row r="27" spans="1:11">
      <c r="A27" t="s">
        <v>47</v>
      </c>
      <c r="B27" t="s">
        <v>616</v>
      </c>
      <c r="C27" s="91"/>
      <c r="D27" s="93">
        <f>F11-F11*E13-F11*E16-F11*F26</f>
        <v>4298</v>
      </c>
      <c r="F27">
        <v>0.02</v>
      </c>
    </row>
    <row r="28" spans="1:11">
      <c r="A28" t="s">
        <v>401</v>
      </c>
      <c r="B28" t="s">
        <v>48</v>
      </c>
      <c r="D28" s="9">
        <f>D27*F28</f>
        <v>1719.2</v>
      </c>
      <c r="F28" s="4">
        <f>Globalfactors.csv!E7</f>
        <v>0.4</v>
      </c>
      <c r="G28" s="94"/>
      <c r="H28" t="s">
        <v>402</v>
      </c>
    </row>
    <row r="29" spans="1:11">
      <c r="A29" t="s">
        <v>609</v>
      </c>
      <c r="B29" t="s">
        <v>400</v>
      </c>
      <c r="D29" s="9">
        <f>F29*D28/1000</f>
        <v>-11.69056</v>
      </c>
      <c r="F29" s="4">
        <v>-6.8</v>
      </c>
      <c r="G29" t="s">
        <v>614</v>
      </c>
      <c r="H29" t="s">
        <v>403</v>
      </c>
    </row>
    <row r="30" spans="1:11">
      <c r="A30" t="s">
        <v>541</v>
      </c>
      <c r="B30" t="s">
        <v>400</v>
      </c>
      <c r="D30" s="9">
        <f>F30*D28/1000</f>
        <v>-9.2836800000000004</v>
      </c>
      <c r="F30" s="10">
        <f>AD!G69</f>
        <v>-5.4</v>
      </c>
      <c r="G30" t="s">
        <v>613</v>
      </c>
      <c r="H30" t="s">
        <v>434</v>
      </c>
    </row>
    <row r="31" spans="1:11">
      <c r="A31" t="s">
        <v>610</v>
      </c>
      <c r="B31" t="s">
        <v>611</v>
      </c>
      <c r="D31" s="9">
        <f>F31*D28/1000</f>
        <v>3.4384000000000001</v>
      </c>
      <c r="F31" s="10">
        <v>2</v>
      </c>
      <c r="G31" t="s">
        <v>722</v>
      </c>
    </row>
    <row r="32" spans="1:11">
      <c r="A32" t="s">
        <v>608</v>
      </c>
      <c r="D32" s="9"/>
      <c r="F32" s="4">
        <v>0.75</v>
      </c>
      <c r="G32" t="s">
        <v>722</v>
      </c>
    </row>
    <row r="33" spans="1:3" s="44" customFormat="1">
      <c r="A33" s="45" t="s">
        <v>388</v>
      </c>
      <c r="C33" s="95">
        <f>C24+C25</f>
        <v>-27.613587248485331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selection activeCell="E34" sqref="E34"/>
    </sheetView>
  </sheetViews>
  <sheetFormatPr baseColWidth="10" defaultColWidth="11" defaultRowHeight="15" x14ac:dyDescent="0"/>
  <cols>
    <col min="1" max="1" width="45.5" customWidth="1"/>
    <col min="7" max="7" width="16.83203125" customWidth="1"/>
    <col min="8" max="8" width="29" customWidth="1"/>
    <col min="9" max="9" width="10.6640625" customWidth="1"/>
  </cols>
  <sheetData>
    <row r="1" spans="1:20" s="43" customFormat="1" ht="45">
      <c r="B1" s="43" t="s">
        <v>14</v>
      </c>
      <c r="C1" s="43" t="s">
        <v>26</v>
      </c>
      <c r="D1" s="43" t="s">
        <v>114</v>
      </c>
      <c r="E1" s="43" t="s">
        <v>777</v>
      </c>
      <c r="F1" s="43" t="s">
        <v>660</v>
      </c>
      <c r="G1" s="43" t="s">
        <v>659</v>
      </c>
      <c r="H1" s="43" t="s">
        <v>2</v>
      </c>
      <c r="I1" s="43" t="s">
        <v>641</v>
      </c>
      <c r="J1" s="43" t="s">
        <v>5</v>
      </c>
      <c r="S1" s="27">
        <v>3.7854100000000002</v>
      </c>
      <c r="T1" s="111" t="s">
        <v>445</v>
      </c>
    </row>
    <row r="2" spans="1:20" s="43" customFormat="1" ht="45">
      <c r="B2" s="43" t="s">
        <v>14</v>
      </c>
      <c r="C2" s="43" t="s">
        <v>26</v>
      </c>
      <c r="D2" s="43" t="s">
        <v>114</v>
      </c>
      <c r="E2" s="43" t="s">
        <v>115</v>
      </c>
      <c r="F2" s="43" t="s">
        <v>116</v>
      </c>
      <c r="H2" s="43" t="s">
        <v>2</v>
      </c>
      <c r="I2" s="43" t="s">
        <v>641</v>
      </c>
      <c r="J2" s="43" t="s">
        <v>5</v>
      </c>
    </row>
    <row r="3" spans="1:20" s="12" customFormat="1" hidden="1">
      <c r="A3" s="13" t="s">
        <v>441</v>
      </c>
      <c r="C3" s="11">
        <f>C7</f>
        <v>4.28</v>
      </c>
      <c r="D3" s="11"/>
      <c r="E3" s="11"/>
    </row>
    <row r="4" spans="1:20" hidden="1">
      <c r="A4" t="s">
        <v>427</v>
      </c>
      <c r="B4" t="s">
        <v>4</v>
      </c>
      <c r="F4" s="10">
        <v>0.107</v>
      </c>
      <c r="G4" s="10"/>
      <c r="H4" s="1" t="s">
        <v>7</v>
      </c>
      <c r="I4" s="1"/>
      <c r="J4" s="6" t="s">
        <v>390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J5" s="5" t="s">
        <v>24</v>
      </c>
    </row>
    <row r="6" spans="1:20" hidden="1">
      <c r="A6" t="s">
        <v>442</v>
      </c>
      <c r="J6" t="s">
        <v>443</v>
      </c>
    </row>
    <row r="7" spans="1:20" hidden="1">
      <c r="A7" s="16" t="s">
        <v>15</v>
      </c>
      <c r="B7" s="16" t="s">
        <v>30</v>
      </c>
      <c r="C7" s="17">
        <f>E5*F4</f>
        <v>4.28</v>
      </c>
      <c r="J7" s="5" t="s">
        <v>18</v>
      </c>
    </row>
    <row r="8" spans="1:20" s="41" customFormat="1" hidden="1">
      <c r="A8" s="41" t="s">
        <v>112</v>
      </c>
    </row>
    <row r="9" spans="1:20" hidden="1">
      <c r="A9" t="s">
        <v>122</v>
      </c>
      <c r="F9">
        <f>118*0.021*16/12</f>
        <v>3.3040000000000003</v>
      </c>
      <c r="J9" t="s">
        <v>438</v>
      </c>
    </row>
    <row r="10" spans="1:20" hidden="1">
      <c r="A10" t="s">
        <v>123</v>
      </c>
      <c r="J10" t="s">
        <v>439</v>
      </c>
    </row>
    <row r="11" spans="1:20" hidden="1">
      <c r="A11" t="s">
        <v>124</v>
      </c>
      <c r="J11" t="s">
        <v>125</v>
      </c>
    </row>
    <row r="12" spans="1:20" s="13" customFormat="1">
      <c r="A12" s="13" t="s">
        <v>582</v>
      </c>
      <c r="C12" s="40">
        <f>C14</f>
        <v>9.5114830273200006</v>
      </c>
    </row>
    <row r="13" spans="1:20" s="46" customFormat="1">
      <c r="A13" s="46" t="s">
        <v>592</v>
      </c>
      <c r="B13" s="46" t="s">
        <v>463</v>
      </c>
      <c r="C13" s="109"/>
      <c r="E13" s="272">
        <f>Globalfactors.csv!E43</f>
        <v>3</v>
      </c>
      <c r="H13" s="46" t="s">
        <v>540</v>
      </c>
      <c r="I13" s="46">
        <f>Globalfactors.csv!F43</f>
        <v>0.4</v>
      </c>
      <c r="J13" s="192" t="s">
        <v>646</v>
      </c>
    </row>
    <row r="14" spans="1:20" s="46" customFormat="1">
      <c r="A14" s="46" t="s">
        <v>593</v>
      </c>
      <c r="B14" s="46" t="s">
        <v>30</v>
      </c>
      <c r="C14" s="173">
        <f>E13*F14</f>
        <v>9.5114830273200006</v>
      </c>
      <c r="F14" s="46">
        <f>'Landfill '!G4+'Landfill '!G5</f>
        <v>3.1704943424400001</v>
      </c>
      <c r="H14" s="46" t="s">
        <v>581</v>
      </c>
      <c r="J14" s="46" t="s">
        <v>591</v>
      </c>
    </row>
    <row r="15" spans="1:20" s="46" customFormat="1">
      <c r="C15" s="173"/>
    </row>
    <row r="16" spans="1:20" s="13" customFormat="1">
      <c r="A16" s="13" t="s">
        <v>440</v>
      </c>
      <c r="C16" s="40">
        <f>C22+C26</f>
        <v>81.854229962770901</v>
      </c>
    </row>
    <row r="17" spans="1:11">
      <c r="A17" s="15" t="s">
        <v>486</v>
      </c>
      <c r="B17" s="15" t="s">
        <v>447</v>
      </c>
      <c r="C17" s="2"/>
      <c r="D17" s="2"/>
      <c r="F17" s="191">
        <f>Parameters!J27</f>
        <v>145.73955722402675</v>
      </c>
      <c r="I17" t="s">
        <v>583</v>
      </c>
      <c r="J17" s="5"/>
    </row>
    <row r="18" spans="1:11">
      <c r="A18" s="15" t="s">
        <v>723</v>
      </c>
      <c r="B18" s="15" t="s">
        <v>601</v>
      </c>
      <c r="C18" s="2"/>
      <c r="D18" s="177">
        <f>F17*E18</f>
        <v>84.528943189935518</v>
      </c>
      <c r="E18" s="4">
        <f>Globalfactors.csv!E45</f>
        <v>0.57999999999999996</v>
      </c>
      <c r="H18" t="s">
        <v>540</v>
      </c>
      <c r="I18">
        <f>Globalfactors.csv!F45</f>
        <v>0.4</v>
      </c>
      <c r="J18" s="6" t="s">
        <v>785</v>
      </c>
    </row>
    <row r="19" spans="1:11">
      <c r="A19" s="15" t="s">
        <v>867</v>
      </c>
      <c r="B19" s="15" t="s">
        <v>788</v>
      </c>
      <c r="C19" s="2"/>
      <c r="D19" s="177"/>
      <c r="E19" s="4">
        <f>Globalfactors.csv!E46</f>
        <v>0.02</v>
      </c>
      <c r="J19" s="6"/>
    </row>
    <row r="20" spans="1:11">
      <c r="A20" s="15" t="s">
        <v>584</v>
      </c>
      <c r="B20" s="15" t="s">
        <v>725</v>
      </c>
      <c r="C20" s="2"/>
      <c r="D20" s="243">
        <f>D18*E19</f>
        <v>1.6905788637987105</v>
      </c>
      <c r="H20" s="6" t="s">
        <v>595</v>
      </c>
      <c r="I20" s="6"/>
      <c r="J20" s="5"/>
    </row>
    <row r="21" spans="1:11">
      <c r="A21" s="15" t="s">
        <v>584</v>
      </c>
      <c r="B21" s="15" t="s">
        <v>594</v>
      </c>
      <c r="C21" s="2"/>
      <c r="D21" s="175">
        <f>D20*Parameters!C18</f>
        <v>2.254105151731614</v>
      </c>
      <c r="E21" s="6"/>
      <c r="J21" s="14" t="s">
        <v>730</v>
      </c>
    </row>
    <row r="22" spans="1:11" s="6" customFormat="1">
      <c r="A22" s="14" t="s">
        <v>868</v>
      </c>
      <c r="B22" s="14" t="s">
        <v>30</v>
      </c>
      <c r="C22" s="174">
        <f>D21*Parameters!C6</f>
        <v>63.114944248485187</v>
      </c>
      <c r="D22" s="5"/>
      <c r="E22" s="5"/>
    </row>
    <row r="23" spans="1:11">
      <c r="A23" t="s">
        <v>127</v>
      </c>
      <c r="B23" t="s">
        <v>48</v>
      </c>
      <c r="D23" s="176"/>
      <c r="F23" s="99">
        <f>Parameters!G27</f>
        <v>9000</v>
      </c>
    </row>
    <row r="24" spans="1:11">
      <c r="A24" s="14" t="s">
        <v>628</v>
      </c>
      <c r="B24" s="14" t="s">
        <v>806</v>
      </c>
      <c r="E24" s="4">
        <f>Globalfactors.csv!E47</f>
        <v>5.0000000000000001E-3</v>
      </c>
      <c r="H24" t="s">
        <v>889</v>
      </c>
      <c r="I24">
        <f>Globalfactors.csv!F47</f>
        <v>1E-3</v>
      </c>
      <c r="J24" t="s">
        <v>596</v>
      </c>
    </row>
    <row r="25" spans="1:11">
      <c r="A25" s="15" t="s">
        <v>395</v>
      </c>
      <c r="B25" s="15" t="s">
        <v>597</v>
      </c>
      <c r="C25" s="177"/>
      <c r="D25" s="21">
        <f>E24*F23*Parameters!C16/1000</f>
        <v>7.0714285714285702E-2</v>
      </c>
      <c r="J25" s="5"/>
    </row>
    <row r="26" spans="1:11">
      <c r="A26" s="15" t="s">
        <v>869</v>
      </c>
      <c r="B26" s="15" t="s">
        <v>30</v>
      </c>
      <c r="C26" s="177">
        <f>D25*Parameters!C5</f>
        <v>18.73928571428571</v>
      </c>
      <c r="D26" s="21"/>
      <c r="J26" s="186" t="s">
        <v>599</v>
      </c>
    </row>
    <row r="27" spans="1:11" s="13" customFormat="1">
      <c r="A27" s="13" t="s">
        <v>585</v>
      </c>
      <c r="C27" s="40">
        <f>C33</f>
        <v>-16.993232372321526</v>
      </c>
    </row>
    <row r="28" spans="1:11" s="6" customFormat="1" hidden="1">
      <c r="A28" s="14" t="s">
        <v>602</v>
      </c>
      <c r="B28" s="14" t="s">
        <v>603</v>
      </c>
      <c r="D28" s="110">
        <f>F17*(1-E18)</f>
        <v>61.210614034091243</v>
      </c>
      <c r="J28" s="6" t="s">
        <v>636</v>
      </c>
      <c r="K28" s="108"/>
    </row>
    <row r="29" spans="1:11" s="6" customFormat="1" hidden="1">
      <c r="A29" s="14" t="s">
        <v>604</v>
      </c>
      <c r="B29" s="14" t="s">
        <v>605</v>
      </c>
      <c r="D29" s="110">
        <f>D28*F29</f>
        <v>6.1210614034091249</v>
      </c>
      <c r="E29" s="108"/>
      <c r="F29" s="6">
        <v>0.1</v>
      </c>
      <c r="J29" s="6" t="s">
        <v>635</v>
      </c>
      <c r="K29" s="108"/>
    </row>
    <row r="30" spans="1:11" s="6" customFormat="1">
      <c r="A30" s="14" t="s">
        <v>790</v>
      </c>
      <c r="B30" s="14"/>
      <c r="C30" s="86"/>
      <c r="D30" s="110">
        <f>F17-D18</f>
        <v>61.210614034091236</v>
      </c>
      <c r="E30" s="108"/>
      <c r="F30" s="108"/>
      <c r="J30" s="6" t="s">
        <v>879</v>
      </c>
      <c r="K30" s="108"/>
    </row>
    <row r="31" spans="1:11">
      <c r="A31" s="14" t="s">
        <v>874</v>
      </c>
      <c r="D31" s="86">
        <f>F17*(1-F31)</f>
        <v>23.172589598620259</v>
      </c>
      <c r="F31" s="280">
        <f>Parameters!O27</f>
        <v>0.84099999999999997</v>
      </c>
      <c r="G31" s="86">
        <f>D31/D30</f>
        <v>0.37857142857142867</v>
      </c>
      <c r="H31" t="s">
        <v>875</v>
      </c>
      <c r="I31" s="104"/>
      <c r="J31" s="7" t="s">
        <v>600</v>
      </c>
    </row>
    <row r="32" spans="1:11">
      <c r="A32" s="14" t="s">
        <v>873</v>
      </c>
      <c r="B32" s="14"/>
      <c r="C32" s="86"/>
      <c r="D32" s="86">
        <f>D31*(E32)</f>
        <v>4.6345179197240522</v>
      </c>
      <c r="E32" s="4">
        <v>0.2</v>
      </c>
      <c r="F32" s="6"/>
      <c r="G32" s="86">
        <f>D32/D30</f>
        <v>7.5714285714285734E-2</v>
      </c>
      <c r="H32" t="s">
        <v>671</v>
      </c>
      <c r="I32" s="86"/>
      <c r="J32" s="7" t="s">
        <v>926</v>
      </c>
    </row>
    <row r="33" spans="1:10">
      <c r="A33" s="14" t="s">
        <v>625</v>
      </c>
      <c r="B33" s="14" t="s">
        <v>606</v>
      </c>
      <c r="C33" s="86">
        <f>D32*-44/12</f>
        <v>-16.993232372321526</v>
      </c>
      <c r="D33" s="86"/>
      <c r="F33" s="273"/>
      <c r="I33" s="168"/>
      <c r="J33" s="7" t="s">
        <v>876</v>
      </c>
    </row>
    <row r="34" spans="1:10" s="45" customFormat="1">
      <c r="A34" s="171" t="s">
        <v>629</v>
      </c>
      <c r="B34" s="171"/>
      <c r="C34" s="184">
        <f>C36+C39</f>
        <v>37.105071428571421</v>
      </c>
      <c r="D34" s="172">
        <v>3</v>
      </c>
      <c r="E34" s="170"/>
      <c r="J34" s="172"/>
    </row>
    <row r="35" spans="1:10">
      <c r="A35" s="14" t="s">
        <v>619</v>
      </c>
      <c r="B35" t="s">
        <v>620</v>
      </c>
      <c r="C35" s="86"/>
      <c r="D35">
        <f>E35*1000</f>
        <v>400</v>
      </c>
      <c r="E35" s="4">
        <v>0.4</v>
      </c>
      <c r="H35" t="s">
        <v>626</v>
      </c>
      <c r="J35" s="7"/>
    </row>
    <row r="36" spans="1:10">
      <c r="A36" t="s">
        <v>46</v>
      </c>
      <c r="B36" t="s">
        <v>30</v>
      </c>
      <c r="C36" s="22">
        <f>1.5*F36/20</f>
        <v>2.25</v>
      </c>
      <c r="F36" s="8">
        <f>Globalfactors.csv!E50</f>
        <v>30</v>
      </c>
      <c r="J36" t="s">
        <v>638</v>
      </c>
    </row>
    <row r="37" spans="1:10" s="46" customFormat="1">
      <c r="A37" s="14" t="s">
        <v>47</v>
      </c>
      <c r="B37" s="14" t="s">
        <v>616</v>
      </c>
      <c r="C37" s="5"/>
      <c r="D37" s="174">
        <f>F23/1000*(1-E37)</f>
        <v>5.58</v>
      </c>
      <c r="E37" s="272">
        <v>0.38</v>
      </c>
      <c r="H37" s="46" t="s">
        <v>728</v>
      </c>
      <c r="J37" s="181" t="s">
        <v>612</v>
      </c>
    </row>
    <row r="38" spans="1:10">
      <c r="A38" s="14" t="s">
        <v>628</v>
      </c>
      <c r="B38" t="s">
        <v>23</v>
      </c>
      <c r="E38" s="4">
        <f>Globalfactors.csv!E52</f>
        <v>1.4999999999999999E-2</v>
      </c>
      <c r="H38" t="s">
        <v>540</v>
      </c>
      <c r="J38" s="7" t="s">
        <v>727</v>
      </c>
    </row>
    <row r="39" spans="1:10">
      <c r="A39" s="14" t="s">
        <v>726</v>
      </c>
      <c r="B39" t="s">
        <v>30</v>
      </c>
      <c r="C39" s="281">
        <f>D39*Parameters!C16*Parameters!C5</f>
        <v>34.855071428571421</v>
      </c>
      <c r="D39" s="86">
        <f>D37*E38</f>
        <v>8.3699999999999997E-2</v>
      </c>
    </row>
    <row r="40" spans="1:10">
      <c r="A40" s="14" t="s">
        <v>886</v>
      </c>
      <c r="C40" s="86"/>
      <c r="D40" s="86"/>
      <c r="J40" t="s">
        <v>887</v>
      </c>
    </row>
    <row r="41" spans="1:10" s="12" customFormat="1">
      <c r="A41" s="246" t="s">
        <v>729</v>
      </c>
      <c r="C41" s="245">
        <f>C12+C16+C27+C34</f>
        <v>111.47755204634079</v>
      </c>
      <c r="D41" s="245"/>
    </row>
    <row r="42" spans="1:10" s="45" customFormat="1">
      <c r="A42" s="171" t="s">
        <v>586</v>
      </c>
      <c r="B42" s="171"/>
      <c r="C42" s="183">
        <f>C45+C46</f>
        <v>3.1248000000000005</v>
      </c>
      <c r="D42" s="172"/>
      <c r="E42" s="170"/>
      <c r="J42" s="172"/>
    </row>
    <row r="43" spans="1:10" s="46" customFormat="1">
      <c r="A43" s="14" t="s">
        <v>931</v>
      </c>
      <c r="B43" s="14"/>
      <c r="C43" s="5"/>
      <c r="E43" s="180"/>
      <c r="F43" s="46">
        <v>0.4</v>
      </c>
      <c r="J43" s="181"/>
    </row>
    <row r="44" spans="1:10" s="46" customFormat="1">
      <c r="A44" s="14" t="s">
        <v>615</v>
      </c>
      <c r="B44" s="19" t="s">
        <v>603</v>
      </c>
      <c r="C44" s="5"/>
      <c r="D44" s="174">
        <f>D37*F43</f>
        <v>2.2320000000000002</v>
      </c>
      <c r="E44" s="244"/>
      <c r="J44" s="181"/>
    </row>
    <row r="45" spans="1:10" s="88" customFormat="1">
      <c r="A45" s="14" t="s">
        <v>607</v>
      </c>
      <c r="B45" s="88" t="s">
        <v>30</v>
      </c>
      <c r="C45" s="182">
        <f>D44*G45</f>
        <v>15.177600000000002</v>
      </c>
      <c r="D45" s="178"/>
      <c r="E45" s="179"/>
      <c r="G45" s="88">
        <f>-Globalfactors.csv!E6</f>
        <v>6.8</v>
      </c>
      <c r="H45" s="88" t="s">
        <v>614</v>
      </c>
      <c r="J45" s="178" t="s">
        <v>637</v>
      </c>
    </row>
    <row r="46" spans="1:10" s="88" customFormat="1">
      <c r="A46" s="14" t="s">
        <v>617</v>
      </c>
      <c r="B46" s="19" t="s">
        <v>30</v>
      </c>
      <c r="C46" s="182">
        <f>D44*G46</f>
        <v>-12.052800000000001</v>
      </c>
      <c r="D46" s="178"/>
      <c r="E46" s="179"/>
      <c r="G46" s="88">
        <f>'Land application'!F30</f>
        <v>-5.4</v>
      </c>
      <c r="H46" s="88" t="s">
        <v>613</v>
      </c>
      <c r="J46" s="178"/>
    </row>
    <row r="47" spans="1:10">
      <c r="A47" t="s">
        <v>639</v>
      </c>
      <c r="B47" t="s">
        <v>618</v>
      </c>
      <c r="H47" t="s">
        <v>627</v>
      </c>
    </row>
    <row r="48" spans="1:10">
      <c r="A48" s="14" t="s">
        <v>640</v>
      </c>
      <c r="B48" t="s">
        <v>618</v>
      </c>
    </row>
    <row r="50" spans="1:10" s="45" customFormat="1">
      <c r="A50" s="171" t="s">
        <v>587</v>
      </c>
      <c r="B50" s="45" t="s">
        <v>30</v>
      </c>
      <c r="C50" s="45">
        <f>C53</f>
        <v>-388</v>
      </c>
    </row>
    <row r="51" spans="1:10">
      <c r="A51" s="14" t="s">
        <v>621</v>
      </c>
      <c r="F51">
        <v>1</v>
      </c>
    </row>
    <row r="52" spans="1:10">
      <c r="A52" s="14" t="s">
        <v>622</v>
      </c>
      <c r="B52" t="s">
        <v>623</v>
      </c>
      <c r="D52">
        <f>D35</f>
        <v>400</v>
      </c>
    </row>
    <row r="53" spans="1:10" ht="255">
      <c r="A53" t="s">
        <v>587</v>
      </c>
      <c r="B53" t="s">
        <v>624</v>
      </c>
      <c r="C53">
        <f>F53*D52/1000</f>
        <v>-388</v>
      </c>
      <c r="F53">
        <v>-970</v>
      </c>
      <c r="H53" t="s">
        <v>626</v>
      </c>
      <c r="J53" s="1" t="s">
        <v>630</v>
      </c>
    </row>
    <row r="55" spans="1:10">
      <c r="C55" s="1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A5" workbookViewId="0">
      <selection activeCell="F24" sqref="F24"/>
    </sheetView>
  </sheetViews>
  <sheetFormatPr baseColWidth="10" defaultColWidth="11" defaultRowHeight="15" x14ac:dyDescent="0"/>
  <cols>
    <col min="1" max="1" width="26.6640625" customWidth="1"/>
  </cols>
  <sheetData>
    <row r="1" spans="1:8" ht="45">
      <c r="A1" s="43"/>
      <c r="B1" s="43" t="s">
        <v>14</v>
      </c>
      <c r="C1" s="43" t="s">
        <v>26</v>
      </c>
      <c r="D1" s="43" t="s">
        <v>114</v>
      </c>
      <c r="E1" s="43" t="s">
        <v>115</v>
      </c>
      <c r="F1" s="43" t="s">
        <v>116</v>
      </c>
      <c r="G1" s="43" t="s">
        <v>2</v>
      </c>
      <c r="H1" s="43" t="s">
        <v>5</v>
      </c>
    </row>
    <row r="2" spans="1:8">
      <c r="A2" s="13" t="s">
        <v>0</v>
      </c>
      <c r="B2" s="12" t="s">
        <v>30</v>
      </c>
      <c r="C2" s="83">
        <f>F3*E4</f>
        <v>5.35</v>
      </c>
      <c r="D2" s="11"/>
      <c r="E2" s="11"/>
      <c r="F2" s="12"/>
      <c r="G2" s="12"/>
      <c r="H2" s="12"/>
    </row>
    <row r="3" spans="1:8">
      <c r="A3" t="s">
        <v>3</v>
      </c>
      <c r="B3" t="s">
        <v>4</v>
      </c>
      <c r="C3" s="82"/>
      <c r="E3" s="8" t="s">
        <v>20</v>
      </c>
      <c r="F3" s="10">
        <v>0.107</v>
      </c>
      <c r="G3" s="1" t="s">
        <v>7</v>
      </c>
      <c r="H3" s="6" t="s">
        <v>6</v>
      </c>
    </row>
    <row r="4" spans="1:8">
      <c r="A4" t="s">
        <v>383</v>
      </c>
      <c r="B4" t="s">
        <v>12</v>
      </c>
      <c r="C4" s="82"/>
      <c r="E4" s="8">
        <v>50</v>
      </c>
    </row>
    <row r="5" spans="1:8" s="45" customFormat="1">
      <c r="A5" s="45" t="s">
        <v>384</v>
      </c>
      <c r="C5" s="84">
        <f>F7*E6</f>
        <v>-625.9421487603305</v>
      </c>
    </row>
    <row r="6" spans="1:8">
      <c r="A6" t="s">
        <v>385</v>
      </c>
      <c r="C6" s="82"/>
      <c r="E6" s="106">
        <f>D23</f>
        <v>1.0573347107438016</v>
      </c>
    </row>
    <row r="7" spans="1:8">
      <c r="A7" t="s">
        <v>387</v>
      </c>
      <c r="B7" t="s">
        <v>30</v>
      </c>
      <c r="C7" s="82"/>
      <c r="F7" s="4">
        <v>-592</v>
      </c>
    </row>
    <row r="8" spans="1:8" s="44" customFormat="1">
      <c r="A8" s="44" t="s">
        <v>388</v>
      </c>
      <c r="B8" s="44" t="s">
        <v>30</v>
      </c>
      <c r="C8" s="85">
        <f>C2+C5</f>
        <v>-620.59214876033047</v>
      </c>
    </row>
    <row r="18" spans="1:14" ht="17">
      <c r="A18" s="68" t="s">
        <v>371</v>
      </c>
      <c r="B18" s="1"/>
      <c r="C18" s="1"/>
      <c r="D18" s="1"/>
    </row>
    <row r="19" spans="1:14" ht="45">
      <c r="B19" s="1" t="s">
        <v>340</v>
      </c>
      <c r="C19" s="1" t="s">
        <v>341</v>
      </c>
      <c r="D19" s="1" t="s">
        <v>386</v>
      </c>
      <c r="E19" s="1" t="s">
        <v>2</v>
      </c>
      <c r="F19" s="1" t="s">
        <v>30</v>
      </c>
      <c r="J19" s="51"/>
      <c r="K19" s="73"/>
      <c r="L19" s="51"/>
      <c r="M19" s="51"/>
      <c r="N19" s="74"/>
    </row>
    <row r="20" spans="1:14">
      <c r="A20" t="s">
        <v>338</v>
      </c>
      <c r="B20">
        <v>88</v>
      </c>
      <c r="C20">
        <v>88</v>
      </c>
      <c r="D20">
        <f>B20*C20/(B$20*C$20)</f>
        <v>1</v>
      </c>
      <c r="E20" t="s">
        <v>379</v>
      </c>
      <c r="J20" s="51"/>
      <c r="K20" s="73"/>
      <c r="L20" s="51"/>
      <c r="M20" s="51"/>
      <c r="N20" s="51"/>
    </row>
    <row r="21" spans="1:14">
      <c r="A21" t="s">
        <v>167</v>
      </c>
      <c r="B21">
        <v>22</v>
      </c>
      <c r="C21">
        <v>68.900000000000006</v>
      </c>
      <c r="D21" s="69">
        <f>B21*C21/(B$20*C$20)</f>
        <v>0.19573863636363639</v>
      </c>
      <c r="E21" t="s">
        <v>380</v>
      </c>
      <c r="F21" s="82">
        <v>-110.52727272727275</v>
      </c>
      <c r="J21" s="51"/>
      <c r="K21" s="73"/>
      <c r="L21" s="51"/>
      <c r="M21" s="51"/>
      <c r="N21" s="51"/>
    </row>
    <row r="22" spans="1:14">
      <c r="A22" t="s">
        <v>53</v>
      </c>
      <c r="B22">
        <v>7</v>
      </c>
      <c r="C22">
        <v>81</v>
      </c>
      <c r="D22" s="69">
        <f>B22*C22/(B$20*C$20)</f>
        <v>7.3217975206611566E-2</v>
      </c>
      <c r="E22" t="s">
        <v>382</v>
      </c>
      <c r="F22" s="82">
        <v>-37.995041322314044</v>
      </c>
      <c r="J22" s="51"/>
      <c r="K22" s="51"/>
      <c r="L22" s="51"/>
      <c r="M22" s="51"/>
      <c r="N22" s="51"/>
    </row>
    <row r="23" spans="1:14">
      <c r="A23" t="s">
        <v>339</v>
      </c>
      <c r="B23">
        <v>92</v>
      </c>
      <c r="C23">
        <v>89</v>
      </c>
      <c r="D23" s="69">
        <f>B23*C23/(B$20*C$20)</f>
        <v>1.0573347107438016</v>
      </c>
      <c r="E23" t="s">
        <v>381</v>
      </c>
      <c r="F23" s="82">
        <v>-620.59214876033002</v>
      </c>
      <c r="J23" s="51"/>
      <c r="K23" s="73"/>
      <c r="L23" s="51"/>
      <c r="M23" s="51"/>
      <c r="N23" s="74"/>
    </row>
    <row r="24" spans="1:14">
      <c r="J24" s="51"/>
      <c r="K24" s="73"/>
      <c r="L24" s="51"/>
      <c r="M24" s="51"/>
      <c r="N24" s="51"/>
    </row>
    <row r="25" spans="1:14">
      <c r="J25" s="51"/>
      <c r="K25" s="51"/>
      <c r="L25" s="51"/>
      <c r="M25" s="51"/>
      <c r="N25" s="51"/>
    </row>
    <row r="26" spans="1:14" ht="16" thickBot="1">
      <c r="A26" s="148" t="s">
        <v>515</v>
      </c>
      <c r="B26" s="66"/>
      <c r="C26" s="66"/>
      <c r="D26" s="66"/>
      <c r="J26" s="51"/>
      <c r="K26" s="51"/>
      <c r="L26" s="51"/>
      <c r="M26" s="51"/>
      <c r="N26" s="51"/>
    </row>
    <row r="27" spans="1:14" ht="16" thickBot="1">
      <c r="A27" s="148" t="s">
        <v>516</v>
      </c>
      <c r="J27" s="51"/>
      <c r="K27" s="51"/>
      <c r="L27" s="51"/>
      <c r="M27" s="51"/>
      <c r="N27" s="51"/>
    </row>
    <row r="28" spans="1:14" ht="16" thickBot="1">
      <c r="A28" s="148" t="s">
        <v>517</v>
      </c>
      <c r="J28" s="51"/>
      <c r="K28" s="51"/>
      <c r="L28" s="51"/>
      <c r="M28" s="51"/>
      <c r="N28" s="51"/>
    </row>
    <row r="29" spans="1:14" ht="16" thickBot="1">
      <c r="A29" s="148" t="s">
        <v>518</v>
      </c>
    </row>
    <row r="30" spans="1:14" ht="16" thickBot="1">
      <c r="A30" s="148" t="s">
        <v>519</v>
      </c>
    </row>
    <row r="31" spans="1:14" ht="16" thickBot="1">
      <c r="A31" s="148" t="s">
        <v>669</v>
      </c>
    </row>
    <row r="32" spans="1:14" ht="16" thickBot="1">
      <c r="A32" s="148" t="s">
        <v>521</v>
      </c>
    </row>
    <row r="33" spans="1:1" ht="16" thickBot="1">
      <c r="A33" s="148" t="s">
        <v>522</v>
      </c>
    </row>
    <row r="34" spans="1:1" ht="16" thickBot="1">
      <c r="A34" s="148" t="s">
        <v>523</v>
      </c>
    </row>
    <row r="35" spans="1:1" ht="16" thickBot="1">
      <c r="A35" s="149" t="s">
        <v>524</v>
      </c>
    </row>
    <row r="36" spans="1:1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B35" sqref="B35"/>
    </sheetView>
  </sheetViews>
  <sheetFormatPr baseColWidth="10" defaultColWidth="8.83203125" defaultRowHeight="15" x14ac:dyDescent="0"/>
  <cols>
    <col min="1" max="1" width="36.83203125" customWidth="1"/>
    <col min="2" max="2" width="14.33203125" customWidth="1"/>
    <col min="3" max="3" width="11.1640625" bestFit="1" customWidth="1"/>
    <col min="5" max="5" width="9.1640625" bestFit="1" customWidth="1"/>
    <col min="7" max="7" width="9.1640625" bestFit="1" customWidth="1"/>
    <col min="8" max="8" width="12.6640625" customWidth="1"/>
    <col min="9" max="9" width="16.33203125" customWidth="1"/>
    <col min="10" max="10" width="55" customWidth="1"/>
  </cols>
  <sheetData>
    <row r="1" spans="1:20" s="43" customFormat="1" ht="60">
      <c r="B1" s="43" t="s">
        <v>14</v>
      </c>
      <c r="C1" s="207" t="s">
        <v>26</v>
      </c>
      <c r="D1" s="207" t="s">
        <v>114</v>
      </c>
      <c r="E1" s="43" t="s">
        <v>666</v>
      </c>
      <c r="F1" s="43" t="s">
        <v>660</v>
      </c>
      <c r="G1" s="43" t="s">
        <v>659</v>
      </c>
      <c r="H1" s="43" t="s">
        <v>2</v>
      </c>
      <c r="I1" s="43" t="s">
        <v>641</v>
      </c>
      <c r="J1" s="43" t="s">
        <v>5</v>
      </c>
      <c r="S1" s="27">
        <v>3.7854100000000002</v>
      </c>
      <c r="T1" s="111" t="s">
        <v>445</v>
      </c>
    </row>
    <row r="2" spans="1:20" s="12" customFormat="1">
      <c r="A2" s="13" t="s">
        <v>739</v>
      </c>
      <c r="C2" s="208"/>
      <c r="D2" s="208"/>
      <c r="E2" s="11"/>
      <c r="F2" s="11"/>
    </row>
    <row r="3" spans="1:20">
      <c r="B3" t="s">
        <v>757</v>
      </c>
      <c r="H3">
        <f>2.6/16</f>
        <v>0.16250000000000001</v>
      </c>
      <c r="J3" t="s">
        <v>760</v>
      </c>
    </row>
    <row r="4" spans="1:20" ht="45">
      <c r="A4" t="s">
        <v>744</v>
      </c>
      <c r="B4" t="s">
        <v>756</v>
      </c>
      <c r="G4">
        <v>-1225</v>
      </c>
      <c r="H4" s="259" t="s">
        <v>751</v>
      </c>
      <c r="I4" t="s">
        <v>752</v>
      </c>
      <c r="J4" s="1" t="s">
        <v>745</v>
      </c>
    </row>
    <row r="5" spans="1:20">
      <c r="A5" t="s">
        <v>740</v>
      </c>
      <c r="B5" t="s">
        <v>747</v>
      </c>
      <c r="G5">
        <v>6.8</v>
      </c>
      <c r="H5" s="259" t="s">
        <v>748</v>
      </c>
      <c r="I5">
        <v>6.8</v>
      </c>
      <c r="J5" t="s">
        <v>746</v>
      </c>
    </row>
    <row r="6" spans="1:20">
      <c r="A6" t="s">
        <v>741</v>
      </c>
      <c r="B6" t="s">
        <v>747</v>
      </c>
      <c r="G6">
        <v>30</v>
      </c>
      <c r="H6" s="259" t="s">
        <v>749</v>
      </c>
      <c r="I6" t="s">
        <v>743</v>
      </c>
      <c r="J6" t="s">
        <v>742</v>
      </c>
    </row>
    <row r="7" spans="1:20">
      <c r="A7" t="s">
        <v>755</v>
      </c>
      <c r="B7" t="s">
        <v>747</v>
      </c>
      <c r="G7">
        <f>-1081*1.1</f>
        <v>-1189.1000000000001</v>
      </c>
      <c r="H7" s="259" t="s">
        <v>750</v>
      </c>
      <c r="I7" s="258" t="s">
        <v>754</v>
      </c>
      <c r="J7" t="s">
        <v>753</v>
      </c>
    </row>
    <row r="8" spans="1:20">
      <c r="A8" t="s">
        <v>759</v>
      </c>
      <c r="B8" t="s">
        <v>758</v>
      </c>
      <c r="C8">
        <f>G7*H3</f>
        <v>-193.22875000000002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E5" workbookViewId="0"/>
  </sheetViews>
  <sheetFormatPr baseColWidth="10" defaultColWidth="11" defaultRowHeight="15" x14ac:dyDescent="0"/>
  <cols>
    <col min="2" max="2" width="12.83203125" bestFit="1" customWidth="1"/>
    <col min="5" max="6" width="11" customWidth="1"/>
    <col min="18" max="18" width="12.6640625" customWidth="1"/>
  </cols>
  <sheetData>
    <row r="1" spans="2:8">
      <c r="B1" s="55"/>
      <c r="C1" s="55" t="s">
        <v>105</v>
      </c>
      <c r="D1" s="55" t="s">
        <v>106</v>
      </c>
      <c r="E1" s="55" t="s">
        <v>38</v>
      </c>
      <c r="F1" s="55" t="s">
        <v>109</v>
      </c>
      <c r="G1" s="56" t="s">
        <v>107</v>
      </c>
      <c r="H1" s="56" t="s">
        <v>108</v>
      </c>
    </row>
    <row r="2" spans="2:8">
      <c r="B2" s="55" t="s">
        <v>11</v>
      </c>
      <c r="C2" s="57">
        <v>770</v>
      </c>
      <c r="D2" s="56"/>
      <c r="E2" s="70">
        <v>6</v>
      </c>
      <c r="F2" s="97">
        <v>-177</v>
      </c>
      <c r="G2" s="56" t="s">
        <v>154</v>
      </c>
      <c r="H2" s="56" t="s">
        <v>153</v>
      </c>
    </row>
    <row r="3" spans="2:8">
      <c r="B3" s="55" t="s">
        <v>51</v>
      </c>
      <c r="C3" s="56"/>
      <c r="D3" s="57">
        <v>-37.995041322314044</v>
      </c>
      <c r="E3" s="57">
        <v>7</v>
      </c>
      <c r="F3" s="96">
        <v>7</v>
      </c>
      <c r="G3" s="56" t="s">
        <v>110</v>
      </c>
      <c r="H3" s="56" t="s">
        <v>55</v>
      </c>
    </row>
    <row r="4" spans="2:8">
      <c r="B4" s="55" t="s">
        <v>103</v>
      </c>
      <c r="C4" s="56"/>
      <c r="D4" s="57">
        <v>-110.52727272727275</v>
      </c>
      <c r="E4" s="57">
        <v>8.25</v>
      </c>
      <c r="F4" s="98"/>
      <c r="G4" s="56" t="s">
        <v>55</v>
      </c>
      <c r="H4" s="56" t="s">
        <v>153</v>
      </c>
    </row>
    <row r="5" spans="2:8">
      <c r="B5" s="55" t="s">
        <v>104</v>
      </c>
      <c r="C5" s="57">
        <v>1924</v>
      </c>
      <c r="D5" s="57">
        <v>-620.59214876033047</v>
      </c>
      <c r="E5" s="56"/>
      <c r="F5" s="97">
        <v>-479</v>
      </c>
      <c r="G5" s="56" t="s">
        <v>55</v>
      </c>
      <c r="H5" s="56" t="s">
        <v>55</v>
      </c>
    </row>
    <row r="6" spans="2:8">
      <c r="B6" s="70"/>
      <c r="C6" s="57"/>
      <c r="D6" s="55"/>
      <c r="E6" s="55"/>
      <c r="F6" s="55"/>
      <c r="G6" s="55"/>
      <c r="H6" s="55"/>
    </row>
    <row r="7" spans="2:8">
      <c r="B7" s="70"/>
      <c r="C7" s="55"/>
      <c r="D7" s="55"/>
      <c r="E7" s="55"/>
      <c r="F7" s="55"/>
      <c r="G7" s="55"/>
      <c r="H7" s="55"/>
    </row>
    <row r="46" spans="1:13">
      <c r="A46" s="55"/>
      <c r="B46" s="70" t="s">
        <v>417</v>
      </c>
      <c r="C46" s="70" t="s">
        <v>416</v>
      </c>
      <c r="D46" s="70" t="s">
        <v>412</v>
      </c>
      <c r="E46" s="70" t="s">
        <v>414</v>
      </c>
      <c r="F46" s="70" t="s">
        <v>410</v>
      </c>
      <c r="G46" s="70" t="s">
        <v>411</v>
      </c>
      <c r="H46" s="55" t="s">
        <v>409</v>
      </c>
      <c r="I46" s="70" t="s">
        <v>413</v>
      </c>
      <c r="J46" s="70" t="s">
        <v>415</v>
      </c>
      <c r="K46" s="70" t="s">
        <v>419</v>
      </c>
      <c r="L46" s="70" t="s">
        <v>418</v>
      </c>
      <c r="M46" s="70" t="s">
        <v>420</v>
      </c>
    </row>
    <row r="47" spans="1:13">
      <c r="A47" s="55" t="s">
        <v>11</v>
      </c>
      <c r="B47" s="55"/>
      <c r="C47" s="55"/>
      <c r="D47" s="70">
        <f>F2-E2</f>
        <v>-183</v>
      </c>
      <c r="E47" s="55">
        <f>E2-F2</f>
        <v>183</v>
      </c>
      <c r="F47" s="57">
        <f>E2-C2</f>
        <v>-764</v>
      </c>
      <c r="G47" s="57">
        <f>C2-E2</f>
        <v>764</v>
      </c>
      <c r="H47" s="102">
        <f>F2-C2</f>
        <v>-947</v>
      </c>
      <c r="I47" s="102">
        <f>C2-F2</f>
        <v>947</v>
      </c>
      <c r="J47" s="55"/>
      <c r="K47" s="55"/>
      <c r="L47" s="55"/>
      <c r="M47" s="55"/>
    </row>
    <row r="48" spans="1:13">
      <c r="A48" s="55" t="s">
        <v>51</v>
      </c>
      <c r="B48" s="71">
        <f>E3-D3</f>
        <v>44.995041322314044</v>
      </c>
      <c r="C48" s="57">
        <f>D3-E3</f>
        <v>-44.995041322314044</v>
      </c>
      <c r="D48" s="102">
        <f>H86-G86</f>
        <v>0</v>
      </c>
      <c r="E48" s="102">
        <f>G86-H86</f>
        <v>0</v>
      </c>
      <c r="F48" s="57"/>
      <c r="G48" s="55"/>
      <c r="H48" s="102"/>
      <c r="I48" s="103"/>
      <c r="J48" s="71">
        <f>F3-D3</f>
        <v>44.995041322314044</v>
      </c>
      <c r="K48" s="57">
        <f>D3-F3</f>
        <v>-44.995041322314044</v>
      </c>
      <c r="L48" s="55"/>
      <c r="M48" s="55"/>
    </row>
    <row r="49" spans="1:13">
      <c r="A49" s="55" t="s">
        <v>103</v>
      </c>
      <c r="B49" s="57">
        <f>E4-D4</f>
        <v>118.77727272727275</v>
      </c>
      <c r="C49" s="57">
        <f>D4-E4</f>
        <v>-118.77727272727275</v>
      </c>
      <c r="D49" s="102"/>
      <c r="E49" s="55"/>
      <c r="F49" s="55"/>
      <c r="G49" s="55"/>
      <c r="H49" s="102"/>
      <c r="I49" s="70"/>
      <c r="J49" s="55"/>
      <c r="K49" s="55"/>
      <c r="L49" s="55"/>
      <c r="M49" s="55"/>
    </row>
    <row r="50" spans="1:13">
      <c r="A50" s="55" t="s">
        <v>104</v>
      </c>
      <c r="B50" s="55"/>
      <c r="C50" s="55"/>
      <c r="D50" s="70"/>
      <c r="E50" s="55"/>
      <c r="F50" s="55"/>
      <c r="G50" s="55"/>
      <c r="H50" s="102">
        <f>F5-C5</f>
        <v>-2403</v>
      </c>
      <c r="I50" s="102">
        <f>C5-F5</f>
        <v>2403</v>
      </c>
      <c r="J50" s="57">
        <f>F5-D5</f>
        <v>141.59214876033047</v>
      </c>
      <c r="K50" s="57">
        <f>D5-F5</f>
        <v>-141.59214876033047</v>
      </c>
      <c r="L50" s="57">
        <f>D5-C5</f>
        <v>-2544.5921487603305</v>
      </c>
      <c r="M50" s="57">
        <f>C5-D5</f>
        <v>2544.5921487603305</v>
      </c>
    </row>
    <row r="83" spans="2:8">
      <c r="B83" t="s">
        <v>408</v>
      </c>
    </row>
    <row r="84" spans="2:8">
      <c r="B84" s="55"/>
      <c r="C84" s="55" t="s">
        <v>105</v>
      </c>
      <c r="D84" s="55" t="s">
        <v>106</v>
      </c>
      <c r="E84" s="56" t="s">
        <v>107</v>
      </c>
      <c r="F84" s="56" t="s">
        <v>108</v>
      </c>
      <c r="G84" s="55" t="s">
        <v>38</v>
      </c>
      <c r="H84" s="55" t="s">
        <v>109</v>
      </c>
    </row>
    <row r="85" spans="2:8">
      <c r="B85" s="55" t="s">
        <v>11</v>
      </c>
      <c r="C85" s="57"/>
      <c r="D85" s="57"/>
      <c r="E85" s="57"/>
      <c r="F85" s="57"/>
      <c r="G85" s="57"/>
      <c r="H85" s="57"/>
    </row>
    <row r="86" spans="2:8">
      <c r="B86" s="55" t="s">
        <v>51</v>
      </c>
      <c r="C86" s="57"/>
      <c r="D86" s="57"/>
      <c r="E86" s="57"/>
      <c r="F86" s="57"/>
      <c r="G86" s="57"/>
      <c r="H86" s="57"/>
    </row>
    <row r="87" spans="2:8">
      <c r="B87" s="55" t="s">
        <v>103</v>
      </c>
      <c r="C87" s="57"/>
      <c r="D87" s="57"/>
      <c r="E87" s="57"/>
      <c r="F87" s="57"/>
      <c r="G87" s="57"/>
      <c r="H87" s="57"/>
    </row>
    <row r="88" spans="2:8">
      <c r="B88" s="55" t="s">
        <v>104</v>
      </c>
      <c r="C88" s="57"/>
      <c r="D88" s="57"/>
      <c r="E88" s="57"/>
      <c r="F88" s="57"/>
      <c r="G88" s="57"/>
      <c r="H88" s="57"/>
    </row>
    <row r="91" spans="2:8" ht="45">
      <c r="C91" s="1" t="s">
        <v>340</v>
      </c>
      <c r="D91" s="1" t="s">
        <v>341</v>
      </c>
      <c r="E91" s="1" t="s">
        <v>386</v>
      </c>
      <c r="F91" s="1" t="s">
        <v>2</v>
      </c>
    </row>
    <row r="92" spans="2:8">
      <c r="B92" t="s">
        <v>338</v>
      </c>
      <c r="C92">
        <v>88</v>
      </c>
      <c r="D92">
        <v>88</v>
      </c>
      <c r="E92">
        <v>1</v>
      </c>
      <c r="F92" t="s">
        <v>379</v>
      </c>
    </row>
    <row r="93" spans="2:8">
      <c r="B93" t="s">
        <v>167</v>
      </c>
      <c r="C93">
        <v>22</v>
      </c>
      <c r="D93">
        <v>68.900000000000006</v>
      </c>
      <c r="E93" s="69">
        <v>0.19573863636363639</v>
      </c>
      <c r="F93" t="s">
        <v>380</v>
      </c>
    </row>
    <row r="94" spans="2:8">
      <c r="B94" t="s">
        <v>53</v>
      </c>
      <c r="C94">
        <v>7</v>
      </c>
      <c r="D94">
        <v>81</v>
      </c>
      <c r="E94" s="69">
        <v>7.3217975206611566E-2</v>
      </c>
      <c r="F94" t="s">
        <v>382</v>
      </c>
    </row>
    <row r="95" spans="2:8">
      <c r="B95" t="s">
        <v>339</v>
      </c>
      <c r="C95">
        <v>92</v>
      </c>
      <c r="D95">
        <v>89</v>
      </c>
      <c r="E95" s="69">
        <v>1.0573347107438016</v>
      </c>
      <c r="F95" t="s">
        <v>381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Globalfactors.csv</vt:lpstr>
      <vt:lpstr>Landfill </vt:lpstr>
      <vt:lpstr>AD</vt:lpstr>
      <vt:lpstr>Land application</vt:lpstr>
      <vt:lpstr>compost</vt:lpstr>
      <vt:lpstr>Animal Feed </vt:lpstr>
      <vt:lpstr>Recycling</vt:lpstr>
      <vt:lpstr>Results</vt:lpstr>
      <vt:lpstr>Animal Feed lit</vt:lpstr>
      <vt:lpstr>WWTF</vt:lpstr>
      <vt:lpstr>carbon storage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2014-12-11T13:49:35Z</dcterms:created>
  <dcterms:modified xsi:type="dcterms:W3CDTF">2015-09-29T01:51:01Z</dcterms:modified>
</cp:coreProperties>
</file>